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ustomProperty7.bin" ContentType="application/vnd.openxmlformats-officedocument.spreadsheetml.customProperty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 defaultThemeVersion="124226"/>
  <bookViews>
    <workbookView xWindow="1125" yWindow="-105" windowWidth="12120" windowHeight="8595" activeTab="2"/>
  </bookViews>
  <sheets>
    <sheet name="Шахм" sheetId="1" r:id="rId1"/>
    <sheet name="ПрилШахм" sheetId="5" r:id="rId2"/>
    <sheet name="ТС_ППС" sheetId="4" r:id="rId3"/>
    <sheet name="ТС" sheetId="9" r:id="rId4"/>
    <sheet name="UP133" sheetId="10" r:id="rId5"/>
    <sheet name="ТитЛист" sheetId="8" r:id="rId6"/>
    <sheet name="DV-IDENTITY-0" sheetId="11" state="veryHidden" r:id="rId7"/>
  </sheets>
  <externalReferences>
    <externalReference r:id="rId8"/>
    <externalReference r:id="rId9"/>
    <externalReference r:id="rId10"/>
  </externalReferences>
  <definedNames>
    <definedName name="_xlnm._FilterDatabase" localSheetId="4" hidden="1">'UP133'!$A$1:$IQ$106</definedName>
    <definedName name="_xlnm.Database" localSheetId="4">'UP133'!$A$1:$Y$1</definedName>
    <definedName name="_xlnm.Database" localSheetId="5">#REF!</definedName>
    <definedName name="_xlnm.Database" localSheetId="3">#REF!</definedName>
    <definedName name="_xlnm.Database">#REF!</definedName>
    <definedName name="ж" localSheetId="4">#REF!</definedName>
    <definedName name="ж" localSheetId="5">#REF!</definedName>
    <definedName name="ж" localSheetId="3">#REF!</definedName>
    <definedName name="ж">#REF!</definedName>
    <definedName name="_xlnm.Print_Titles" localSheetId="4">'UP133'!$1:$1</definedName>
    <definedName name="_xlnm.Print_Area" localSheetId="1">ПрилШахм!$A$1:$O$20</definedName>
    <definedName name="_xlnm.Print_Area" localSheetId="3">ТС!$A$1:$G$140</definedName>
    <definedName name="_xlnm.Print_Area" localSheetId="2">ТС_ППС!$A$1:$I$128</definedName>
    <definedName name="_xlnm.Print_Area" localSheetId="0">Шахм!$A$1:$AH$163</definedName>
  </definedNames>
  <calcPr calcId="124519"/>
</workbook>
</file>

<file path=xl/calcChain.xml><?xml version="1.0" encoding="utf-8"?>
<calcChain xmlns="http://schemas.openxmlformats.org/spreadsheetml/2006/main">
  <c r="B195" i="11"/>
  <c r="C195"/>
  <c r="D195"/>
  <c r="E195"/>
  <c r="F195"/>
  <c r="G195"/>
  <c r="H195"/>
  <c r="I195"/>
  <c r="J195"/>
  <c r="K195"/>
  <c r="B194"/>
  <c r="C194"/>
  <c r="D194"/>
  <c r="E194"/>
  <c r="F194"/>
  <c r="G194"/>
  <c r="H194"/>
  <c r="I194"/>
  <c r="J194"/>
  <c r="K194"/>
  <c r="B193"/>
  <c r="C193"/>
  <c r="D193"/>
  <c r="E193"/>
  <c r="F193"/>
  <c r="G193"/>
  <c r="H193"/>
  <c r="I193"/>
  <c r="J193"/>
  <c r="K193"/>
  <c r="B192"/>
  <c r="C192"/>
  <c r="D192"/>
  <c r="E192"/>
  <c r="F192"/>
  <c r="G192"/>
  <c r="H192"/>
  <c r="I192"/>
  <c r="J192"/>
  <c r="K192"/>
  <c r="B191"/>
  <c r="C191"/>
  <c r="D191"/>
  <c r="E191"/>
  <c r="F191"/>
  <c r="G191"/>
  <c r="H191"/>
  <c r="I191"/>
  <c r="J191"/>
  <c r="K191"/>
  <c r="B190"/>
  <c r="C190"/>
  <c r="D190"/>
  <c r="E190"/>
  <c r="F190"/>
  <c r="G190"/>
  <c r="H190"/>
  <c r="I190"/>
  <c r="J190"/>
  <c r="K190"/>
  <c r="B189"/>
  <c r="C189"/>
  <c r="D189"/>
  <c r="E189"/>
  <c r="F189"/>
  <c r="G189"/>
  <c r="H189"/>
  <c r="I189"/>
  <c r="J189"/>
  <c r="K189"/>
  <c r="A188"/>
  <c r="B188"/>
  <c r="C188"/>
  <c r="D188"/>
  <c r="E188"/>
  <c r="F188"/>
  <c r="G188"/>
  <c r="H188"/>
  <c r="I188"/>
  <c r="J188"/>
  <c r="K188"/>
  <c r="L188"/>
  <c r="M188"/>
  <c r="N188"/>
  <c r="O188"/>
  <c r="P188"/>
  <c r="Q188"/>
  <c r="R188"/>
  <c r="S188"/>
  <c r="T188"/>
  <c r="U188"/>
  <c r="V188"/>
  <c r="W188"/>
  <c r="X188"/>
  <c r="Y188"/>
  <c r="Z188"/>
  <c r="AA188"/>
  <c r="AB188"/>
  <c r="AC188"/>
  <c r="AD188"/>
  <c r="AE188"/>
  <c r="AF188"/>
  <c r="AG188"/>
  <c r="AH188"/>
  <c r="AI188"/>
  <c r="AJ188"/>
  <c r="AK188"/>
  <c r="AL188"/>
  <c r="AM188"/>
  <c r="AN188"/>
  <c r="AO188"/>
  <c r="AP188"/>
  <c r="AQ188"/>
  <c r="AR188"/>
  <c r="AS188"/>
  <c r="AT188"/>
  <c r="AU188"/>
  <c r="AV188"/>
  <c r="AW188"/>
  <c r="AX188"/>
  <c r="AY188"/>
  <c r="AZ188"/>
  <c r="BA188"/>
  <c r="BB188"/>
  <c r="BC188"/>
  <c r="BD188"/>
  <c r="BE188"/>
  <c r="BF188"/>
  <c r="BG188"/>
  <c r="BH188"/>
  <c r="BI188"/>
  <c r="BJ188"/>
  <c r="BK188"/>
  <c r="BL188"/>
  <c r="BM188"/>
  <c r="BN188"/>
  <c r="BO188"/>
  <c r="BP188"/>
  <c r="BQ188"/>
  <c r="BR188"/>
  <c r="BS188"/>
  <c r="BT188"/>
  <c r="BU188"/>
  <c r="BV188"/>
  <c r="BW188"/>
  <c r="BX188"/>
  <c r="BY188"/>
  <c r="BZ188"/>
  <c r="CA188"/>
  <c r="CB188"/>
  <c r="CC188"/>
  <c r="CD188"/>
  <c r="CE188"/>
  <c r="CF188"/>
  <c r="CG188"/>
  <c r="CH188"/>
  <c r="CI188"/>
  <c r="CJ188"/>
  <c r="CK188"/>
  <c r="CL188"/>
  <c r="CM188"/>
  <c r="CN188"/>
  <c r="CS188"/>
  <c r="CT188"/>
  <c r="CU188"/>
  <c r="CV188"/>
  <c r="CW188"/>
  <c r="CX188"/>
  <c r="CY188"/>
  <c r="CZ188"/>
  <c r="DA188"/>
  <c r="DB188"/>
  <c r="DC188"/>
  <c r="DD188"/>
  <c r="DE188"/>
  <c r="DF188"/>
  <c r="A187"/>
  <c r="B187"/>
  <c r="C187"/>
  <c r="D187"/>
  <c r="E187"/>
  <c r="F187"/>
  <c r="G187"/>
  <c r="H187"/>
  <c r="I187"/>
  <c r="J187"/>
  <c r="K187"/>
  <c r="L187"/>
  <c r="M187"/>
  <c r="N187"/>
  <c r="O187"/>
  <c r="P187"/>
  <c r="Q187"/>
  <c r="R187"/>
  <c r="S187"/>
  <c r="T187"/>
  <c r="U187"/>
  <c r="V187"/>
  <c r="W187"/>
  <c r="X187"/>
  <c r="Y187"/>
  <c r="Z187"/>
  <c r="AA187"/>
  <c r="AB187"/>
  <c r="AC187"/>
  <c r="AD187"/>
  <c r="AE187"/>
  <c r="AF187"/>
  <c r="AG187"/>
  <c r="AH187"/>
  <c r="AI187"/>
  <c r="AJ187"/>
  <c r="AK187"/>
  <c r="AL187"/>
  <c r="AM187"/>
  <c r="AN187"/>
  <c r="AO187"/>
  <c r="AP187"/>
  <c r="AQ187"/>
  <c r="AR187"/>
  <c r="AS187"/>
  <c r="AT187"/>
  <c r="AU187"/>
  <c r="AV187"/>
  <c r="AW187"/>
  <c r="AX187"/>
  <c r="AY187"/>
  <c r="AZ187"/>
  <c r="BA187"/>
  <c r="BB187"/>
  <c r="BC187"/>
  <c r="BD187"/>
  <c r="BE187"/>
  <c r="BF187"/>
  <c r="BG187"/>
  <c r="BH187"/>
  <c r="BI187"/>
  <c r="BJ187"/>
  <c r="BK187"/>
  <c r="BL187"/>
  <c r="BM187"/>
  <c r="BN187"/>
  <c r="BO187"/>
  <c r="BP187"/>
  <c r="BQ187"/>
  <c r="BR187"/>
  <c r="BS187"/>
  <c r="BT187"/>
  <c r="BU187"/>
  <c r="BV187"/>
  <c r="BW187"/>
  <c r="BX187"/>
  <c r="BY187"/>
  <c r="BZ187"/>
  <c r="CA187"/>
  <c r="CB187"/>
  <c r="CC187"/>
  <c r="CD187"/>
  <c r="CE187"/>
  <c r="CF187"/>
  <c r="CG187"/>
  <c r="CH187"/>
  <c r="CI187"/>
  <c r="CJ187"/>
  <c r="CK187"/>
  <c r="CL187"/>
  <c r="CM187"/>
  <c r="CN187"/>
  <c r="CO187"/>
  <c r="CP187"/>
  <c r="CQ187"/>
  <c r="CR187"/>
  <c r="CS187"/>
  <c r="CT187"/>
  <c r="CU187"/>
  <c r="CV187"/>
  <c r="CW187"/>
  <c r="CX187"/>
  <c r="CY187"/>
  <c r="CZ187"/>
  <c r="DA187"/>
  <c r="DB187"/>
  <c r="DC187"/>
  <c r="DD187"/>
  <c r="DE187"/>
  <c r="DF187"/>
  <c r="DG187"/>
  <c r="DH187"/>
  <c r="DI187"/>
  <c r="DJ187"/>
  <c r="DK187"/>
  <c r="DL187"/>
  <c r="DM187"/>
  <c r="DN187"/>
  <c r="DO187"/>
  <c r="DP187"/>
  <c r="DQ187"/>
  <c r="DR187"/>
  <c r="DS187"/>
  <c r="DT187"/>
  <c r="DU187"/>
  <c r="DV187"/>
  <c r="DW187"/>
  <c r="DX187"/>
  <c r="DY187"/>
  <c r="DZ187"/>
  <c r="EA187"/>
  <c r="EB187"/>
  <c r="EC187"/>
  <c r="ED187"/>
  <c r="EE187"/>
  <c r="EF187"/>
  <c r="EG187"/>
  <c r="EH187"/>
  <c r="EI187"/>
  <c r="EJ187"/>
  <c r="EK187"/>
  <c r="EL187"/>
  <c r="EM187"/>
  <c r="EN187"/>
  <c r="EO187"/>
  <c r="EP187"/>
  <c r="EQ187"/>
  <c r="ER187"/>
  <c r="ES187"/>
  <c r="ET187"/>
  <c r="EU187"/>
  <c r="EV187"/>
  <c r="EW187"/>
  <c r="EX187"/>
  <c r="EY187"/>
  <c r="EZ187"/>
  <c r="FA187"/>
  <c r="FB187"/>
  <c r="FC187"/>
  <c r="FD187"/>
  <c r="FE187"/>
  <c r="FF187"/>
  <c r="FG187"/>
  <c r="FH187"/>
  <c r="FI187"/>
  <c r="FJ187"/>
  <c r="FK187"/>
  <c r="FL187"/>
  <c r="FM187"/>
  <c r="FN187"/>
  <c r="FO187"/>
  <c r="FP187"/>
  <c r="FQ187"/>
  <c r="FR187"/>
  <c r="FS187"/>
  <c r="FT187"/>
  <c r="FU187"/>
  <c r="FV187"/>
  <c r="FW187"/>
  <c r="FX187"/>
  <c r="FY187"/>
  <c r="FZ187"/>
  <c r="GA187"/>
  <c r="GB187"/>
  <c r="GC187"/>
  <c r="GD187"/>
  <c r="GE187"/>
  <c r="GF187"/>
  <c r="GG187"/>
  <c r="GH187"/>
  <c r="GI187"/>
  <c r="GJ187"/>
  <c r="GK187"/>
  <c r="GL187"/>
  <c r="GM187"/>
  <c r="GN187"/>
  <c r="GO187"/>
  <c r="GP187"/>
  <c r="GQ187"/>
  <c r="GR187"/>
  <c r="GS187"/>
  <c r="GT187"/>
  <c r="GU187"/>
  <c r="GV187"/>
  <c r="GW187"/>
  <c r="GX187"/>
  <c r="GY187"/>
  <c r="GZ187"/>
  <c r="HA187"/>
  <c r="HB187"/>
  <c r="HC187"/>
  <c r="HD187"/>
  <c r="HE187"/>
  <c r="HF187"/>
  <c r="HG187"/>
  <c r="HH187"/>
  <c r="HI187"/>
  <c r="HJ187"/>
  <c r="HK187"/>
  <c r="HL187"/>
  <c r="HM187"/>
  <c r="HN187"/>
  <c r="HO187"/>
  <c r="HP187"/>
  <c r="HQ187"/>
  <c r="HR187"/>
  <c r="HS187"/>
  <c r="HT187"/>
  <c r="HU187"/>
  <c r="HV187"/>
  <c r="HW187"/>
  <c r="HX187"/>
  <c r="HY187"/>
  <c r="HZ187"/>
  <c r="IA187"/>
  <c r="IB187"/>
  <c r="IC187"/>
  <c r="ID187"/>
  <c r="IE187"/>
  <c r="IF187"/>
  <c r="IG187"/>
  <c r="IH187"/>
  <c r="II187"/>
  <c r="IJ187"/>
  <c r="IK187"/>
  <c r="IL187"/>
  <c r="IM187"/>
  <c r="IN187"/>
  <c r="IO187"/>
  <c r="IP187"/>
  <c r="IQ187"/>
  <c r="IR187"/>
  <c r="IS187"/>
  <c r="IT187"/>
  <c r="IU187"/>
  <c r="IV187"/>
  <c r="A186"/>
  <c r="B186"/>
  <c r="C186"/>
  <c r="D186"/>
  <c r="E186"/>
  <c r="F186"/>
  <c r="G186"/>
  <c r="H186"/>
  <c r="I186"/>
  <c r="J186"/>
  <c r="K186"/>
  <c r="L186"/>
  <c r="M186"/>
  <c r="N186"/>
  <c r="O186"/>
  <c r="P186"/>
  <c r="Q186"/>
  <c r="R186"/>
  <c r="S186"/>
  <c r="T186"/>
  <c r="U186"/>
  <c r="V186"/>
  <c r="W186"/>
  <c r="X186"/>
  <c r="Y186"/>
  <c r="Z186"/>
  <c r="AA186"/>
  <c r="AB186"/>
  <c r="AC186"/>
  <c r="AD186"/>
  <c r="AE186"/>
  <c r="AF186"/>
  <c r="AG186"/>
  <c r="AH186"/>
  <c r="AI186"/>
  <c r="AJ186"/>
  <c r="AK186"/>
  <c r="AL186"/>
  <c r="AM186"/>
  <c r="AN186"/>
  <c r="AO186"/>
  <c r="AP186"/>
  <c r="AQ186"/>
  <c r="AR186"/>
  <c r="AS186"/>
  <c r="AT186"/>
  <c r="AU186"/>
  <c r="AV186"/>
  <c r="AW186"/>
  <c r="AX186"/>
  <c r="AY186"/>
  <c r="AZ186"/>
  <c r="BA186"/>
  <c r="BB186"/>
  <c r="BC186"/>
  <c r="BD186"/>
  <c r="BE186"/>
  <c r="BF186"/>
  <c r="BG186"/>
  <c r="BH186"/>
  <c r="BI186"/>
  <c r="BJ186"/>
  <c r="BK186"/>
  <c r="BL186"/>
  <c r="BM186"/>
  <c r="BN186"/>
  <c r="BO186"/>
  <c r="BP186"/>
  <c r="BQ186"/>
  <c r="BR186"/>
  <c r="BS186"/>
  <c r="BT186"/>
  <c r="BU186"/>
  <c r="BV186"/>
  <c r="BW186"/>
  <c r="BX186"/>
  <c r="BY186"/>
  <c r="BZ186"/>
  <c r="CA186"/>
  <c r="CB186"/>
  <c r="CC186"/>
  <c r="CD186"/>
  <c r="CE186"/>
  <c r="CF186"/>
  <c r="CG186"/>
  <c r="CH186"/>
  <c r="CI186"/>
  <c r="CJ186"/>
  <c r="CK186"/>
  <c r="CL186"/>
  <c r="CM186"/>
  <c r="CN186"/>
  <c r="CO186"/>
  <c r="CP186"/>
  <c r="CQ186"/>
  <c r="CR186"/>
  <c r="CS186"/>
  <c r="CT186"/>
  <c r="CU186"/>
  <c r="CV186"/>
  <c r="CW186"/>
  <c r="CX186"/>
  <c r="CY186"/>
  <c r="CZ186"/>
  <c r="DA186"/>
  <c r="DB186"/>
  <c r="DC186"/>
  <c r="DD186"/>
  <c r="DE186"/>
  <c r="DF186"/>
  <c r="DG186"/>
  <c r="DH186"/>
  <c r="DI186"/>
  <c r="DJ186"/>
  <c r="DK186"/>
  <c r="DL186"/>
  <c r="DM186"/>
  <c r="DN186"/>
  <c r="DO186"/>
  <c r="DP186"/>
  <c r="DQ186"/>
  <c r="DR186"/>
  <c r="DS186"/>
  <c r="DT186"/>
  <c r="DU186"/>
  <c r="DV186"/>
  <c r="DW186"/>
  <c r="DX186"/>
  <c r="DY186"/>
  <c r="DZ186"/>
  <c r="EA186"/>
  <c r="EB186"/>
  <c r="EC186"/>
  <c r="ED186"/>
  <c r="EE186"/>
  <c r="EF186"/>
  <c r="EG186"/>
  <c r="EH186"/>
  <c r="EI186"/>
  <c r="EJ186"/>
  <c r="EK186"/>
  <c r="EL186"/>
  <c r="EM186"/>
  <c r="EN186"/>
  <c r="EO186"/>
  <c r="EP186"/>
  <c r="EQ186"/>
  <c r="ER186"/>
  <c r="ES186"/>
  <c r="ET186"/>
  <c r="EU186"/>
  <c r="EV186"/>
  <c r="EW186"/>
  <c r="EX186"/>
  <c r="EY186"/>
  <c r="EZ186"/>
  <c r="FA186"/>
  <c r="FB186"/>
  <c r="FC186"/>
  <c r="FD186"/>
  <c r="FE186"/>
  <c r="FF186"/>
  <c r="FG186"/>
  <c r="FH186"/>
  <c r="FI186"/>
  <c r="FJ186"/>
  <c r="FK186"/>
  <c r="FL186"/>
  <c r="FM186"/>
  <c r="FN186"/>
  <c r="FO186"/>
  <c r="FP186"/>
  <c r="FQ186"/>
  <c r="FR186"/>
  <c r="FS186"/>
  <c r="FT186"/>
  <c r="FU186"/>
  <c r="FV186"/>
  <c r="FW186"/>
  <c r="FX186"/>
  <c r="FY186"/>
  <c r="FZ186"/>
  <c r="GA186"/>
  <c r="GB186"/>
  <c r="GC186"/>
  <c r="GD186"/>
  <c r="GE186"/>
  <c r="GF186"/>
  <c r="GG186"/>
  <c r="GH186"/>
  <c r="GI186"/>
  <c r="GJ186"/>
  <c r="GK186"/>
  <c r="GL186"/>
  <c r="GM186"/>
  <c r="GN186"/>
  <c r="GO186"/>
  <c r="GP186"/>
  <c r="GQ186"/>
  <c r="GR186"/>
  <c r="GS186"/>
  <c r="GT186"/>
  <c r="GU186"/>
  <c r="GV186"/>
  <c r="GW186"/>
  <c r="GX186"/>
  <c r="GY186"/>
  <c r="GZ186"/>
  <c r="HA186"/>
  <c r="HB186"/>
  <c r="HC186"/>
  <c r="HD186"/>
  <c r="HE186"/>
  <c r="HF186"/>
  <c r="HG186"/>
  <c r="HH186"/>
  <c r="HI186"/>
  <c r="HJ186"/>
  <c r="HK186"/>
  <c r="HL186"/>
  <c r="HM186"/>
  <c r="HN186"/>
  <c r="HO186"/>
  <c r="HP186"/>
  <c r="HQ186"/>
  <c r="HR186"/>
  <c r="HS186"/>
  <c r="HT186"/>
  <c r="HU186"/>
  <c r="HV186"/>
  <c r="HW186"/>
  <c r="HX186"/>
  <c r="HY186"/>
  <c r="HZ186"/>
  <c r="IA186"/>
  <c r="IB186"/>
  <c r="IC186"/>
  <c r="ID186"/>
  <c r="IE186"/>
  <c r="IF186"/>
  <c r="IG186"/>
  <c r="IH186"/>
  <c r="II186"/>
  <c r="IJ186"/>
  <c r="IK186"/>
  <c r="IL186"/>
  <c r="IM186"/>
  <c r="IN186"/>
  <c r="IO186"/>
  <c r="IP186"/>
  <c r="IQ186"/>
  <c r="IR186"/>
  <c r="IS186"/>
  <c r="IT186"/>
  <c r="IU186"/>
  <c r="IV186"/>
  <c r="A185"/>
  <c r="B185"/>
  <c r="C185"/>
  <c r="D185"/>
  <c r="E185"/>
  <c r="F185"/>
  <c r="G185"/>
  <c r="H185"/>
  <c r="I185"/>
  <c r="J185"/>
  <c r="K185"/>
  <c r="L185"/>
  <c r="M185"/>
  <c r="N185"/>
  <c r="O185"/>
  <c r="P185"/>
  <c r="Q185"/>
  <c r="R185"/>
  <c r="S185"/>
  <c r="T185"/>
  <c r="U185"/>
  <c r="V185"/>
  <c r="W185"/>
  <c r="X185"/>
  <c r="Y185"/>
  <c r="Z185"/>
  <c r="AA185"/>
  <c r="AB185"/>
  <c r="AC185"/>
  <c r="AD185"/>
  <c r="AE185"/>
  <c r="AF185"/>
  <c r="AG185"/>
  <c r="AH185"/>
  <c r="AI185"/>
  <c r="AJ185"/>
  <c r="AK185"/>
  <c r="AL185"/>
  <c r="AM185"/>
  <c r="AN185"/>
  <c r="AO185"/>
  <c r="AP185"/>
  <c r="AQ185"/>
  <c r="AR185"/>
  <c r="AS185"/>
  <c r="AT185"/>
  <c r="AU185"/>
  <c r="AV185"/>
  <c r="AW185"/>
  <c r="AX185"/>
  <c r="AY185"/>
  <c r="AZ185"/>
  <c r="BA185"/>
  <c r="BB185"/>
  <c r="BC185"/>
  <c r="BD185"/>
  <c r="BE185"/>
  <c r="BF185"/>
  <c r="BG185"/>
  <c r="BH185"/>
  <c r="BI185"/>
  <c r="BJ185"/>
  <c r="BK185"/>
  <c r="BL185"/>
  <c r="BM185"/>
  <c r="BN185"/>
  <c r="BO185"/>
  <c r="BP185"/>
  <c r="BQ185"/>
  <c r="BR185"/>
  <c r="BS185"/>
  <c r="BT185"/>
  <c r="BU185"/>
  <c r="BV185"/>
  <c r="BW185"/>
  <c r="BX185"/>
  <c r="BY185"/>
  <c r="BZ185"/>
  <c r="CA185"/>
  <c r="CB185"/>
  <c r="CC185"/>
  <c r="CD185"/>
  <c r="CE185"/>
  <c r="CF185"/>
  <c r="CG185"/>
  <c r="CH185"/>
  <c r="CI185"/>
  <c r="CJ185"/>
  <c r="CK185"/>
  <c r="CL185"/>
  <c r="CM185"/>
  <c r="CN185"/>
  <c r="CO185"/>
  <c r="CP185"/>
  <c r="CQ185"/>
  <c r="CR185"/>
  <c r="CS185"/>
  <c r="CT185"/>
  <c r="CU185"/>
  <c r="CV185"/>
  <c r="CW185"/>
  <c r="CX185"/>
  <c r="CY185"/>
  <c r="CZ185"/>
  <c r="DA185"/>
  <c r="DB185"/>
  <c r="DC185"/>
  <c r="DD185"/>
  <c r="DE185"/>
  <c r="DF185"/>
  <c r="DG185"/>
  <c r="DH185"/>
  <c r="DI185"/>
  <c r="DJ185"/>
  <c r="DK185"/>
  <c r="DL185"/>
  <c r="DM185"/>
  <c r="DN185"/>
  <c r="DO185"/>
  <c r="DP185"/>
  <c r="DQ185"/>
  <c r="DR185"/>
  <c r="DS185"/>
  <c r="DT185"/>
  <c r="DU185"/>
  <c r="DV185"/>
  <c r="DW185"/>
  <c r="DX185"/>
  <c r="DY185"/>
  <c r="DZ185"/>
  <c r="EA185"/>
  <c r="EB185"/>
  <c r="EC185"/>
  <c r="ED185"/>
  <c r="EE185"/>
  <c r="EF185"/>
  <c r="EG185"/>
  <c r="EH185"/>
  <c r="EI185"/>
  <c r="EJ185"/>
  <c r="EK185"/>
  <c r="EL185"/>
  <c r="EM185"/>
  <c r="EN185"/>
  <c r="EO185"/>
  <c r="EP185"/>
  <c r="EQ185"/>
  <c r="ER185"/>
  <c r="ES185"/>
  <c r="ET185"/>
  <c r="EU185"/>
  <c r="EV185"/>
  <c r="EW185"/>
  <c r="EX185"/>
  <c r="EY185"/>
  <c r="EZ185"/>
  <c r="FA185"/>
  <c r="FB185"/>
  <c r="FC185"/>
  <c r="FD185"/>
  <c r="FE185"/>
  <c r="FF185"/>
  <c r="FG185"/>
  <c r="FH185"/>
  <c r="FI185"/>
  <c r="FJ185"/>
  <c r="FK185"/>
  <c r="FL185"/>
  <c r="FM185"/>
  <c r="FN185"/>
  <c r="FO185"/>
  <c r="FP185"/>
  <c r="FQ185"/>
  <c r="FR185"/>
  <c r="FS185"/>
  <c r="FT185"/>
  <c r="FU185"/>
  <c r="FV185"/>
  <c r="FW185"/>
  <c r="FX185"/>
  <c r="FY185"/>
  <c r="FZ185"/>
  <c r="GA185"/>
  <c r="GB185"/>
  <c r="GC185"/>
  <c r="GD185"/>
  <c r="GE185"/>
  <c r="GF185"/>
  <c r="GG185"/>
  <c r="GH185"/>
  <c r="GI185"/>
  <c r="GJ185"/>
  <c r="GK185"/>
  <c r="GL185"/>
  <c r="GM185"/>
  <c r="GN185"/>
  <c r="GO185"/>
  <c r="GP185"/>
  <c r="GQ185"/>
  <c r="GR185"/>
  <c r="GS185"/>
  <c r="GT185"/>
  <c r="GU185"/>
  <c r="GV185"/>
  <c r="GW185"/>
  <c r="GX185"/>
  <c r="GY185"/>
  <c r="GZ185"/>
  <c r="HA185"/>
  <c r="HB185"/>
  <c r="HC185"/>
  <c r="HD185"/>
  <c r="HE185"/>
  <c r="HF185"/>
  <c r="HG185"/>
  <c r="HH185"/>
  <c r="HI185"/>
  <c r="HJ185"/>
  <c r="HK185"/>
  <c r="HL185"/>
  <c r="HM185"/>
  <c r="HN185"/>
  <c r="HO185"/>
  <c r="HP185"/>
  <c r="HQ185"/>
  <c r="HR185"/>
  <c r="HS185"/>
  <c r="HT185"/>
  <c r="HU185"/>
  <c r="HV185"/>
  <c r="HW185"/>
  <c r="HX185"/>
  <c r="HY185"/>
  <c r="HZ185"/>
  <c r="IA185"/>
  <c r="IB185"/>
  <c r="IC185"/>
  <c r="ID185"/>
  <c r="IE185"/>
  <c r="IF185"/>
  <c r="IG185"/>
  <c r="IH185"/>
  <c r="II185"/>
  <c r="IJ185"/>
  <c r="IK185"/>
  <c r="IL185"/>
  <c r="IM185"/>
  <c r="IN185"/>
  <c r="IO185"/>
  <c r="IP185"/>
  <c r="IQ185"/>
  <c r="IR185"/>
  <c r="IS185"/>
  <c r="IT185"/>
  <c r="IU185"/>
  <c r="IV185"/>
  <c r="A184"/>
  <c r="B184"/>
  <c r="C184"/>
  <c r="D184"/>
  <c r="E184"/>
  <c r="F184"/>
  <c r="G184"/>
  <c r="H184"/>
  <c r="I184"/>
  <c r="J184"/>
  <c r="K184"/>
  <c r="L184"/>
  <c r="M184"/>
  <c r="N184"/>
  <c r="O184"/>
  <c r="P184"/>
  <c r="Q184"/>
  <c r="R184"/>
  <c r="S184"/>
  <c r="T184"/>
  <c r="U184"/>
  <c r="V184"/>
  <c r="W184"/>
  <c r="X184"/>
  <c r="Y184"/>
  <c r="Z184"/>
  <c r="AA184"/>
  <c r="AB184"/>
  <c r="AC184"/>
  <c r="AD184"/>
  <c r="AE184"/>
  <c r="AF184"/>
  <c r="AG184"/>
  <c r="AH184"/>
  <c r="AI184"/>
  <c r="AJ184"/>
  <c r="AK184"/>
  <c r="AL184"/>
  <c r="AM184"/>
  <c r="AN184"/>
  <c r="AO184"/>
  <c r="AP184"/>
  <c r="AQ184"/>
  <c r="AR184"/>
  <c r="AS184"/>
  <c r="AT184"/>
  <c r="AU184"/>
  <c r="AV184"/>
  <c r="AW184"/>
  <c r="AX184"/>
  <c r="AY184"/>
  <c r="AZ184"/>
  <c r="BA184"/>
  <c r="BB184"/>
  <c r="BC184"/>
  <c r="BD184"/>
  <c r="BE184"/>
  <c r="BF184"/>
  <c r="BG184"/>
  <c r="BH184"/>
  <c r="BI184"/>
  <c r="BJ184"/>
  <c r="BK184"/>
  <c r="BL184"/>
  <c r="BM184"/>
  <c r="BN184"/>
  <c r="BO184"/>
  <c r="BP184"/>
  <c r="BQ184"/>
  <c r="BR184"/>
  <c r="BS184"/>
  <c r="BT184"/>
  <c r="BU184"/>
  <c r="BV184"/>
  <c r="BW184"/>
  <c r="BX184"/>
  <c r="BY184"/>
  <c r="BZ184"/>
  <c r="CA184"/>
  <c r="CB184"/>
  <c r="CC184"/>
  <c r="CD184"/>
  <c r="CE184"/>
  <c r="CF184"/>
  <c r="CG184"/>
  <c r="CH184"/>
  <c r="CI184"/>
  <c r="CJ184"/>
  <c r="CK184"/>
  <c r="CL184"/>
  <c r="CM184"/>
  <c r="CN184"/>
  <c r="CO184"/>
  <c r="CP184"/>
  <c r="CQ184"/>
  <c r="CR184"/>
  <c r="CS184"/>
  <c r="CT184"/>
  <c r="CU184"/>
  <c r="CV184"/>
  <c r="CW184"/>
  <c r="CX184"/>
  <c r="CY184"/>
  <c r="CZ184"/>
  <c r="DA184"/>
  <c r="DB184"/>
  <c r="DC184"/>
  <c r="DD184"/>
  <c r="DE184"/>
  <c r="DF184"/>
  <c r="DG184"/>
  <c r="DH184"/>
  <c r="DI184"/>
  <c r="DJ184"/>
  <c r="DK184"/>
  <c r="DL184"/>
  <c r="DM184"/>
  <c r="DN184"/>
  <c r="DO184"/>
  <c r="DP184"/>
  <c r="DQ184"/>
  <c r="DR184"/>
  <c r="DS184"/>
  <c r="DT184"/>
  <c r="DU184"/>
  <c r="DV184"/>
  <c r="DW184"/>
  <c r="DX184"/>
  <c r="DY184"/>
  <c r="DZ184"/>
  <c r="EA184"/>
  <c r="EB184"/>
  <c r="EC184"/>
  <c r="ED184"/>
  <c r="EE184"/>
  <c r="EF184"/>
  <c r="EG184"/>
  <c r="EH184"/>
  <c r="EI184"/>
  <c r="EJ184"/>
  <c r="EK184"/>
  <c r="EL184"/>
  <c r="EM184"/>
  <c r="EN184"/>
  <c r="EO184"/>
  <c r="EP184"/>
  <c r="EQ184"/>
  <c r="ER184"/>
  <c r="ES184"/>
  <c r="ET184"/>
  <c r="EU184"/>
  <c r="EV184"/>
  <c r="EW184"/>
  <c r="EX184"/>
  <c r="EY184"/>
  <c r="EZ184"/>
  <c r="FA184"/>
  <c r="FB184"/>
  <c r="FC184"/>
  <c r="FD184"/>
  <c r="FE184"/>
  <c r="FF184"/>
  <c r="FG184"/>
  <c r="FH184"/>
  <c r="FI184"/>
  <c r="FJ184"/>
  <c r="FK184"/>
  <c r="FL184"/>
  <c r="FM184"/>
  <c r="FN184"/>
  <c r="FO184"/>
  <c r="FP184"/>
  <c r="FQ184"/>
  <c r="FR184"/>
  <c r="FS184"/>
  <c r="FT184"/>
  <c r="FU184"/>
  <c r="FV184"/>
  <c r="FW184"/>
  <c r="FX184"/>
  <c r="FY184"/>
  <c r="FZ184"/>
  <c r="GA184"/>
  <c r="GB184"/>
  <c r="GC184"/>
  <c r="GD184"/>
  <c r="GE184"/>
  <c r="GF184"/>
  <c r="GG184"/>
  <c r="GH184"/>
  <c r="GI184"/>
  <c r="GJ184"/>
  <c r="GK184"/>
  <c r="GL184"/>
  <c r="GM184"/>
  <c r="GN184"/>
  <c r="GO184"/>
  <c r="GP184"/>
  <c r="GQ184"/>
  <c r="GR184"/>
  <c r="GS184"/>
  <c r="GT184"/>
  <c r="GU184"/>
  <c r="GV184"/>
  <c r="GW184"/>
  <c r="GX184"/>
  <c r="GY184"/>
  <c r="GZ184"/>
  <c r="HA184"/>
  <c r="HB184"/>
  <c r="HC184"/>
  <c r="HD184"/>
  <c r="HE184"/>
  <c r="HF184"/>
  <c r="HG184"/>
  <c r="HH184"/>
  <c r="HI184"/>
  <c r="HJ184"/>
  <c r="HK184"/>
  <c r="HL184"/>
  <c r="HM184"/>
  <c r="HN184"/>
  <c r="HO184"/>
  <c r="HP184"/>
  <c r="HQ184"/>
  <c r="HR184"/>
  <c r="HS184"/>
  <c r="HT184"/>
  <c r="HU184"/>
  <c r="HV184"/>
  <c r="HW184"/>
  <c r="HX184"/>
  <c r="HY184"/>
  <c r="HZ184"/>
  <c r="IA184"/>
  <c r="IB184"/>
  <c r="IC184"/>
  <c r="ID184"/>
  <c r="IE184"/>
  <c r="IF184"/>
  <c r="IG184"/>
  <c r="IH184"/>
  <c r="II184"/>
  <c r="IJ184"/>
  <c r="IK184"/>
  <c r="IL184"/>
  <c r="IM184"/>
  <c r="IN184"/>
  <c r="IO184"/>
  <c r="IP184"/>
  <c r="IQ184"/>
  <c r="IR184"/>
  <c r="IS184"/>
  <c r="IT184"/>
  <c r="IU184"/>
  <c r="IV184"/>
  <c r="A183"/>
  <c r="B183"/>
  <c r="C183"/>
  <c r="D183"/>
  <c r="E183"/>
  <c r="F183"/>
  <c r="G183"/>
  <c r="H183"/>
  <c r="I183"/>
  <c r="J183"/>
  <c r="K183"/>
  <c r="L183"/>
  <c r="M183"/>
  <c r="N183"/>
  <c r="O183"/>
  <c r="P183"/>
  <c r="Q183"/>
  <c r="R183"/>
  <c r="S183"/>
  <c r="T183"/>
  <c r="U183"/>
  <c r="V183"/>
  <c r="W183"/>
  <c r="X183"/>
  <c r="Y183"/>
  <c r="Z183"/>
  <c r="AA183"/>
  <c r="AB183"/>
  <c r="AC183"/>
  <c r="AD183"/>
  <c r="AE183"/>
  <c r="AF183"/>
  <c r="AG183"/>
  <c r="AH183"/>
  <c r="AI183"/>
  <c r="AJ183"/>
  <c r="AK183"/>
  <c r="AL183"/>
  <c r="AM183"/>
  <c r="AN183"/>
  <c r="AO183"/>
  <c r="AP183"/>
  <c r="AQ183"/>
  <c r="AR183"/>
  <c r="AS183"/>
  <c r="AT183"/>
  <c r="AU183"/>
  <c r="AV183"/>
  <c r="AW183"/>
  <c r="AX183"/>
  <c r="AY183"/>
  <c r="AZ183"/>
  <c r="BA183"/>
  <c r="BB183"/>
  <c r="BC183"/>
  <c r="BD183"/>
  <c r="BE183"/>
  <c r="BF183"/>
  <c r="BG183"/>
  <c r="BH183"/>
  <c r="BI183"/>
  <c r="BJ183"/>
  <c r="BK183"/>
  <c r="BL183"/>
  <c r="BM183"/>
  <c r="BN183"/>
  <c r="BO183"/>
  <c r="BP183"/>
  <c r="BQ183"/>
  <c r="BR183"/>
  <c r="BS183"/>
  <c r="BT183"/>
  <c r="BU183"/>
  <c r="BV183"/>
  <c r="BW183"/>
  <c r="BX183"/>
  <c r="BY183"/>
  <c r="BZ183"/>
  <c r="CA183"/>
  <c r="CB183"/>
  <c r="CC183"/>
  <c r="CD183"/>
  <c r="CE183"/>
  <c r="CF183"/>
  <c r="CG183"/>
  <c r="CH183"/>
  <c r="CI183"/>
  <c r="CJ183"/>
  <c r="CK183"/>
  <c r="CL183"/>
  <c r="CM183"/>
  <c r="CN183"/>
  <c r="CO183"/>
  <c r="CP183"/>
  <c r="CQ183"/>
  <c r="CR183"/>
  <c r="CS183"/>
  <c r="CT183"/>
  <c r="CU183"/>
  <c r="CV183"/>
  <c r="CW183"/>
  <c r="CX183"/>
  <c r="CY183"/>
  <c r="CZ183"/>
  <c r="DA183"/>
  <c r="DB183"/>
  <c r="DC183"/>
  <c r="DD183"/>
  <c r="DE183"/>
  <c r="DF183"/>
  <c r="DG183"/>
  <c r="DH183"/>
  <c r="DI183"/>
  <c r="DJ183"/>
  <c r="DK183"/>
  <c r="DL183"/>
  <c r="DM183"/>
  <c r="DN183"/>
  <c r="DO183"/>
  <c r="DP183"/>
  <c r="DQ183"/>
  <c r="DR183"/>
  <c r="DS183"/>
  <c r="DT183"/>
  <c r="DU183"/>
  <c r="DV183"/>
  <c r="DW183"/>
  <c r="DX183"/>
  <c r="DY183"/>
  <c r="DZ183"/>
  <c r="EA183"/>
  <c r="EB183"/>
  <c r="EC183"/>
  <c r="ED183"/>
  <c r="EE183"/>
  <c r="EF183"/>
  <c r="EG183"/>
  <c r="EH183"/>
  <c r="EI183"/>
  <c r="EJ183"/>
  <c r="EK183"/>
  <c r="EL183"/>
  <c r="EM183"/>
  <c r="EN183"/>
  <c r="EO183"/>
  <c r="EP183"/>
  <c r="EQ183"/>
  <c r="ER183"/>
  <c r="ES183"/>
  <c r="ET183"/>
  <c r="EU183"/>
  <c r="EV183"/>
  <c r="EW183"/>
  <c r="EX183"/>
  <c r="EY183"/>
  <c r="EZ183"/>
  <c r="FA183"/>
  <c r="FB183"/>
  <c r="FC183"/>
  <c r="FD183"/>
  <c r="FE183"/>
  <c r="FF183"/>
  <c r="FG183"/>
  <c r="FH183"/>
  <c r="FI183"/>
  <c r="FJ183"/>
  <c r="FK183"/>
  <c r="FL183"/>
  <c r="FM183"/>
  <c r="FN183"/>
  <c r="FO183"/>
  <c r="FP183"/>
  <c r="FQ183"/>
  <c r="FR183"/>
  <c r="FS183"/>
  <c r="FT183"/>
  <c r="FU183"/>
  <c r="FV183"/>
  <c r="FW183"/>
  <c r="FX183"/>
  <c r="FY183"/>
  <c r="FZ183"/>
  <c r="GA183"/>
  <c r="GB183"/>
  <c r="GC183"/>
  <c r="GD183"/>
  <c r="GE183"/>
  <c r="GF183"/>
  <c r="GG183"/>
  <c r="GH183"/>
  <c r="GI183"/>
  <c r="GJ183"/>
  <c r="GK183"/>
  <c r="GL183"/>
  <c r="GM183"/>
  <c r="GN183"/>
  <c r="GO183"/>
  <c r="GP183"/>
  <c r="GQ183"/>
  <c r="GR183"/>
  <c r="GS183"/>
  <c r="GT183"/>
  <c r="GU183"/>
  <c r="GV183"/>
  <c r="GW183"/>
  <c r="GX183"/>
  <c r="GY183"/>
  <c r="GZ183"/>
  <c r="HA183"/>
  <c r="HB183"/>
  <c r="HC183"/>
  <c r="HD183"/>
  <c r="HE183"/>
  <c r="HF183"/>
  <c r="HG183"/>
  <c r="HH183"/>
  <c r="HI183"/>
  <c r="HJ183"/>
  <c r="HK183"/>
  <c r="HL183"/>
  <c r="HM183"/>
  <c r="HN183"/>
  <c r="HO183"/>
  <c r="HP183"/>
  <c r="HQ183"/>
  <c r="HR183"/>
  <c r="HS183"/>
  <c r="HT183"/>
  <c r="HU183"/>
  <c r="HV183"/>
  <c r="HW183"/>
  <c r="HX183"/>
  <c r="HY183"/>
  <c r="HZ183"/>
  <c r="IA183"/>
  <c r="IB183"/>
  <c r="IC183"/>
  <c r="ID183"/>
  <c r="IE183"/>
  <c r="IF183"/>
  <c r="IG183"/>
  <c r="IH183"/>
  <c r="II183"/>
  <c r="IJ183"/>
  <c r="IK183"/>
  <c r="IL183"/>
  <c r="IM183"/>
  <c r="IN183"/>
  <c r="IO183"/>
  <c r="IP183"/>
  <c r="IQ183"/>
  <c r="IR183"/>
  <c r="IS183"/>
  <c r="IT183"/>
  <c r="IU183"/>
  <c r="IV183"/>
  <c r="A182"/>
  <c r="B182"/>
  <c r="C182"/>
  <c r="D182"/>
  <c r="E182"/>
  <c r="F182"/>
  <c r="G182"/>
  <c r="H182"/>
  <c r="I182"/>
  <c r="J182"/>
  <c r="K182"/>
  <c r="L182"/>
  <c r="M182"/>
  <c r="N182"/>
  <c r="O182"/>
  <c r="P182"/>
  <c r="Q182"/>
  <c r="R182"/>
  <c r="S182"/>
  <c r="T182"/>
  <c r="U182"/>
  <c r="V182"/>
  <c r="W182"/>
  <c r="X182"/>
  <c r="Y182"/>
  <c r="Z182"/>
  <c r="AA182"/>
  <c r="AB182"/>
  <c r="AC182"/>
  <c r="AD182"/>
  <c r="AE182"/>
  <c r="AF182"/>
  <c r="AG182"/>
  <c r="AH182"/>
  <c r="AI182"/>
  <c r="AJ182"/>
  <c r="AK182"/>
  <c r="AL182"/>
  <c r="AM182"/>
  <c r="AN182"/>
  <c r="AO182"/>
  <c r="AP182"/>
  <c r="AQ182"/>
  <c r="AR182"/>
  <c r="AS182"/>
  <c r="AT182"/>
  <c r="AU182"/>
  <c r="AV182"/>
  <c r="AW182"/>
  <c r="AX182"/>
  <c r="AY182"/>
  <c r="AZ182"/>
  <c r="BA182"/>
  <c r="BB182"/>
  <c r="BC182"/>
  <c r="BD182"/>
  <c r="BE182"/>
  <c r="BF182"/>
  <c r="BG182"/>
  <c r="BH182"/>
  <c r="BI182"/>
  <c r="BJ182"/>
  <c r="BK182"/>
  <c r="BL182"/>
  <c r="BM182"/>
  <c r="BN182"/>
  <c r="BO182"/>
  <c r="BP182"/>
  <c r="BQ182"/>
  <c r="BR182"/>
  <c r="BS182"/>
  <c r="BT182"/>
  <c r="BU182"/>
  <c r="BV182"/>
  <c r="BW182"/>
  <c r="BX182"/>
  <c r="BY182"/>
  <c r="BZ182"/>
  <c r="CA182"/>
  <c r="CB182"/>
  <c r="CC182"/>
  <c r="CD182"/>
  <c r="CE182"/>
  <c r="CF182"/>
  <c r="CG182"/>
  <c r="CH182"/>
  <c r="CI182"/>
  <c r="CJ182"/>
  <c r="CK182"/>
  <c r="CL182"/>
  <c r="CM182"/>
  <c r="CN182"/>
  <c r="CO182"/>
  <c r="CP182"/>
  <c r="CQ182"/>
  <c r="CR182"/>
  <c r="CS182"/>
  <c r="CT182"/>
  <c r="CU182"/>
  <c r="CV182"/>
  <c r="CW182"/>
  <c r="CX182"/>
  <c r="CY182"/>
  <c r="CZ182"/>
  <c r="DA182"/>
  <c r="DB182"/>
  <c r="DC182"/>
  <c r="DD182"/>
  <c r="DE182"/>
  <c r="DF182"/>
  <c r="DG182"/>
  <c r="DH182"/>
  <c r="DI182"/>
  <c r="DJ182"/>
  <c r="DK182"/>
  <c r="DL182"/>
  <c r="DM182"/>
  <c r="DN182"/>
  <c r="DO182"/>
  <c r="DP182"/>
  <c r="DQ182"/>
  <c r="DR182"/>
  <c r="DS182"/>
  <c r="DT182"/>
  <c r="DU182"/>
  <c r="DV182"/>
  <c r="DW182"/>
  <c r="DX182"/>
  <c r="DY182"/>
  <c r="DZ182"/>
  <c r="EA182"/>
  <c r="EB182"/>
  <c r="EC182"/>
  <c r="ED182"/>
  <c r="EE182"/>
  <c r="EF182"/>
  <c r="EG182"/>
  <c r="EH182"/>
  <c r="EI182"/>
  <c r="EJ182"/>
  <c r="EK182"/>
  <c r="EL182"/>
  <c r="EM182"/>
  <c r="EN182"/>
  <c r="EO182"/>
  <c r="EP182"/>
  <c r="EQ182"/>
  <c r="ER182"/>
  <c r="ES182"/>
  <c r="ET182"/>
  <c r="EU182"/>
  <c r="EV182"/>
  <c r="EW182"/>
  <c r="EX182"/>
  <c r="EY182"/>
  <c r="EZ182"/>
  <c r="FA182"/>
  <c r="FB182"/>
  <c r="FC182"/>
  <c r="FD182"/>
  <c r="FE182"/>
  <c r="FF182"/>
  <c r="FG182"/>
  <c r="FH182"/>
  <c r="FI182"/>
  <c r="FJ182"/>
  <c r="FK182"/>
  <c r="FL182"/>
  <c r="FM182"/>
  <c r="FN182"/>
  <c r="FO182"/>
  <c r="FP182"/>
  <c r="FQ182"/>
  <c r="FR182"/>
  <c r="FS182"/>
  <c r="FT182"/>
  <c r="FU182"/>
  <c r="FV182"/>
  <c r="FW182"/>
  <c r="FX182"/>
  <c r="FY182"/>
  <c r="FZ182"/>
  <c r="GA182"/>
  <c r="GB182"/>
  <c r="GC182"/>
  <c r="GD182"/>
  <c r="GE182"/>
  <c r="GF182"/>
  <c r="GG182"/>
  <c r="GH182"/>
  <c r="GI182"/>
  <c r="GJ182"/>
  <c r="GK182"/>
  <c r="GL182"/>
  <c r="GM182"/>
  <c r="GN182"/>
  <c r="GO182"/>
  <c r="GP182"/>
  <c r="GQ182"/>
  <c r="GR182"/>
  <c r="GS182"/>
  <c r="GT182"/>
  <c r="GU182"/>
  <c r="GV182"/>
  <c r="GW182"/>
  <c r="GX182"/>
  <c r="GY182"/>
  <c r="GZ182"/>
  <c r="HA182"/>
  <c r="HB182"/>
  <c r="HC182"/>
  <c r="HD182"/>
  <c r="HE182"/>
  <c r="HF182"/>
  <c r="HG182"/>
  <c r="HH182"/>
  <c r="HI182"/>
  <c r="HJ182"/>
  <c r="HK182"/>
  <c r="HL182"/>
  <c r="HM182"/>
  <c r="HN182"/>
  <c r="HO182"/>
  <c r="HP182"/>
  <c r="HQ182"/>
  <c r="HR182"/>
  <c r="HS182"/>
  <c r="HT182"/>
  <c r="HU182"/>
  <c r="HV182"/>
  <c r="HW182"/>
  <c r="HX182"/>
  <c r="HY182"/>
  <c r="HZ182"/>
  <c r="IA182"/>
  <c r="IB182"/>
  <c r="IC182"/>
  <c r="ID182"/>
  <c r="IE182"/>
  <c r="IF182"/>
  <c r="IG182"/>
  <c r="IH182"/>
  <c r="II182"/>
  <c r="IJ182"/>
  <c r="IK182"/>
  <c r="IL182"/>
  <c r="IM182"/>
  <c r="IN182"/>
  <c r="IO182"/>
  <c r="IP182"/>
  <c r="IQ182"/>
  <c r="IR182"/>
  <c r="IS182"/>
  <c r="IT182"/>
  <c r="IU182"/>
  <c r="IV182"/>
  <c r="A181"/>
  <c r="B181"/>
  <c r="C181"/>
  <c r="D181"/>
  <c r="E181"/>
  <c r="F181"/>
  <c r="G181"/>
  <c r="H181"/>
  <c r="I181"/>
  <c r="J181"/>
  <c r="K181"/>
  <c r="L181"/>
  <c r="M181"/>
  <c r="N181"/>
  <c r="O181"/>
  <c r="P181"/>
  <c r="Q181"/>
  <c r="R181"/>
  <c r="S181"/>
  <c r="T181"/>
  <c r="U181"/>
  <c r="V181"/>
  <c r="W181"/>
  <c r="X181"/>
  <c r="Y181"/>
  <c r="Z181"/>
  <c r="AA181"/>
  <c r="AB181"/>
  <c r="AC181"/>
  <c r="AD181"/>
  <c r="AE181"/>
  <c r="AF181"/>
  <c r="AG181"/>
  <c r="AH181"/>
  <c r="AI181"/>
  <c r="AJ181"/>
  <c r="AK181"/>
  <c r="AL181"/>
  <c r="AM181"/>
  <c r="AN181"/>
  <c r="AO181"/>
  <c r="AP181"/>
  <c r="AQ181"/>
  <c r="AR181"/>
  <c r="AS181"/>
  <c r="AT181"/>
  <c r="AU181"/>
  <c r="AV181"/>
  <c r="AW181"/>
  <c r="AX181"/>
  <c r="AY181"/>
  <c r="AZ181"/>
  <c r="BA181"/>
  <c r="BB181"/>
  <c r="BC181"/>
  <c r="BD181"/>
  <c r="BE181"/>
  <c r="BF181"/>
  <c r="BG181"/>
  <c r="BH181"/>
  <c r="BI181"/>
  <c r="BJ181"/>
  <c r="BK181"/>
  <c r="BL181"/>
  <c r="BM181"/>
  <c r="BN181"/>
  <c r="BO181"/>
  <c r="BP181"/>
  <c r="BQ181"/>
  <c r="BR181"/>
  <c r="BS181"/>
  <c r="BT181"/>
  <c r="BU181"/>
  <c r="BV181"/>
  <c r="BW181"/>
  <c r="BX181"/>
  <c r="BY181"/>
  <c r="BZ181"/>
  <c r="CA181"/>
  <c r="CB181"/>
  <c r="CC181"/>
  <c r="CD181"/>
  <c r="CE181"/>
  <c r="CF181"/>
  <c r="CG181"/>
  <c r="CH181"/>
  <c r="CI181"/>
  <c r="CJ181"/>
  <c r="CK181"/>
  <c r="CL181"/>
  <c r="CM181"/>
  <c r="CN181"/>
  <c r="CO181"/>
  <c r="CP181"/>
  <c r="CQ181"/>
  <c r="CR181"/>
  <c r="CS181"/>
  <c r="CT181"/>
  <c r="CU181"/>
  <c r="CV181"/>
  <c r="CW181"/>
  <c r="CX181"/>
  <c r="CY181"/>
  <c r="CZ181"/>
  <c r="DA181"/>
  <c r="DB181"/>
  <c r="DC181"/>
  <c r="DD181"/>
  <c r="DE181"/>
  <c r="DF181"/>
  <c r="DG181"/>
  <c r="DH181"/>
  <c r="DI181"/>
  <c r="DJ181"/>
  <c r="DK181"/>
  <c r="DL181"/>
  <c r="DM181"/>
  <c r="DN181"/>
  <c r="DO181"/>
  <c r="DP181"/>
  <c r="DQ181"/>
  <c r="DR181"/>
  <c r="DS181"/>
  <c r="DT181"/>
  <c r="DU181"/>
  <c r="DV181"/>
  <c r="DW181"/>
  <c r="DX181"/>
  <c r="DY181"/>
  <c r="DZ181"/>
  <c r="EA181"/>
  <c r="EB181"/>
  <c r="EC181"/>
  <c r="ED181"/>
  <c r="EE181"/>
  <c r="EF181"/>
  <c r="EG181"/>
  <c r="EH181"/>
  <c r="EI181"/>
  <c r="EJ181"/>
  <c r="EK181"/>
  <c r="EL181"/>
  <c r="EM181"/>
  <c r="EN181"/>
  <c r="EO181"/>
  <c r="EP181"/>
  <c r="EQ181"/>
  <c r="ER181"/>
  <c r="ES181"/>
  <c r="ET181"/>
  <c r="EU181"/>
  <c r="EV181"/>
  <c r="EW181"/>
  <c r="EX181"/>
  <c r="EY181"/>
  <c r="EZ181"/>
  <c r="FA181"/>
  <c r="FB181"/>
  <c r="FC181"/>
  <c r="FD181"/>
  <c r="FE181"/>
  <c r="FF181"/>
  <c r="FG181"/>
  <c r="FH181"/>
  <c r="FI181"/>
  <c r="FJ181"/>
  <c r="FK181"/>
  <c r="FL181"/>
  <c r="FM181"/>
  <c r="FN181"/>
  <c r="FO181"/>
  <c r="FP181"/>
  <c r="FQ181"/>
  <c r="FR181"/>
  <c r="FS181"/>
  <c r="FT181"/>
  <c r="FU181"/>
  <c r="FV181"/>
  <c r="FW181"/>
  <c r="FX181"/>
  <c r="FY181"/>
  <c r="FZ181"/>
  <c r="GA181"/>
  <c r="GB181"/>
  <c r="GC181"/>
  <c r="GD181"/>
  <c r="GE181"/>
  <c r="GF181"/>
  <c r="GG181"/>
  <c r="GH181"/>
  <c r="GI181"/>
  <c r="GJ181"/>
  <c r="GK181"/>
  <c r="GL181"/>
  <c r="GM181"/>
  <c r="GN181"/>
  <c r="GO181"/>
  <c r="GP181"/>
  <c r="GQ181"/>
  <c r="GR181"/>
  <c r="GS181"/>
  <c r="GT181"/>
  <c r="GU181"/>
  <c r="GV181"/>
  <c r="GW181"/>
  <c r="GX181"/>
  <c r="GY181"/>
  <c r="GZ181"/>
  <c r="HA181"/>
  <c r="HB181"/>
  <c r="HC181"/>
  <c r="HD181"/>
  <c r="HE181"/>
  <c r="HF181"/>
  <c r="HG181"/>
  <c r="HH181"/>
  <c r="HI181"/>
  <c r="HJ181"/>
  <c r="HK181"/>
  <c r="HL181"/>
  <c r="HM181"/>
  <c r="HN181"/>
  <c r="HO181"/>
  <c r="HP181"/>
  <c r="HQ181"/>
  <c r="HR181"/>
  <c r="HS181"/>
  <c r="HT181"/>
  <c r="HU181"/>
  <c r="HV181"/>
  <c r="HW181"/>
  <c r="HX181"/>
  <c r="HY181"/>
  <c r="HZ181"/>
  <c r="IA181"/>
  <c r="IB181"/>
  <c r="IC181"/>
  <c r="ID181"/>
  <c r="IE181"/>
  <c r="IF181"/>
  <c r="IG181"/>
  <c r="IH181"/>
  <c r="II181"/>
  <c r="IJ181"/>
  <c r="IK181"/>
  <c r="IL181"/>
  <c r="IM181"/>
  <c r="IN181"/>
  <c r="IO181"/>
  <c r="IP181"/>
  <c r="IQ181"/>
  <c r="IR181"/>
  <c r="IS181"/>
  <c r="IT181"/>
  <c r="IU181"/>
  <c r="IV181"/>
  <c r="A180"/>
  <c r="B180"/>
  <c r="C180"/>
  <c r="D180"/>
  <c r="E180"/>
  <c r="F180"/>
  <c r="G180"/>
  <c r="H180"/>
  <c r="I180"/>
  <c r="J180"/>
  <c r="K180"/>
  <c r="L180"/>
  <c r="M180"/>
  <c r="N180"/>
  <c r="O180"/>
  <c r="P180"/>
  <c r="Q180"/>
  <c r="R180"/>
  <c r="S180"/>
  <c r="T180"/>
  <c r="U180"/>
  <c r="V180"/>
  <c r="W180"/>
  <c r="X180"/>
  <c r="Y180"/>
  <c r="Z180"/>
  <c r="AA180"/>
  <c r="AB180"/>
  <c r="AC180"/>
  <c r="AD180"/>
  <c r="AE180"/>
  <c r="AF180"/>
  <c r="AG180"/>
  <c r="AH180"/>
  <c r="AI180"/>
  <c r="AJ180"/>
  <c r="AK180"/>
  <c r="AL180"/>
  <c r="AM180"/>
  <c r="AN180"/>
  <c r="AO180"/>
  <c r="AP180"/>
  <c r="AQ180"/>
  <c r="AR180"/>
  <c r="AS180"/>
  <c r="AT180"/>
  <c r="AU180"/>
  <c r="AV180"/>
  <c r="AW180"/>
  <c r="AX180"/>
  <c r="AY180"/>
  <c r="AZ180"/>
  <c r="BA180"/>
  <c r="BB180"/>
  <c r="BC180"/>
  <c r="BD180"/>
  <c r="BE180"/>
  <c r="BF180"/>
  <c r="BG180"/>
  <c r="BH180"/>
  <c r="BI180"/>
  <c r="BJ180"/>
  <c r="BK180"/>
  <c r="BL180"/>
  <c r="BM180"/>
  <c r="BN180"/>
  <c r="BO180"/>
  <c r="BP180"/>
  <c r="BQ180"/>
  <c r="BR180"/>
  <c r="BS180"/>
  <c r="BT180"/>
  <c r="BU180"/>
  <c r="BV180"/>
  <c r="BW180"/>
  <c r="BX180"/>
  <c r="BY180"/>
  <c r="BZ180"/>
  <c r="CA180"/>
  <c r="CB180"/>
  <c r="CC180"/>
  <c r="CD180"/>
  <c r="CE180"/>
  <c r="CF180"/>
  <c r="CG180"/>
  <c r="CH180"/>
  <c r="CI180"/>
  <c r="CJ180"/>
  <c r="CK180"/>
  <c r="CL180"/>
  <c r="CM180"/>
  <c r="CN180"/>
  <c r="CO180"/>
  <c r="CP180"/>
  <c r="CQ180"/>
  <c r="CR180"/>
  <c r="CS180"/>
  <c r="CT180"/>
  <c r="CU180"/>
  <c r="CV180"/>
  <c r="CW180"/>
  <c r="CX180"/>
  <c r="CY180"/>
  <c r="CZ180"/>
  <c r="DA180"/>
  <c r="DB180"/>
  <c r="DC180"/>
  <c r="DD180"/>
  <c r="DE180"/>
  <c r="DF180"/>
  <c r="DG180"/>
  <c r="DH180"/>
  <c r="DI180"/>
  <c r="DJ180"/>
  <c r="DK180"/>
  <c r="DL180"/>
  <c r="DM180"/>
  <c r="DN180"/>
  <c r="DO180"/>
  <c r="DP180"/>
  <c r="DQ180"/>
  <c r="DR180"/>
  <c r="DS180"/>
  <c r="DT180"/>
  <c r="DU180"/>
  <c r="DV180"/>
  <c r="DW180"/>
  <c r="DX180"/>
  <c r="DY180"/>
  <c r="DZ180"/>
  <c r="EA180"/>
  <c r="EB180"/>
  <c r="EC180"/>
  <c r="ED180"/>
  <c r="EE180"/>
  <c r="EF180"/>
  <c r="EG180"/>
  <c r="EH180"/>
  <c r="EI180"/>
  <c r="EJ180"/>
  <c r="EK180"/>
  <c r="EL180"/>
  <c r="EM180"/>
  <c r="EN180"/>
  <c r="EO180"/>
  <c r="EP180"/>
  <c r="EQ180"/>
  <c r="ER180"/>
  <c r="ES180"/>
  <c r="ET180"/>
  <c r="EU180"/>
  <c r="EV180"/>
  <c r="EW180"/>
  <c r="EX180"/>
  <c r="EY180"/>
  <c r="EZ180"/>
  <c r="FA180"/>
  <c r="FB180"/>
  <c r="FC180"/>
  <c r="FD180"/>
  <c r="FE180"/>
  <c r="FF180"/>
  <c r="FG180"/>
  <c r="FH180"/>
  <c r="FI180"/>
  <c r="FJ180"/>
  <c r="FK180"/>
  <c r="FL180"/>
  <c r="FM180"/>
  <c r="FN180"/>
  <c r="FO180"/>
  <c r="FP180"/>
  <c r="FQ180"/>
  <c r="FR180"/>
  <c r="FS180"/>
  <c r="FT180"/>
  <c r="FU180"/>
  <c r="FV180"/>
  <c r="FW180"/>
  <c r="FX180"/>
  <c r="FY180"/>
  <c r="FZ180"/>
  <c r="GA180"/>
  <c r="GB180"/>
  <c r="GC180"/>
  <c r="GD180"/>
  <c r="GE180"/>
  <c r="GF180"/>
  <c r="GG180"/>
  <c r="GH180"/>
  <c r="GI180"/>
  <c r="GJ180"/>
  <c r="GK180"/>
  <c r="GL180"/>
  <c r="GM180"/>
  <c r="GN180"/>
  <c r="GO180"/>
  <c r="GP180"/>
  <c r="GQ180"/>
  <c r="GR180"/>
  <c r="GS180"/>
  <c r="GT180"/>
  <c r="GU180"/>
  <c r="GV180"/>
  <c r="GW180"/>
  <c r="GX180"/>
  <c r="GY180"/>
  <c r="GZ180"/>
  <c r="HA180"/>
  <c r="HB180"/>
  <c r="HC180"/>
  <c r="HD180"/>
  <c r="HE180"/>
  <c r="HF180"/>
  <c r="HG180"/>
  <c r="HH180"/>
  <c r="HI180"/>
  <c r="HJ180"/>
  <c r="HK180"/>
  <c r="HL180"/>
  <c r="HM180"/>
  <c r="HN180"/>
  <c r="HO180"/>
  <c r="HP180"/>
  <c r="HQ180"/>
  <c r="HR180"/>
  <c r="HS180"/>
  <c r="HT180"/>
  <c r="HU180"/>
  <c r="HV180"/>
  <c r="HW180"/>
  <c r="HX180"/>
  <c r="HY180"/>
  <c r="HZ180"/>
  <c r="IA180"/>
  <c r="IB180"/>
  <c r="IC180"/>
  <c r="ID180"/>
  <c r="IE180"/>
  <c r="IF180"/>
  <c r="IG180"/>
  <c r="IH180"/>
  <c r="II180"/>
  <c r="IJ180"/>
  <c r="IK180"/>
  <c r="IL180"/>
  <c r="IM180"/>
  <c r="IN180"/>
  <c r="IO180"/>
  <c r="IP180"/>
  <c r="IQ180"/>
  <c r="IR180"/>
  <c r="IS180"/>
  <c r="IT180"/>
  <c r="IU180"/>
  <c r="IV180"/>
  <c r="A179"/>
  <c r="B179"/>
  <c r="C179"/>
  <c r="D179"/>
  <c r="E179"/>
  <c r="F179"/>
  <c r="G179"/>
  <c r="H179"/>
  <c r="I179"/>
  <c r="J179"/>
  <c r="K179"/>
  <c r="L179"/>
  <c r="M179"/>
  <c r="N179"/>
  <c r="O179"/>
  <c r="P179"/>
  <c r="Q179"/>
  <c r="R179"/>
  <c r="S179"/>
  <c r="T179"/>
  <c r="U179"/>
  <c r="V179"/>
  <c r="W179"/>
  <c r="X179"/>
  <c r="Y179"/>
  <c r="Z179"/>
  <c r="AA179"/>
  <c r="AB179"/>
  <c r="AC179"/>
  <c r="AD179"/>
  <c r="AE179"/>
  <c r="AF179"/>
  <c r="AG179"/>
  <c r="AH179"/>
  <c r="AI179"/>
  <c r="AJ179"/>
  <c r="AK179"/>
  <c r="AL179"/>
  <c r="AM179"/>
  <c r="AN179"/>
  <c r="AO179"/>
  <c r="AP179"/>
  <c r="AQ179"/>
  <c r="AR179"/>
  <c r="AS179"/>
  <c r="AT179"/>
  <c r="AU179"/>
  <c r="AV179"/>
  <c r="AW179"/>
  <c r="AX179"/>
  <c r="AY179"/>
  <c r="AZ179"/>
  <c r="BA179"/>
  <c r="BB179"/>
  <c r="BC179"/>
  <c r="BD179"/>
  <c r="BE179"/>
  <c r="BF179"/>
  <c r="BG179"/>
  <c r="BH179"/>
  <c r="BI179"/>
  <c r="BJ179"/>
  <c r="BK179"/>
  <c r="BL179"/>
  <c r="BM179"/>
  <c r="BN179"/>
  <c r="BO179"/>
  <c r="BP179"/>
  <c r="BQ179"/>
  <c r="BR179"/>
  <c r="BS179"/>
  <c r="BT179"/>
  <c r="BU179"/>
  <c r="BV179"/>
  <c r="BW179"/>
  <c r="BX179"/>
  <c r="BY179"/>
  <c r="BZ179"/>
  <c r="CA179"/>
  <c r="CB179"/>
  <c r="CC179"/>
  <c r="CD179"/>
  <c r="CE179"/>
  <c r="CF179"/>
  <c r="CG179"/>
  <c r="CH179"/>
  <c r="CI179"/>
  <c r="CJ179"/>
  <c r="CK179"/>
  <c r="CL179"/>
  <c r="CM179"/>
  <c r="CN179"/>
  <c r="CO179"/>
  <c r="CP179"/>
  <c r="CQ179"/>
  <c r="CR179"/>
  <c r="CS179"/>
  <c r="CT179"/>
  <c r="CU179"/>
  <c r="CV179"/>
  <c r="CW179"/>
  <c r="CX179"/>
  <c r="CY179"/>
  <c r="CZ179"/>
  <c r="DA179"/>
  <c r="DB179"/>
  <c r="DC179"/>
  <c r="DD179"/>
  <c r="DE179"/>
  <c r="DF179"/>
  <c r="DG179"/>
  <c r="DH179"/>
  <c r="DI179"/>
  <c r="DJ179"/>
  <c r="DK179"/>
  <c r="DL179"/>
  <c r="DM179"/>
  <c r="DN179"/>
  <c r="DO179"/>
  <c r="DP179"/>
  <c r="DQ179"/>
  <c r="DR179"/>
  <c r="DS179"/>
  <c r="DT179"/>
  <c r="DU179"/>
  <c r="DV179"/>
  <c r="DW179"/>
  <c r="DX179"/>
  <c r="DY179"/>
  <c r="DZ179"/>
  <c r="EA179"/>
  <c r="EB179"/>
  <c r="EC179"/>
  <c r="ED179"/>
  <c r="EE179"/>
  <c r="EF179"/>
  <c r="EG179"/>
  <c r="EH179"/>
  <c r="EI179"/>
  <c r="EJ179"/>
  <c r="EK179"/>
  <c r="EL179"/>
  <c r="EM179"/>
  <c r="EN179"/>
  <c r="EO179"/>
  <c r="EP179"/>
  <c r="EQ179"/>
  <c r="ER179"/>
  <c r="ES179"/>
  <c r="ET179"/>
  <c r="EU179"/>
  <c r="EV179"/>
  <c r="EW179"/>
  <c r="EX179"/>
  <c r="EY179"/>
  <c r="EZ179"/>
  <c r="FA179"/>
  <c r="FB179"/>
  <c r="FC179"/>
  <c r="FD179"/>
  <c r="FE179"/>
  <c r="FF179"/>
  <c r="FG179"/>
  <c r="FH179"/>
  <c r="FI179"/>
  <c r="FJ179"/>
  <c r="FK179"/>
  <c r="FL179"/>
  <c r="FM179"/>
  <c r="FN179"/>
  <c r="FO179"/>
  <c r="FP179"/>
  <c r="FQ179"/>
  <c r="FR179"/>
  <c r="FS179"/>
  <c r="FT179"/>
  <c r="FU179"/>
  <c r="FV179"/>
  <c r="FW179"/>
  <c r="FX179"/>
  <c r="FY179"/>
  <c r="FZ179"/>
  <c r="GA179"/>
  <c r="GB179"/>
  <c r="GC179"/>
  <c r="GD179"/>
  <c r="GE179"/>
  <c r="GF179"/>
  <c r="GG179"/>
  <c r="GH179"/>
  <c r="GI179"/>
  <c r="GJ179"/>
  <c r="GK179"/>
  <c r="GL179"/>
  <c r="GM179"/>
  <c r="GN179"/>
  <c r="GO179"/>
  <c r="GP179"/>
  <c r="GQ179"/>
  <c r="GR179"/>
  <c r="GS179"/>
  <c r="GT179"/>
  <c r="GU179"/>
  <c r="GV179"/>
  <c r="GW179"/>
  <c r="GX179"/>
  <c r="GY179"/>
  <c r="GZ179"/>
  <c r="HA179"/>
  <c r="HB179"/>
  <c r="HC179"/>
  <c r="HD179"/>
  <c r="HE179"/>
  <c r="HF179"/>
  <c r="HG179"/>
  <c r="HH179"/>
  <c r="HI179"/>
  <c r="HJ179"/>
  <c r="HK179"/>
  <c r="HL179"/>
  <c r="HM179"/>
  <c r="HN179"/>
  <c r="HO179"/>
  <c r="HP179"/>
  <c r="HQ179"/>
  <c r="HR179"/>
  <c r="HS179"/>
  <c r="HT179"/>
  <c r="HU179"/>
  <c r="HV179"/>
  <c r="HW179"/>
  <c r="HX179"/>
  <c r="HY179"/>
  <c r="HZ179"/>
  <c r="IA179"/>
  <c r="IB179"/>
  <c r="IC179"/>
  <c r="ID179"/>
  <c r="IE179"/>
  <c r="IF179"/>
  <c r="IG179"/>
  <c r="IH179"/>
  <c r="II179"/>
  <c r="IJ179"/>
  <c r="IK179"/>
  <c r="IL179"/>
  <c r="IM179"/>
  <c r="IN179"/>
  <c r="IO179"/>
  <c r="IP179"/>
  <c r="IQ179"/>
  <c r="IR179"/>
  <c r="IS179"/>
  <c r="IT179"/>
  <c r="IU179"/>
  <c r="IV179"/>
  <c r="A178"/>
  <c r="B178"/>
  <c r="C178"/>
  <c r="D178"/>
  <c r="E178"/>
  <c r="F178"/>
  <c r="G178"/>
  <c r="H178"/>
  <c r="I178"/>
  <c r="J178"/>
  <c r="K178"/>
  <c r="L178"/>
  <c r="M178"/>
  <c r="N178"/>
  <c r="O178"/>
  <c r="P178"/>
  <c r="Q178"/>
  <c r="R178"/>
  <c r="S178"/>
  <c r="T178"/>
  <c r="U178"/>
  <c r="V178"/>
  <c r="W178"/>
  <c r="X178"/>
  <c r="Y178"/>
  <c r="Z178"/>
  <c r="AA178"/>
  <c r="AB178"/>
  <c r="AC178"/>
  <c r="AD178"/>
  <c r="AE178"/>
  <c r="AF178"/>
  <c r="AG178"/>
  <c r="AH178"/>
  <c r="AI178"/>
  <c r="AJ178"/>
  <c r="AK178"/>
  <c r="AL178"/>
  <c r="AM178"/>
  <c r="AN178"/>
  <c r="AO178"/>
  <c r="AP178"/>
  <c r="AQ178"/>
  <c r="AR178"/>
  <c r="AS178"/>
  <c r="AT178"/>
  <c r="AU178"/>
  <c r="AV178"/>
  <c r="AW178"/>
  <c r="AX178"/>
  <c r="AY178"/>
  <c r="AZ178"/>
  <c r="BA178"/>
  <c r="BB178"/>
  <c r="BC178"/>
  <c r="BD178"/>
  <c r="BE178"/>
  <c r="BF178"/>
  <c r="BG178"/>
  <c r="BH178"/>
  <c r="BI178"/>
  <c r="BJ178"/>
  <c r="BK178"/>
  <c r="BL178"/>
  <c r="BM178"/>
  <c r="BN178"/>
  <c r="BO178"/>
  <c r="BP178"/>
  <c r="BQ178"/>
  <c r="BR178"/>
  <c r="BS178"/>
  <c r="BT178"/>
  <c r="BU178"/>
  <c r="BV178"/>
  <c r="BW178"/>
  <c r="BX178"/>
  <c r="BY178"/>
  <c r="BZ178"/>
  <c r="CA178"/>
  <c r="CB178"/>
  <c r="CC178"/>
  <c r="CD178"/>
  <c r="CE178"/>
  <c r="CF178"/>
  <c r="CG178"/>
  <c r="CH178"/>
  <c r="CI178"/>
  <c r="CJ178"/>
  <c r="CK178"/>
  <c r="CL178"/>
  <c r="CM178"/>
  <c r="CN178"/>
  <c r="CO178"/>
  <c r="CP178"/>
  <c r="CQ178"/>
  <c r="CR178"/>
  <c r="CS178"/>
  <c r="CT178"/>
  <c r="CU178"/>
  <c r="CV178"/>
  <c r="CW178"/>
  <c r="CX178"/>
  <c r="CY178"/>
  <c r="CZ178"/>
  <c r="DA178"/>
  <c r="DB178"/>
  <c r="DC178"/>
  <c r="DD178"/>
  <c r="DE178"/>
  <c r="DF178"/>
  <c r="DG178"/>
  <c r="DH178"/>
  <c r="DI178"/>
  <c r="DJ178"/>
  <c r="DK178"/>
  <c r="DL178"/>
  <c r="DM178"/>
  <c r="DN178"/>
  <c r="DO178"/>
  <c r="DP178"/>
  <c r="DQ178"/>
  <c r="DR178"/>
  <c r="DS178"/>
  <c r="DT178"/>
  <c r="DU178"/>
  <c r="DV178"/>
  <c r="DW178"/>
  <c r="DX178"/>
  <c r="DY178"/>
  <c r="DZ178"/>
  <c r="EA178"/>
  <c r="EB178"/>
  <c r="EC178"/>
  <c r="ED178"/>
  <c r="EE178"/>
  <c r="EF178"/>
  <c r="EG178"/>
  <c r="EH178"/>
  <c r="EI178"/>
  <c r="EJ178"/>
  <c r="EK178"/>
  <c r="EL178"/>
  <c r="EM178"/>
  <c r="EN178"/>
  <c r="EO178"/>
  <c r="EP178"/>
  <c r="EQ178"/>
  <c r="ER178"/>
  <c r="ES178"/>
  <c r="ET178"/>
  <c r="EU178"/>
  <c r="EV178"/>
  <c r="EW178"/>
  <c r="EX178"/>
  <c r="EY178"/>
  <c r="EZ178"/>
  <c r="FA178"/>
  <c r="FB178"/>
  <c r="FC178"/>
  <c r="FD178"/>
  <c r="FE178"/>
  <c r="FF178"/>
  <c r="FG178"/>
  <c r="FH178"/>
  <c r="FI178"/>
  <c r="FJ178"/>
  <c r="FK178"/>
  <c r="FL178"/>
  <c r="FM178"/>
  <c r="FN178"/>
  <c r="FO178"/>
  <c r="FP178"/>
  <c r="FQ178"/>
  <c r="FR178"/>
  <c r="FS178"/>
  <c r="FT178"/>
  <c r="FU178"/>
  <c r="FV178"/>
  <c r="FW178"/>
  <c r="FX178"/>
  <c r="FY178"/>
  <c r="FZ178"/>
  <c r="GA178"/>
  <c r="GB178"/>
  <c r="GC178"/>
  <c r="GD178"/>
  <c r="GE178"/>
  <c r="GF178"/>
  <c r="GG178"/>
  <c r="GH178"/>
  <c r="GI178"/>
  <c r="GJ178"/>
  <c r="GK178"/>
  <c r="GL178"/>
  <c r="GM178"/>
  <c r="GN178"/>
  <c r="GO178"/>
  <c r="GP178"/>
  <c r="GQ178"/>
  <c r="GR178"/>
  <c r="GS178"/>
  <c r="GT178"/>
  <c r="GU178"/>
  <c r="GV178"/>
  <c r="GW178"/>
  <c r="GX178"/>
  <c r="GY178"/>
  <c r="GZ178"/>
  <c r="HA178"/>
  <c r="HB178"/>
  <c r="HC178"/>
  <c r="HD178"/>
  <c r="HE178"/>
  <c r="HF178"/>
  <c r="HG178"/>
  <c r="HH178"/>
  <c r="HI178"/>
  <c r="HJ178"/>
  <c r="HK178"/>
  <c r="HL178"/>
  <c r="HM178"/>
  <c r="HN178"/>
  <c r="HO178"/>
  <c r="HP178"/>
  <c r="HQ178"/>
  <c r="HR178"/>
  <c r="HS178"/>
  <c r="HT178"/>
  <c r="HU178"/>
  <c r="HV178"/>
  <c r="HW178"/>
  <c r="HX178"/>
  <c r="HY178"/>
  <c r="HZ178"/>
  <c r="IA178"/>
  <c r="IB178"/>
  <c r="IC178"/>
  <c r="ID178"/>
  <c r="IE178"/>
  <c r="IF178"/>
  <c r="IG178"/>
  <c r="IH178"/>
  <c r="II178"/>
  <c r="IJ178"/>
  <c r="IK178"/>
  <c r="IL178"/>
  <c r="IM178"/>
  <c r="IN178"/>
  <c r="IO178"/>
  <c r="IP178"/>
  <c r="IQ178"/>
  <c r="IR178"/>
  <c r="IS178"/>
  <c r="IT178"/>
  <c r="IU178"/>
  <c r="IV178"/>
  <c r="A177"/>
  <c r="B177"/>
  <c r="C177"/>
  <c r="D177"/>
  <c r="E177"/>
  <c r="F177"/>
  <c r="G177"/>
  <c r="H177"/>
  <c r="I177"/>
  <c r="J177"/>
  <c r="K177"/>
  <c r="L177"/>
  <c r="M177"/>
  <c r="N177"/>
  <c r="O177"/>
  <c r="P177"/>
  <c r="Q177"/>
  <c r="R177"/>
  <c r="S177"/>
  <c r="T177"/>
  <c r="U177"/>
  <c r="V177"/>
  <c r="W177"/>
  <c r="X177"/>
  <c r="Y177"/>
  <c r="Z177"/>
  <c r="AA177"/>
  <c r="AB177"/>
  <c r="AC177"/>
  <c r="AD177"/>
  <c r="AE177"/>
  <c r="AF177"/>
  <c r="AG177"/>
  <c r="AH177"/>
  <c r="AI177"/>
  <c r="AJ177"/>
  <c r="AK177"/>
  <c r="AL177"/>
  <c r="AM177"/>
  <c r="AN177"/>
  <c r="AO177"/>
  <c r="AP177"/>
  <c r="AQ177"/>
  <c r="AR177"/>
  <c r="AS177"/>
  <c r="AT177"/>
  <c r="AU177"/>
  <c r="AV177"/>
  <c r="AW177"/>
  <c r="AX177"/>
  <c r="AY177"/>
  <c r="AZ177"/>
  <c r="BA177"/>
  <c r="BB177"/>
  <c r="BC177"/>
  <c r="BD177"/>
  <c r="BE177"/>
  <c r="BF177"/>
  <c r="BG177"/>
  <c r="BH177"/>
  <c r="BI177"/>
  <c r="BJ177"/>
  <c r="BK177"/>
  <c r="BL177"/>
  <c r="BM177"/>
  <c r="BN177"/>
  <c r="BO177"/>
  <c r="BP177"/>
  <c r="BQ177"/>
  <c r="BR177"/>
  <c r="BS177"/>
  <c r="BT177"/>
  <c r="BU177"/>
  <c r="BV177"/>
  <c r="BW177"/>
  <c r="BX177"/>
  <c r="BY177"/>
  <c r="BZ177"/>
  <c r="CA177"/>
  <c r="CB177"/>
  <c r="CC177"/>
  <c r="CD177"/>
  <c r="CE177"/>
  <c r="CF177"/>
  <c r="CG177"/>
  <c r="CH177"/>
  <c r="CI177"/>
  <c r="CJ177"/>
  <c r="CK177"/>
  <c r="CL177"/>
  <c r="CM177"/>
  <c r="CN177"/>
  <c r="CO177"/>
  <c r="CP177"/>
  <c r="CQ177"/>
  <c r="CR177"/>
  <c r="CS177"/>
  <c r="CT177"/>
  <c r="CU177"/>
  <c r="CV177"/>
  <c r="CW177"/>
  <c r="CX177"/>
  <c r="CY177"/>
  <c r="CZ177"/>
  <c r="DA177"/>
  <c r="DB177"/>
  <c r="DC177"/>
  <c r="DD177"/>
  <c r="DE177"/>
  <c r="DF177"/>
  <c r="DG177"/>
  <c r="DH177"/>
  <c r="DI177"/>
  <c r="DJ177"/>
  <c r="DK177"/>
  <c r="DL177"/>
  <c r="DM177"/>
  <c r="DN177"/>
  <c r="DO177"/>
  <c r="DP177"/>
  <c r="DQ177"/>
  <c r="DR177"/>
  <c r="DS177"/>
  <c r="DT177"/>
  <c r="DU177"/>
  <c r="DV177"/>
  <c r="DW177"/>
  <c r="DX177"/>
  <c r="DY177"/>
  <c r="DZ177"/>
  <c r="EA177"/>
  <c r="EB177"/>
  <c r="EC177"/>
  <c r="ED177"/>
  <c r="EE177"/>
  <c r="EF177"/>
  <c r="EG177"/>
  <c r="EH177"/>
  <c r="EI177"/>
  <c r="EJ177"/>
  <c r="EK177"/>
  <c r="EL177"/>
  <c r="EM177"/>
  <c r="EN177"/>
  <c r="EO177"/>
  <c r="EP177"/>
  <c r="EQ177"/>
  <c r="ER177"/>
  <c r="ES177"/>
  <c r="ET177"/>
  <c r="EU177"/>
  <c r="EV177"/>
  <c r="EW177"/>
  <c r="EX177"/>
  <c r="EY177"/>
  <c r="EZ177"/>
  <c r="FA177"/>
  <c r="FB177"/>
  <c r="FC177"/>
  <c r="FD177"/>
  <c r="FE177"/>
  <c r="FF177"/>
  <c r="FG177"/>
  <c r="FH177"/>
  <c r="FI177"/>
  <c r="FJ177"/>
  <c r="FK177"/>
  <c r="FL177"/>
  <c r="FM177"/>
  <c r="FN177"/>
  <c r="FO177"/>
  <c r="FP177"/>
  <c r="FQ177"/>
  <c r="FR177"/>
  <c r="FS177"/>
  <c r="FT177"/>
  <c r="FU177"/>
  <c r="FV177"/>
  <c r="FW177"/>
  <c r="FX177"/>
  <c r="FY177"/>
  <c r="FZ177"/>
  <c r="GA177"/>
  <c r="GB177"/>
  <c r="GC177"/>
  <c r="GD177"/>
  <c r="GE177"/>
  <c r="GF177"/>
  <c r="GG177"/>
  <c r="GH177"/>
  <c r="GI177"/>
  <c r="GJ177"/>
  <c r="GK177"/>
  <c r="GL177"/>
  <c r="GM177"/>
  <c r="GN177"/>
  <c r="GO177"/>
  <c r="GP177"/>
  <c r="GQ177"/>
  <c r="GR177"/>
  <c r="GS177"/>
  <c r="GT177"/>
  <c r="GU177"/>
  <c r="GV177"/>
  <c r="GW177"/>
  <c r="GX177"/>
  <c r="GY177"/>
  <c r="GZ177"/>
  <c r="HA177"/>
  <c r="HB177"/>
  <c r="HC177"/>
  <c r="HD177"/>
  <c r="HE177"/>
  <c r="HF177"/>
  <c r="HG177"/>
  <c r="HH177"/>
  <c r="HI177"/>
  <c r="HJ177"/>
  <c r="HK177"/>
  <c r="HL177"/>
  <c r="HM177"/>
  <c r="HN177"/>
  <c r="HO177"/>
  <c r="HP177"/>
  <c r="HQ177"/>
  <c r="HR177"/>
  <c r="HS177"/>
  <c r="HT177"/>
  <c r="HU177"/>
  <c r="HV177"/>
  <c r="HW177"/>
  <c r="HX177"/>
  <c r="HY177"/>
  <c r="HZ177"/>
  <c r="IA177"/>
  <c r="IB177"/>
  <c r="IC177"/>
  <c r="ID177"/>
  <c r="IE177"/>
  <c r="IF177"/>
  <c r="IG177"/>
  <c r="IH177"/>
  <c r="II177"/>
  <c r="IJ177"/>
  <c r="IK177"/>
  <c r="IL177"/>
  <c r="IM177"/>
  <c r="IN177"/>
  <c r="IO177"/>
  <c r="IP177"/>
  <c r="IQ177"/>
  <c r="IR177"/>
  <c r="IS177"/>
  <c r="IT177"/>
  <c r="IU177"/>
  <c r="IV177"/>
  <c r="A176"/>
  <c r="B176"/>
  <c r="C176"/>
  <c r="D176"/>
  <c r="E176"/>
  <c r="F176"/>
  <c r="G176"/>
  <c r="H176"/>
  <c r="I176"/>
  <c r="J176"/>
  <c r="K176"/>
  <c r="L176"/>
  <c r="M176"/>
  <c r="N176"/>
  <c r="O176"/>
  <c r="P176"/>
  <c r="Q176"/>
  <c r="R176"/>
  <c r="S176"/>
  <c r="T176"/>
  <c r="U176"/>
  <c r="V176"/>
  <c r="W176"/>
  <c r="X176"/>
  <c r="Y176"/>
  <c r="Z176"/>
  <c r="AA176"/>
  <c r="AB176"/>
  <c r="AC176"/>
  <c r="AD176"/>
  <c r="AE176"/>
  <c r="AF176"/>
  <c r="AG176"/>
  <c r="AH176"/>
  <c r="AI176"/>
  <c r="AJ176"/>
  <c r="AK176"/>
  <c r="AL176"/>
  <c r="AM176"/>
  <c r="AN176"/>
  <c r="AO176"/>
  <c r="AP176"/>
  <c r="AQ176"/>
  <c r="AR176"/>
  <c r="AS176"/>
  <c r="AT176"/>
  <c r="AU176"/>
  <c r="AV176"/>
  <c r="AW176"/>
  <c r="AX176"/>
  <c r="AY176"/>
  <c r="AZ176"/>
  <c r="BA176"/>
  <c r="BB176"/>
  <c r="BC176"/>
  <c r="BD176"/>
  <c r="BE176"/>
  <c r="BF176"/>
  <c r="BG176"/>
  <c r="BH176"/>
  <c r="BI176"/>
  <c r="BJ176"/>
  <c r="BK176"/>
  <c r="BL176"/>
  <c r="BM176"/>
  <c r="BN176"/>
  <c r="BO176"/>
  <c r="BP176"/>
  <c r="BQ176"/>
  <c r="BR176"/>
  <c r="BS176"/>
  <c r="BT176"/>
  <c r="BU176"/>
  <c r="BV176"/>
  <c r="BW176"/>
  <c r="BX176"/>
  <c r="BY176"/>
  <c r="BZ176"/>
  <c r="CA176"/>
  <c r="CB176"/>
  <c r="CC176"/>
  <c r="CD176"/>
  <c r="CE176"/>
  <c r="CF176"/>
  <c r="CG176"/>
  <c r="CH176"/>
  <c r="CI176"/>
  <c r="CJ176"/>
  <c r="CK176"/>
  <c r="CL176"/>
  <c r="CM176"/>
  <c r="CN176"/>
  <c r="CO176"/>
  <c r="CP176"/>
  <c r="CQ176"/>
  <c r="CR176"/>
  <c r="CS176"/>
  <c r="CT176"/>
  <c r="CU176"/>
  <c r="CV176"/>
  <c r="CW176"/>
  <c r="CX176"/>
  <c r="CY176"/>
  <c r="CZ176"/>
  <c r="DA176"/>
  <c r="DB176"/>
  <c r="DC176"/>
  <c r="DD176"/>
  <c r="DE176"/>
  <c r="DF176"/>
  <c r="DG176"/>
  <c r="DH176"/>
  <c r="DI176"/>
  <c r="DJ176"/>
  <c r="DK176"/>
  <c r="DL176"/>
  <c r="DM176"/>
  <c r="DN176"/>
  <c r="DO176"/>
  <c r="DP176"/>
  <c r="DQ176"/>
  <c r="DR176"/>
  <c r="DS176"/>
  <c r="DT176"/>
  <c r="DU176"/>
  <c r="DV176"/>
  <c r="DW176"/>
  <c r="DX176"/>
  <c r="DY176"/>
  <c r="DZ176"/>
  <c r="EA176"/>
  <c r="EB176"/>
  <c r="EC176"/>
  <c r="ED176"/>
  <c r="EE176"/>
  <c r="EF176"/>
  <c r="EG176"/>
  <c r="EH176"/>
  <c r="EI176"/>
  <c r="EJ176"/>
  <c r="EK176"/>
  <c r="EL176"/>
  <c r="EM176"/>
  <c r="EN176"/>
  <c r="EO176"/>
  <c r="EP176"/>
  <c r="EQ176"/>
  <c r="ER176"/>
  <c r="ES176"/>
  <c r="ET176"/>
  <c r="EU176"/>
  <c r="EV176"/>
  <c r="EW176"/>
  <c r="EX176"/>
  <c r="EY176"/>
  <c r="EZ176"/>
  <c r="FA176"/>
  <c r="FB176"/>
  <c r="FC176"/>
  <c r="FD176"/>
  <c r="FE176"/>
  <c r="FF176"/>
  <c r="FG176"/>
  <c r="FH176"/>
  <c r="FI176"/>
  <c r="FJ176"/>
  <c r="FK176"/>
  <c r="FL176"/>
  <c r="FM176"/>
  <c r="FN176"/>
  <c r="FO176"/>
  <c r="FP176"/>
  <c r="FQ176"/>
  <c r="FR176"/>
  <c r="FS176"/>
  <c r="FT176"/>
  <c r="FU176"/>
  <c r="FV176"/>
  <c r="FW176"/>
  <c r="FX176"/>
  <c r="FY176"/>
  <c r="FZ176"/>
  <c r="GA176"/>
  <c r="GB176"/>
  <c r="GC176"/>
  <c r="GD176"/>
  <c r="GE176"/>
  <c r="GF176"/>
  <c r="GG176"/>
  <c r="GH176"/>
  <c r="GI176"/>
  <c r="GJ176"/>
  <c r="GK176"/>
  <c r="GL176"/>
  <c r="GM176"/>
  <c r="GN176"/>
  <c r="GO176"/>
  <c r="GP176"/>
  <c r="GQ176"/>
  <c r="GR176"/>
  <c r="GS176"/>
  <c r="GT176"/>
  <c r="GU176"/>
  <c r="GV176"/>
  <c r="GW176"/>
  <c r="GX176"/>
  <c r="GY176"/>
  <c r="GZ176"/>
  <c r="HA176"/>
  <c r="HB176"/>
  <c r="HC176"/>
  <c r="HD176"/>
  <c r="HE176"/>
  <c r="HF176"/>
  <c r="HG176"/>
  <c r="HH176"/>
  <c r="HI176"/>
  <c r="HJ176"/>
  <c r="HK176"/>
  <c r="HL176"/>
  <c r="HM176"/>
  <c r="HN176"/>
  <c r="HO176"/>
  <c r="HP176"/>
  <c r="HQ176"/>
  <c r="HR176"/>
  <c r="HS176"/>
  <c r="HT176"/>
  <c r="HU176"/>
  <c r="HV176"/>
  <c r="HW176"/>
  <c r="HX176"/>
  <c r="HY176"/>
  <c r="HZ176"/>
  <c r="IA176"/>
  <c r="IB176"/>
  <c r="IC176"/>
  <c r="ID176"/>
  <c r="IE176"/>
  <c r="IF176"/>
  <c r="IG176"/>
  <c r="IH176"/>
  <c r="II176"/>
  <c r="IJ176"/>
  <c r="IK176"/>
  <c r="IL176"/>
  <c r="IM176"/>
  <c r="IN176"/>
  <c r="IO176"/>
  <c r="IP176"/>
  <c r="IQ176"/>
  <c r="IR176"/>
  <c r="IS176"/>
  <c r="IT176"/>
  <c r="IU176"/>
  <c r="IV176"/>
  <c r="A175"/>
  <c r="B175"/>
  <c r="C175"/>
  <c r="D175"/>
  <c r="E175"/>
  <c r="F175"/>
  <c r="G175"/>
  <c r="H175"/>
  <c r="I175"/>
  <c r="J175"/>
  <c r="K175"/>
  <c r="L175"/>
  <c r="M175"/>
  <c r="N175"/>
  <c r="O175"/>
  <c r="P175"/>
  <c r="Q175"/>
  <c r="R175"/>
  <c r="S175"/>
  <c r="T175"/>
  <c r="U175"/>
  <c r="V175"/>
  <c r="W175"/>
  <c r="X175"/>
  <c r="Y175"/>
  <c r="Z175"/>
  <c r="AA175"/>
  <c r="AB175"/>
  <c r="AC175"/>
  <c r="AD175"/>
  <c r="AE175"/>
  <c r="AF175"/>
  <c r="AG175"/>
  <c r="AH175"/>
  <c r="AI175"/>
  <c r="AJ175"/>
  <c r="AK175"/>
  <c r="AL175"/>
  <c r="AM175"/>
  <c r="AN175"/>
  <c r="AO175"/>
  <c r="AP175"/>
  <c r="AQ175"/>
  <c r="AR175"/>
  <c r="AS175"/>
  <c r="AT175"/>
  <c r="AU175"/>
  <c r="AV175"/>
  <c r="AW175"/>
  <c r="AX175"/>
  <c r="AY175"/>
  <c r="AZ175"/>
  <c r="BA175"/>
  <c r="BB175"/>
  <c r="BC175"/>
  <c r="BD175"/>
  <c r="BE175"/>
  <c r="BF175"/>
  <c r="BG175"/>
  <c r="BH175"/>
  <c r="BI175"/>
  <c r="BJ175"/>
  <c r="BK175"/>
  <c r="BL175"/>
  <c r="BM175"/>
  <c r="BN175"/>
  <c r="BO175"/>
  <c r="BP175"/>
  <c r="BQ175"/>
  <c r="BR175"/>
  <c r="BS175"/>
  <c r="BT175"/>
  <c r="BU175"/>
  <c r="BV175"/>
  <c r="BW175"/>
  <c r="BX175"/>
  <c r="BY175"/>
  <c r="BZ175"/>
  <c r="CA175"/>
  <c r="CB175"/>
  <c r="CC175"/>
  <c r="CD175"/>
  <c r="CE175"/>
  <c r="CF175"/>
  <c r="CG175"/>
  <c r="CH175"/>
  <c r="CI175"/>
  <c r="CJ175"/>
  <c r="CK175"/>
  <c r="CL175"/>
  <c r="CM175"/>
  <c r="CN175"/>
  <c r="CO175"/>
  <c r="CP175"/>
  <c r="CQ175"/>
  <c r="CR175"/>
  <c r="CS175"/>
  <c r="CT175"/>
  <c r="CU175"/>
  <c r="CV175"/>
  <c r="CW175"/>
  <c r="CX175"/>
  <c r="CY175"/>
  <c r="CZ175"/>
  <c r="DA175"/>
  <c r="DB175"/>
  <c r="DC175"/>
  <c r="DD175"/>
  <c r="DE175"/>
  <c r="DF175"/>
  <c r="DG175"/>
  <c r="DH175"/>
  <c r="DI175"/>
  <c r="DJ175"/>
  <c r="DK175"/>
  <c r="DL175"/>
  <c r="DM175"/>
  <c r="DN175"/>
  <c r="DO175"/>
  <c r="DP175"/>
  <c r="DQ175"/>
  <c r="DR175"/>
  <c r="DS175"/>
  <c r="DT175"/>
  <c r="DU175"/>
  <c r="DV175"/>
  <c r="DW175"/>
  <c r="DX175"/>
  <c r="DY175"/>
  <c r="DZ175"/>
  <c r="EA175"/>
  <c r="EB175"/>
  <c r="EC175"/>
  <c r="ED175"/>
  <c r="EE175"/>
  <c r="EF175"/>
  <c r="EG175"/>
  <c r="EH175"/>
  <c r="EI175"/>
  <c r="EJ175"/>
  <c r="EK175"/>
  <c r="EL175"/>
  <c r="EM175"/>
  <c r="EN175"/>
  <c r="EO175"/>
  <c r="EP175"/>
  <c r="EQ175"/>
  <c r="ER175"/>
  <c r="ES175"/>
  <c r="ET175"/>
  <c r="EU175"/>
  <c r="EV175"/>
  <c r="EW175"/>
  <c r="EX175"/>
  <c r="EY175"/>
  <c r="EZ175"/>
  <c r="FA175"/>
  <c r="FB175"/>
  <c r="FC175"/>
  <c r="FD175"/>
  <c r="FE175"/>
  <c r="FF175"/>
  <c r="FG175"/>
  <c r="FH175"/>
  <c r="FI175"/>
  <c r="FJ175"/>
  <c r="FK175"/>
  <c r="FL175"/>
  <c r="FM175"/>
  <c r="FN175"/>
  <c r="FO175"/>
  <c r="FP175"/>
  <c r="FQ175"/>
  <c r="FR175"/>
  <c r="FS175"/>
  <c r="FT175"/>
  <c r="FU175"/>
  <c r="FV175"/>
  <c r="FW175"/>
  <c r="FX175"/>
  <c r="FY175"/>
  <c r="FZ175"/>
  <c r="GA175"/>
  <c r="GB175"/>
  <c r="GC175"/>
  <c r="GD175"/>
  <c r="GE175"/>
  <c r="GF175"/>
  <c r="GG175"/>
  <c r="GH175"/>
  <c r="GI175"/>
  <c r="GJ175"/>
  <c r="GK175"/>
  <c r="GL175"/>
  <c r="GM175"/>
  <c r="GN175"/>
  <c r="GO175"/>
  <c r="GP175"/>
  <c r="GQ175"/>
  <c r="GR175"/>
  <c r="GS175"/>
  <c r="GT175"/>
  <c r="GU175"/>
  <c r="GV175"/>
  <c r="GW175"/>
  <c r="GX175"/>
  <c r="GY175"/>
  <c r="GZ175"/>
  <c r="HA175"/>
  <c r="HB175"/>
  <c r="HC175"/>
  <c r="HD175"/>
  <c r="HE175"/>
  <c r="HF175"/>
  <c r="HG175"/>
  <c r="HH175"/>
  <c r="HI175"/>
  <c r="HJ175"/>
  <c r="HK175"/>
  <c r="HL175"/>
  <c r="HM175"/>
  <c r="HN175"/>
  <c r="HO175"/>
  <c r="HP175"/>
  <c r="HQ175"/>
  <c r="HR175"/>
  <c r="HS175"/>
  <c r="HT175"/>
  <c r="HU175"/>
  <c r="HV175"/>
  <c r="HW175"/>
  <c r="HX175"/>
  <c r="HY175"/>
  <c r="HZ175"/>
  <c r="IA175"/>
  <c r="IB175"/>
  <c r="IC175"/>
  <c r="ID175"/>
  <c r="IE175"/>
  <c r="IF175"/>
  <c r="IG175"/>
  <c r="IH175"/>
  <c r="II175"/>
  <c r="IJ175"/>
  <c r="IK175"/>
  <c r="IL175"/>
  <c r="IM175"/>
  <c r="IN175"/>
  <c r="IO175"/>
  <c r="IP175"/>
  <c r="IQ175"/>
  <c r="IR175"/>
  <c r="IS175"/>
  <c r="IT175"/>
  <c r="IU175"/>
  <c r="IV175"/>
  <c r="A174"/>
  <c r="B174"/>
  <c r="C174"/>
  <c r="D174"/>
  <c r="E174"/>
  <c r="F174"/>
  <c r="G174"/>
  <c r="H174"/>
  <c r="I174"/>
  <c r="J174"/>
  <c r="K174"/>
  <c r="L174"/>
  <c r="M174"/>
  <c r="N174"/>
  <c r="O174"/>
  <c r="P174"/>
  <c r="Q174"/>
  <c r="R174"/>
  <c r="S174"/>
  <c r="T174"/>
  <c r="U174"/>
  <c r="V174"/>
  <c r="W174"/>
  <c r="X174"/>
  <c r="Y174"/>
  <c r="Z174"/>
  <c r="AA174"/>
  <c r="AB174"/>
  <c r="AC174"/>
  <c r="AD174"/>
  <c r="AE174"/>
  <c r="AF174"/>
  <c r="AG174"/>
  <c r="AH174"/>
  <c r="AI174"/>
  <c r="AJ174"/>
  <c r="AK174"/>
  <c r="AL174"/>
  <c r="AM174"/>
  <c r="AN174"/>
  <c r="AO174"/>
  <c r="AP174"/>
  <c r="AQ174"/>
  <c r="AR174"/>
  <c r="AS174"/>
  <c r="AT174"/>
  <c r="AU174"/>
  <c r="AV174"/>
  <c r="AW174"/>
  <c r="AX174"/>
  <c r="AY174"/>
  <c r="AZ174"/>
  <c r="BA174"/>
  <c r="BB174"/>
  <c r="BC174"/>
  <c r="BD174"/>
  <c r="BE174"/>
  <c r="BF174"/>
  <c r="BG174"/>
  <c r="BH174"/>
  <c r="BI174"/>
  <c r="BJ174"/>
  <c r="BK174"/>
  <c r="BL174"/>
  <c r="BM174"/>
  <c r="BN174"/>
  <c r="BO174"/>
  <c r="BP174"/>
  <c r="BQ174"/>
  <c r="BR174"/>
  <c r="BS174"/>
  <c r="BT174"/>
  <c r="BU174"/>
  <c r="BV174"/>
  <c r="BW174"/>
  <c r="BX174"/>
  <c r="BY174"/>
  <c r="BZ174"/>
  <c r="CA174"/>
  <c r="CB174"/>
  <c r="CC174"/>
  <c r="CD174"/>
  <c r="CE174"/>
  <c r="CF174"/>
  <c r="CG174"/>
  <c r="CH174"/>
  <c r="CI174"/>
  <c r="CJ174"/>
  <c r="CK174"/>
  <c r="CL174"/>
  <c r="CM174"/>
  <c r="CN174"/>
  <c r="CO174"/>
  <c r="CP174"/>
  <c r="CQ174"/>
  <c r="CR174"/>
  <c r="CS174"/>
  <c r="CT174"/>
  <c r="CU174"/>
  <c r="CV174"/>
  <c r="CW174"/>
  <c r="CX174"/>
  <c r="CY174"/>
  <c r="CZ174"/>
  <c r="DA174"/>
  <c r="DB174"/>
  <c r="DC174"/>
  <c r="DD174"/>
  <c r="DE174"/>
  <c r="DF174"/>
  <c r="DG174"/>
  <c r="DH174"/>
  <c r="DI174"/>
  <c r="DJ174"/>
  <c r="DK174"/>
  <c r="DL174"/>
  <c r="DM174"/>
  <c r="DN174"/>
  <c r="DO174"/>
  <c r="DP174"/>
  <c r="DQ174"/>
  <c r="DR174"/>
  <c r="DS174"/>
  <c r="DT174"/>
  <c r="DU174"/>
  <c r="DV174"/>
  <c r="DW174"/>
  <c r="DX174"/>
  <c r="DY174"/>
  <c r="DZ174"/>
  <c r="EA174"/>
  <c r="EB174"/>
  <c r="EC174"/>
  <c r="ED174"/>
  <c r="EE174"/>
  <c r="EF174"/>
  <c r="EG174"/>
  <c r="EH174"/>
  <c r="EI174"/>
  <c r="EJ174"/>
  <c r="EK174"/>
  <c r="EL174"/>
  <c r="EM174"/>
  <c r="EN174"/>
  <c r="EO174"/>
  <c r="EP174"/>
  <c r="EQ174"/>
  <c r="ER174"/>
  <c r="ES174"/>
  <c r="ET174"/>
  <c r="EU174"/>
  <c r="EV174"/>
  <c r="EW174"/>
  <c r="EX174"/>
  <c r="EY174"/>
  <c r="EZ174"/>
  <c r="FA174"/>
  <c r="FB174"/>
  <c r="FC174"/>
  <c r="FD174"/>
  <c r="FE174"/>
  <c r="FF174"/>
  <c r="FG174"/>
  <c r="FH174"/>
  <c r="FI174"/>
  <c r="FJ174"/>
  <c r="FK174"/>
  <c r="FL174"/>
  <c r="FM174"/>
  <c r="FN174"/>
  <c r="FO174"/>
  <c r="FP174"/>
  <c r="FQ174"/>
  <c r="FR174"/>
  <c r="FS174"/>
  <c r="FT174"/>
  <c r="FU174"/>
  <c r="FV174"/>
  <c r="FW174"/>
  <c r="FX174"/>
  <c r="FY174"/>
  <c r="FZ174"/>
  <c r="GA174"/>
  <c r="GB174"/>
  <c r="GC174"/>
  <c r="GD174"/>
  <c r="GE174"/>
  <c r="GF174"/>
  <c r="GG174"/>
  <c r="GH174"/>
  <c r="GI174"/>
  <c r="GJ174"/>
  <c r="GK174"/>
  <c r="GL174"/>
  <c r="GM174"/>
  <c r="GN174"/>
  <c r="GO174"/>
  <c r="GP174"/>
  <c r="GQ174"/>
  <c r="GR174"/>
  <c r="GS174"/>
  <c r="GT174"/>
  <c r="GU174"/>
  <c r="GV174"/>
  <c r="GW174"/>
  <c r="GX174"/>
  <c r="GY174"/>
  <c r="GZ174"/>
  <c r="HA174"/>
  <c r="HB174"/>
  <c r="HC174"/>
  <c r="HD174"/>
  <c r="HE174"/>
  <c r="HF174"/>
  <c r="HG174"/>
  <c r="HH174"/>
  <c r="HI174"/>
  <c r="HJ174"/>
  <c r="HK174"/>
  <c r="HL174"/>
  <c r="HM174"/>
  <c r="HN174"/>
  <c r="HO174"/>
  <c r="HP174"/>
  <c r="HQ174"/>
  <c r="HR174"/>
  <c r="HS174"/>
  <c r="HT174"/>
  <c r="HU174"/>
  <c r="HV174"/>
  <c r="HW174"/>
  <c r="HX174"/>
  <c r="HY174"/>
  <c r="HZ174"/>
  <c r="IA174"/>
  <c r="IB174"/>
  <c r="IC174"/>
  <c r="ID174"/>
  <c r="IE174"/>
  <c r="IF174"/>
  <c r="IG174"/>
  <c r="IH174"/>
  <c r="II174"/>
  <c r="IJ174"/>
  <c r="IK174"/>
  <c r="IL174"/>
  <c r="IM174"/>
  <c r="IN174"/>
  <c r="IO174"/>
  <c r="IP174"/>
  <c r="IQ174"/>
  <c r="IR174"/>
  <c r="IS174"/>
  <c r="IT174"/>
  <c r="IU174"/>
  <c r="IV174"/>
  <c r="A173"/>
  <c r="B173"/>
  <c r="C173"/>
  <c r="D173"/>
  <c r="E173"/>
  <c r="F173"/>
  <c r="G173"/>
  <c r="H173"/>
  <c r="I173"/>
  <c r="J173"/>
  <c r="K173"/>
  <c r="L173"/>
  <c r="M173"/>
  <c r="N173"/>
  <c r="O173"/>
  <c r="P173"/>
  <c r="Q173"/>
  <c r="R173"/>
  <c r="S173"/>
  <c r="T173"/>
  <c r="U173"/>
  <c r="V173"/>
  <c r="W173"/>
  <c r="X173"/>
  <c r="Y173"/>
  <c r="Z173"/>
  <c r="AA173"/>
  <c r="AB173"/>
  <c r="AC173"/>
  <c r="AD173"/>
  <c r="AE173"/>
  <c r="AF173"/>
  <c r="AG173"/>
  <c r="AH173"/>
  <c r="AI173"/>
  <c r="AJ173"/>
  <c r="AK173"/>
  <c r="AL173"/>
  <c r="AM173"/>
  <c r="AN173"/>
  <c r="AO173"/>
  <c r="AP173"/>
  <c r="AQ173"/>
  <c r="AR173"/>
  <c r="AS173"/>
  <c r="AT173"/>
  <c r="AU173"/>
  <c r="AV173"/>
  <c r="AW173"/>
  <c r="AX173"/>
  <c r="AY173"/>
  <c r="AZ173"/>
  <c r="BA173"/>
  <c r="BB173"/>
  <c r="BC173"/>
  <c r="BD173"/>
  <c r="BE173"/>
  <c r="BF173"/>
  <c r="BG173"/>
  <c r="BH173"/>
  <c r="BI173"/>
  <c r="BJ173"/>
  <c r="BK173"/>
  <c r="BL173"/>
  <c r="BM173"/>
  <c r="BN173"/>
  <c r="BO173"/>
  <c r="BP173"/>
  <c r="BQ173"/>
  <c r="BR173"/>
  <c r="BS173"/>
  <c r="BT173"/>
  <c r="BU173"/>
  <c r="BV173"/>
  <c r="BW173"/>
  <c r="BX173"/>
  <c r="BY173"/>
  <c r="BZ173"/>
  <c r="CA173"/>
  <c r="CB173"/>
  <c r="CC173"/>
  <c r="CD173"/>
  <c r="CE173"/>
  <c r="CF173"/>
  <c r="CG173"/>
  <c r="CH173"/>
  <c r="CI173"/>
  <c r="CJ173"/>
  <c r="CK173"/>
  <c r="CL173"/>
  <c r="CM173"/>
  <c r="CN173"/>
  <c r="CO173"/>
  <c r="CP173"/>
  <c r="CQ173"/>
  <c r="CR173"/>
  <c r="CS173"/>
  <c r="CT173"/>
  <c r="CU173"/>
  <c r="CV173"/>
  <c r="CW173"/>
  <c r="CX173"/>
  <c r="CY173"/>
  <c r="CZ173"/>
  <c r="DA173"/>
  <c r="DB173"/>
  <c r="DC173"/>
  <c r="DD173"/>
  <c r="DE173"/>
  <c r="DF173"/>
  <c r="DG173"/>
  <c r="DH173"/>
  <c r="DI173"/>
  <c r="DJ173"/>
  <c r="DK173"/>
  <c r="DL173"/>
  <c r="DM173"/>
  <c r="DN173"/>
  <c r="DO173"/>
  <c r="DP173"/>
  <c r="DQ173"/>
  <c r="DR173"/>
  <c r="DS173"/>
  <c r="DT173"/>
  <c r="DU173"/>
  <c r="DV173"/>
  <c r="DW173"/>
  <c r="DX173"/>
  <c r="DY173"/>
  <c r="DZ173"/>
  <c r="EA173"/>
  <c r="EB173"/>
  <c r="EC173"/>
  <c r="ED173"/>
  <c r="EE173"/>
  <c r="EF173"/>
  <c r="EG173"/>
  <c r="EH173"/>
  <c r="EI173"/>
  <c r="EJ173"/>
  <c r="EK173"/>
  <c r="EL173"/>
  <c r="EM173"/>
  <c r="EN173"/>
  <c r="EO173"/>
  <c r="EP173"/>
  <c r="EQ173"/>
  <c r="ER173"/>
  <c r="ES173"/>
  <c r="ET173"/>
  <c r="EU173"/>
  <c r="EV173"/>
  <c r="EW173"/>
  <c r="EX173"/>
  <c r="EY173"/>
  <c r="EZ173"/>
  <c r="FA173"/>
  <c r="FB173"/>
  <c r="FC173"/>
  <c r="FD173"/>
  <c r="FE173"/>
  <c r="FF173"/>
  <c r="FG173"/>
  <c r="FH173"/>
  <c r="FI173"/>
  <c r="FJ173"/>
  <c r="FK173"/>
  <c r="FL173"/>
  <c r="FM173"/>
  <c r="FN173"/>
  <c r="FO173"/>
  <c r="FP173"/>
  <c r="FQ173"/>
  <c r="FR173"/>
  <c r="FS173"/>
  <c r="FT173"/>
  <c r="FU173"/>
  <c r="FV173"/>
  <c r="FW173"/>
  <c r="FX173"/>
  <c r="FY173"/>
  <c r="FZ173"/>
  <c r="GA173"/>
  <c r="GB173"/>
  <c r="GC173"/>
  <c r="GD173"/>
  <c r="GE173"/>
  <c r="GF173"/>
  <c r="GG173"/>
  <c r="GH173"/>
  <c r="GI173"/>
  <c r="GJ173"/>
  <c r="GK173"/>
  <c r="GL173"/>
  <c r="GM173"/>
  <c r="GN173"/>
  <c r="GO173"/>
  <c r="GP173"/>
  <c r="GQ173"/>
  <c r="GR173"/>
  <c r="GS173"/>
  <c r="GT173"/>
  <c r="GU173"/>
  <c r="GV173"/>
  <c r="GW173"/>
  <c r="GX173"/>
  <c r="GY173"/>
  <c r="GZ173"/>
  <c r="HA173"/>
  <c r="HB173"/>
  <c r="HC173"/>
  <c r="HD173"/>
  <c r="HE173"/>
  <c r="HF173"/>
  <c r="HG173"/>
  <c r="HH173"/>
  <c r="HI173"/>
  <c r="HJ173"/>
  <c r="HK173"/>
  <c r="HL173"/>
  <c r="HM173"/>
  <c r="HN173"/>
  <c r="HO173"/>
  <c r="HP173"/>
  <c r="HQ173"/>
  <c r="HR173"/>
  <c r="HS173"/>
  <c r="HT173"/>
  <c r="HU173"/>
  <c r="HV173"/>
  <c r="HW173"/>
  <c r="HX173"/>
  <c r="HY173"/>
  <c r="HZ173"/>
  <c r="IA173"/>
  <c r="IB173"/>
  <c r="IC173"/>
  <c r="ID173"/>
  <c r="IE173"/>
  <c r="IF173"/>
  <c r="IG173"/>
  <c r="IH173"/>
  <c r="II173"/>
  <c r="IJ173"/>
  <c r="IK173"/>
  <c r="IL173"/>
  <c r="IM173"/>
  <c r="IN173"/>
  <c r="IO173"/>
  <c r="IP173"/>
  <c r="IQ173"/>
  <c r="IR173"/>
  <c r="IS173"/>
  <c r="IT173"/>
  <c r="IU173"/>
  <c r="IV173"/>
  <c r="A172"/>
  <c r="B172"/>
  <c r="C172"/>
  <c r="D172"/>
  <c r="E172"/>
  <c r="F172"/>
  <c r="G172"/>
  <c r="H172"/>
  <c r="I172"/>
  <c r="J172"/>
  <c r="K172"/>
  <c r="L172"/>
  <c r="M172"/>
  <c r="N172"/>
  <c r="O172"/>
  <c r="P172"/>
  <c r="Q172"/>
  <c r="R172"/>
  <c r="S172"/>
  <c r="T172"/>
  <c r="U172"/>
  <c r="V172"/>
  <c r="W172"/>
  <c r="X172"/>
  <c r="Y172"/>
  <c r="Z172"/>
  <c r="AA172"/>
  <c r="AB172"/>
  <c r="AC172"/>
  <c r="AD172"/>
  <c r="AE172"/>
  <c r="AF172"/>
  <c r="AG172"/>
  <c r="AH172"/>
  <c r="AI172"/>
  <c r="AJ172"/>
  <c r="AK172"/>
  <c r="AL172"/>
  <c r="AM172"/>
  <c r="AN172"/>
  <c r="AO172"/>
  <c r="AP172"/>
  <c r="AQ172"/>
  <c r="AR172"/>
  <c r="AS172"/>
  <c r="AT172"/>
  <c r="AU172"/>
  <c r="AV172"/>
  <c r="AW172"/>
  <c r="AX172"/>
  <c r="AY172"/>
  <c r="AZ172"/>
  <c r="BA172"/>
  <c r="BB172"/>
  <c r="BC172"/>
  <c r="BD172"/>
  <c r="BE172"/>
  <c r="BF172"/>
  <c r="BG172"/>
  <c r="BH172"/>
  <c r="BI172"/>
  <c r="BJ172"/>
  <c r="BK172"/>
  <c r="BL172"/>
  <c r="BM172"/>
  <c r="BN172"/>
  <c r="BO172"/>
  <c r="BP172"/>
  <c r="BQ172"/>
  <c r="BR172"/>
  <c r="BS172"/>
  <c r="BT172"/>
  <c r="BU172"/>
  <c r="BV172"/>
  <c r="BW172"/>
  <c r="BX172"/>
  <c r="BY172"/>
  <c r="BZ172"/>
  <c r="CA172"/>
  <c r="CB172"/>
  <c r="CC172"/>
  <c r="CD172"/>
  <c r="CE172"/>
  <c r="CF172"/>
  <c r="CG172"/>
  <c r="CH172"/>
  <c r="CI172"/>
  <c r="CJ172"/>
  <c r="CK172"/>
  <c r="CL172"/>
  <c r="CM172"/>
  <c r="CN172"/>
  <c r="CO172"/>
  <c r="CP172"/>
  <c r="CQ172"/>
  <c r="CR172"/>
  <c r="CS172"/>
  <c r="CT172"/>
  <c r="CU172"/>
  <c r="CV172"/>
  <c r="CW172"/>
  <c r="CX172"/>
  <c r="CY172"/>
  <c r="CZ172"/>
  <c r="DA172"/>
  <c r="DB172"/>
  <c r="DC172"/>
  <c r="DD172"/>
  <c r="DE172"/>
  <c r="DF172"/>
  <c r="DG172"/>
  <c r="DH172"/>
  <c r="DI172"/>
  <c r="DJ172"/>
  <c r="DK172"/>
  <c r="DL172"/>
  <c r="DM172"/>
  <c r="DN172"/>
  <c r="DO172"/>
  <c r="DP172"/>
  <c r="DQ172"/>
  <c r="DR172"/>
  <c r="DS172"/>
  <c r="DT172"/>
  <c r="DU172"/>
  <c r="DV172"/>
  <c r="DW172"/>
  <c r="DX172"/>
  <c r="DY172"/>
  <c r="DZ172"/>
  <c r="EA172"/>
  <c r="EB172"/>
  <c r="EC172"/>
  <c r="ED172"/>
  <c r="EE172"/>
  <c r="EF172"/>
  <c r="EG172"/>
  <c r="EH172"/>
  <c r="EI172"/>
  <c r="EJ172"/>
  <c r="EK172"/>
  <c r="EL172"/>
  <c r="EM172"/>
  <c r="EN172"/>
  <c r="EO172"/>
  <c r="EP172"/>
  <c r="EQ172"/>
  <c r="ER172"/>
  <c r="ES172"/>
  <c r="ET172"/>
  <c r="EU172"/>
  <c r="EV172"/>
  <c r="EW172"/>
  <c r="EX172"/>
  <c r="EY172"/>
  <c r="EZ172"/>
  <c r="FA172"/>
  <c r="FB172"/>
  <c r="FC172"/>
  <c r="FD172"/>
  <c r="FE172"/>
  <c r="FF172"/>
  <c r="FG172"/>
  <c r="FH172"/>
  <c r="FI172"/>
  <c r="FJ172"/>
  <c r="FK172"/>
  <c r="FL172"/>
  <c r="FM172"/>
  <c r="FN172"/>
  <c r="FO172"/>
  <c r="FP172"/>
  <c r="FQ172"/>
  <c r="FR172"/>
  <c r="FS172"/>
  <c r="FT172"/>
  <c r="FU172"/>
  <c r="FV172"/>
  <c r="FW172"/>
  <c r="FX172"/>
  <c r="FY172"/>
  <c r="FZ172"/>
  <c r="GA172"/>
  <c r="GB172"/>
  <c r="GC172"/>
  <c r="GD172"/>
  <c r="GE172"/>
  <c r="GF172"/>
  <c r="GG172"/>
  <c r="GH172"/>
  <c r="GI172"/>
  <c r="GJ172"/>
  <c r="GK172"/>
  <c r="GL172"/>
  <c r="GM172"/>
  <c r="GN172"/>
  <c r="GO172"/>
  <c r="GP172"/>
  <c r="GQ172"/>
  <c r="GR172"/>
  <c r="GS172"/>
  <c r="GT172"/>
  <c r="GU172"/>
  <c r="GV172"/>
  <c r="GW172"/>
  <c r="GX172"/>
  <c r="GY172"/>
  <c r="GZ172"/>
  <c r="HA172"/>
  <c r="HB172"/>
  <c r="HC172"/>
  <c r="HD172"/>
  <c r="HE172"/>
  <c r="HF172"/>
  <c r="HG172"/>
  <c r="HH172"/>
  <c r="HI172"/>
  <c r="HJ172"/>
  <c r="HK172"/>
  <c r="HL172"/>
  <c r="HM172"/>
  <c r="HN172"/>
  <c r="HO172"/>
  <c r="HP172"/>
  <c r="HQ172"/>
  <c r="HR172"/>
  <c r="HS172"/>
  <c r="HT172"/>
  <c r="HU172"/>
  <c r="HV172"/>
  <c r="HW172"/>
  <c r="HX172"/>
  <c r="HY172"/>
  <c r="HZ172"/>
  <c r="IA172"/>
  <c r="IB172"/>
  <c r="IC172"/>
  <c r="ID172"/>
  <c r="IE172"/>
  <c r="IF172"/>
  <c r="IG172"/>
  <c r="IH172"/>
  <c r="II172"/>
  <c r="IJ172"/>
  <c r="IK172"/>
  <c r="IL172"/>
  <c r="IM172"/>
  <c r="IN172"/>
  <c r="IO172"/>
  <c r="IP172"/>
  <c r="IQ172"/>
  <c r="IR172"/>
  <c r="IS172"/>
  <c r="IT172"/>
  <c r="IU172"/>
  <c r="IV172"/>
  <c r="A171"/>
  <c r="B171"/>
  <c r="C171"/>
  <c r="D171"/>
  <c r="E171"/>
  <c r="F171"/>
  <c r="G171"/>
  <c r="H171"/>
  <c r="I171"/>
  <c r="J171"/>
  <c r="K171"/>
  <c r="L171"/>
  <c r="M171"/>
  <c r="N171"/>
  <c r="O171"/>
  <c r="P171"/>
  <c r="Q171"/>
  <c r="R171"/>
  <c r="S171"/>
  <c r="T171"/>
  <c r="U171"/>
  <c r="V171"/>
  <c r="W171"/>
  <c r="X171"/>
  <c r="Y171"/>
  <c r="Z171"/>
  <c r="AA171"/>
  <c r="AB171"/>
  <c r="AC171"/>
  <c r="AD171"/>
  <c r="AE171"/>
  <c r="AF171"/>
  <c r="AG171"/>
  <c r="AH171"/>
  <c r="AI171"/>
  <c r="AJ171"/>
  <c r="AK171"/>
  <c r="AL171"/>
  <c r="AM171"/>
  <c r="AN171"/>
  <c r="AO171"/>
  <c r="AP171"/>
  <c r="AQ171"/>
  <c r="AR171"/>
  <c r="AS171"/>
  <c r="AT171"/>
  <c r="AU171"/>
  <c r="AV171"/>
  <c r="AW171"/>
  <c r="AX171"/>
  <c r="AY171"/>
  <c r="AZ171"/>
  <c r="BA171"/>
  <c r="BB171"/>
  <c r="BC171"/>
  <c r="BD171"/>
  <c r="BE171"/>
  <c r="BF171"/>
  <c r="BG171"/>
  <c r="BH171"/>
  <c r="BI171"/>
  <c r="BJ171"/>
  <c r="BK171"/>
  <c r="BL171"/>
  <c r="BM171"/>
  <c r="BN171"/>
  <c r="BO171"/>
  <c r="BP171"/>
  <c r="BQ171"/>
  <c r="BR171"/>
  <c r="BS171"/>
  <c r="BT171"/>
  <c r="BU171"/>
  <c r="BV171"/>
  <c r="BW171"/>
  <c r="BX171"/>
  <c r="BY171"/>
  <c r="BZ171"/>
  <c r="CA171"/>
  <c r="CB171"/>
  <c r="CC171"/>
  <c r="CD171"/>
  <c r="CE171"/>
  <c r="CF171"/>
  <c r="CG171"/>
  <c r="CH171"/>
  <c r="CI171"/>
  <c r="CJ171"/>
  <c r="CK171"/>
  <c r="CL171"/>
  <c r="CM171"/>
  <c r="CN171"/>
  <c r="CO171"/>
  <c r="CP171"/>
  <c r="CQ171"/>
  <c r="CR171"/>
  <c r="CS171"/>
  <c r="CT171"/>
  <c r="CU171"/>
  <c r="CV171"/>
  <c r="CW171"/>
  <c r="CX171"/>
  <c r="CY171"/>
  <c r="CZ171"/>
  <c r="DA171"/>
  <c r="DB171"/>
  <c r="DC171"/>
  <c r="DD171"/>
  <c r="DE171"/>
  <c r="DF171"/>
  <c r="DG171"/>
  <c r="DH171"/>
  <c r="DI171"/>
  <c r="DJ171"/>
  <c r="DK171"/>
  <c r="DL171"/>
  <c r="DM171"/>
  <c r="DN171"/>
  <c r="DO171"/>
  <c r="DP171"/>
  <c r="DQ171"/>
  <c r="DR171"/>
  <c r="DS171"/>
  <c r="DT171"/>
  <c r="DU171"/>
  <c r="DV171"/>
  <c r="DW171"/>
  <c r="DX171"/>
  <c r="DY171"/>
  <c r="DZ171"/>
  <c r="EA171"/>
  <c r="EB171"/>
  <c r="EC171"/>
  <c r="ED171"/>
  <c r="EE171"/>
  <c r="EF171"/>
  <c r="EG171"/>
  <c r="EH171"/>
  <c r="EI171"/>
  <c r="EJ171"/>
  <c r="EK171"/>
  <c r="EL171"/>
  <c r="EM171"/>
  <c r="EN171"/>
  <c r="EO171"/>
  <c r="EP171"/>
  <c r="EQ171"/>
  <c r="ER171"/>
  <c r="ES171"/>
  <c r="ET171"/>
  <c r="EU171"/>
  <c r="EV171"/>
  <c r="EW171"/>
  <c r="EX171"/>
  <c r="EY171"/>
  <c r="EZ171"/>
  <c r="FA171"/>
  <c r="FB171"/>
  <c r="FC171"/>
  <c r="FD171"/>
  <c r="FE171"/>
  <c r="FF171"/>
  <c r="FG171"/>
  <c r="FH171"/>
  <c r="FI171"/>
  <c r="FJ171"/>
  <c r="FK171"/>
  <c r="FL171"/>
  <c r="FM171"/>
  <c r="FN171"/>
  <c r="FO171"/>
  <c r="FP171"/>
  <c r="FQ171"/>
  <c r="FR171"/>
  <c r="FS171"/>
  <c r="FT171"/>
  <c r="FU171"/>
  <c r="FV171"/>
  <c r="FW171"/>
  <c r="FX171"/>
  <c r="FY171"/>
  <c r="FZ171"/>
  <c r="GA171"/>
  <c r="GB171"/>
  <c r="GC171"/>
  <c r="GD171"/>
  <c r="GE171"/>
  <c r="GF171"/>
  <c r="GG171"/>
  <c r="GH171"/>
  <c r="GI171"/>
  <c r="GJ171"/>
  <c r="GK171"/>
  <c r="GL171"/>
  <c r="GM171"/>
  <c r="GN171"/>
  <c r="GO171"/>
  <c r="GP171"/>
  <c r="GQ171"/>
  <c r="GR171"/>
  <c r="GS171"/>
  <c r="GT171"/>
  <c r="GU171"/>
  <c r="GV171"/>
  <c r="GW171"/>
  <c r="GX171"/>
  <c r="GY171"/>
  <c r="GZ171"/>
  <c r="HA171"/>
  <c r="HB171"/>
  <c r="HC171"/>
  <c r="HD171"/>
  <c r="HE171"/>
  <c r="HF171"/>
  <c r="HG171"/>
  <c r="HH171"/>
  <c r="HI171"/>
  <c r="HJ171"/>
  <c r="HK171"/>
  <c r="HL171"/>
  <c r="HM171"/>
  <c r="HN171"/>
  <c r="HO171"/>
  <c r="HP171"/>
  <c r="HQ171"/>
  <c r="HR171"/>
  <c r="HS171"/>
  <c r="HT171"/>
  <c r="HU171"/>
  <c r="HV171"/>
  <c r="HW171"/>
  <c r="HX171"/>
  <c r="HY171"/>
  <c r="HZ171"/>
  <c r="IA171"/>
  <c r="IB171"/>
  <c r="IC171"/>
  <c r="ID171"/>
  <c r="IE171"/>
  <c r="IF171"/>
  <c r="IG171"/>
  <c r="IH171"/>
  <c r="II171"/>
  <c r="IJ171"/>
  <c r="IK171"/>
  <c r="IL171"/>
  <c r="IM171"/>
  <c r="IN171"/>
  <c r="IO171"/>
  <c r="IP171"/>
  <c r="IQ171"/>
  <c r="IR171"/>
  <c r="IS171"/>
  <c r="IT171"/>
  <c r="IU171"/>
  <c r="IV171"/>
  <c r="A170"/>
  <c r="B170"/>
  <c r="C170"/>
  <c r="D170"/>
  <c r="E170"/>
  <c r="F170"/>
  <c r="G170"/>
  <c r="H170"/>
  <c r="I170"/>
  <c r="J170"/>
  <c r="K170"/>
  <c r="L170"/>
  <c r="M170"/>
  <c r="N170"/>
  <c r="O170"/>
  <c r="P170"/>
  <c r="Q170"/>
  <c r="R170"/>
  <c r="S170"/>
  <c r="T170"/>
  <c r="U170"/>
  <c r="V170"/>
  <c r="W170"/>
  <c r="X170"/>
  <c r="Y170"/>
  <c r="Z170"/>
  <c r="AA170"/>
  <c r="AB170"/>
  <c r="AC170"/>
  <c r="AD170"/>
  <c r="AE170"/>
  <c r="AF170"/>
  <c r="AG170"/>
  <c r="AH170"/>
  <c r="AI170"/>
  <c r="AJ170"/>
  <c r="AK170"/>
  <c r="AL170"/>
  <c r="AM170"/>
  <c r="AN170"/>
  <c r="AO170"/>
  <c r="AP170"/>
  <c r="AQ170"/>
  <c r="AR170"/>
  <c r="AS170"/>
  <c r="AT170"/>
  <c r="AU170"/>
  <c r="AV170"/>
  <c r="AW170"/>
  <c r="AX170"/>
  <c r="AY170"/>
  <c r="AZ170"/>
  <c r="BA170"/>
  <c r="BB170"/>
  <c r="BC170"/>
  <c r="BD170"/>
  <c r="BE170"/>
  <c r="BF170"/>
  <c r="BG170"/>
  <c r="BH170"/>
  <c r="BI170"/>
  <c r="BJ170"/>
  <c r="BK170"/>
  <c r="BL170"/>
  <c r="BM170"/>
  <c r="BN170"/>
  <c r="BO170"/>
  <c r="BP170"/>
  <c r="BQ170"/>
  <c r="BR170"/>
  <c r="BS170"/>
  <c r="BT170"/>
  <c r="BU170"/>
  <c r="BV170"/>
  <c r="BW170"/>
  <c r="BX170"/>
  <c r="BY170"/>
  <c r="BZ170"/>
  <c r="CA170"/>
  <c r="CB170"/>
  <c r="CC170"/>
  <c r="CD170"/>
  <c r="CE170"/>
  <c r="CF170"/>
  <c r="CG170"/>
  <c r="CH170"/>
  <c r="CI170"/>
  <c r="CJ170"/>
  <c r="CK170"/>
  <c r="CL170"/>
  <c r="CM170"/>
  <c r="CN170"/>
  <c r="CO170"/>
  <c r="CP170"/>
  <c r="CQ170"/>
  <c r="CR170"/>
  <c r="CS170"/>
  <c r="CT170"/>
  <c r="CU170"/>
  <c r="CV170"/>
  <c r="CW170"/>
  <c r="CX170"/>
  <c r="CY170"/>
  <c r="CZ170"/>
  <c r="DA170"/>
  <c r="DB170"/>
  <c r="DC170"/>
  <c r="DD170"/>
  <c r="DE170"/>
  <c r="DF170"/>
  <c r="DG170"/>
  <c r="DH170"/>
  <c r="DI170"/>
  <c r="DJ170"/>
  <c r="DK170"/>
  <c r="DL170"/>
  <c r="DM170"/>
  <c r="DN170"/>
  <c r="DO170"/>
  <c r="DP170"/>
  <c r="DQ170"/>
  <c r="DR170"/>
  <c r="DS170"/>
  <c r="DT170"/>
  <c r="DU170"/>
  <c r="DV170"/>
  <c r="DW170"/>
  <c r="DX170"/>
  <c r="DY170"/>
  <c r="DZ170"/>
  <c r="EA170"/>
  <c r="EB170"/>
  <c r="EC170"/>
  <c r="ED170"/>
  <c r="EE170"/>
  <c r="EF170"/>
  <c r="EG170"/>
  <c r="EH170"/>
  <c r="EI170"/>
  <c r="EJ170"/>
  <c r="EK170"/>
  <c r="EL170"/>
  <c r="EM170"/>
  <c r="EN170"/>
  <c r="EO170"/>
  <c r="EP170"/>
  <c r="EQ170"/>
  <c r="ER170"/>
  <c r="ES170"/>
  <c r="ET170"/>
  <c r="EU170"/>
  <c r="EV170"/>
  <c r="EW170"/>
  <c r="EX170"/>
  <c r="EY170"/>
  <c r="EZ170"/>
  <c r="FA170"/>
  <c r="FB170"/>
  <c r="FC170"/>
  <c r="FD170"/>
  <c r="FE170"/>
  <c r="FF170"/>
  <c r="FG170"/>
  <c r="FH170"/>
  <c r="FI170"/>
  <c r="FJ170"/>
  <c r="FK170"/>
  <c r="FL170"/>
  <c r="FM170"/>
  <c r="FN170"/>
  <c r="FO170"/>
  <c r="FP170"/>
  <c r="FQ170"/>
  <c r="FR170"/>
  <c r="FS170"/>
  <c r="FT170"/>
  <c r="FU170"/>
  <c r="FV170"/>
  <c r="FW170"/>
  <c r="FX170"/>
  <c r="FY170"/>
  <c r="FZ170"/>
  <c r="GA170"/>
  <c r="GB170"/>
  <c r="GC170"/>
  <c r="GD170"/>
  <c r="GE170"/>
  <c r="GF170"/>
  <c r="GG170"/>
  <c r="GH170"/>
  <c r="GI170"/>
  <c r="GJ170"/>
  <c r="GK170"/>
  <c r="GL170"/>
  <c r="GM170"/>
  <c r="GN170"/>
  <c r="GO170"/>
  <c r="GP170"/>
  <c r="GQ170"/>
  <c r="GR170"/>
  <c r="GS170"/>
  <c r="GT170"/>
  <c r="GU170"/>
  <c r="GV170"/>
  <c r="GW170"/>
  <c r="GX170"/>
  <c r="GY170"/>
  <c r="GZ170"/>
  <c r="HA170"/>
  <c r="HB170"/>
  <c r="HC170"/>
  <c r="HD170"/>
  <c r="HE170"/>
  <c r="HF170"/>
  <c r="HG170"/>
  <c r="HH170"/>
  <c r="HI170"/>
  <c r="HJ170"/>
  <c r="HK170"/>
  <c r="HL170"/>
  <c r="HM170"/>
  <c r="HN170"/>
  <c r="HO170"/>
  <c r="HP170"/>
  <c r="HQ170"/>
  <c r="HR170"/>
  <c r="HS170"/>
  <c r="HT170"/>
  <c r="HU170"/>
  <c r="HV170"/>
  <c r="HW170"/>
  <c r="HX170"/>
  <c r="HY170"/>
  <c r="HZ170"/>
  <c r="IA170"/>
  <c r="IB170"/>
  <c r="IC170"/>
  <c r="ID170"/>
  <c r="IE170"/>
  <c r="IF170"/>
  <c r="IG170"/>
  <c r="IH170"/>
  <c r="II170"/>
  <c r="IJ170"/>
  <c r="IK170"/>
  <c r="IL170"/>
  <c r="IM170"/>
  <c r="IN170"/>
  <c r="IO170"/>
  <c r="IP170"/>
  <c r="IQ170"/>
  <c r="IR170"/>
  <c r="IS170"/>
  <c r="IT170"/>
  <c r="IU170"/>
  <c r="IV170"/>
  <c r="A169"/>
  <c r="B169"/>
  <c r="C169"/>
  <c r="D169"/>
  <c r="E169"/>
  <c r="F169"/>
  <c r="G169"/>
  <c r="H169"/>
  <c r="I169"/>
  <c r="J169"/>
  <c r="K169"/>
  <c r="L169"/>
  <c r="M169"/>
  <c r="N169"/>
  <c r="O169"/>
  <c r="P169"/>
  <c r="Q169"/>
  <c r="R169"/>
  <c r="S169"/>
  <c r="T169"/>
  <c r="U169"/>
  <c r="V169"/>
  <c r="W169"/>
  <c r="X169"/>
  <c r="Y169"/>
  <c r="Z169"/>
  <c r="AA169"/>
  <c r="AB169"/>
  <c r="AC169"/>
  <c r="AD169"/>
  <c r="AE169"/>
  <c r="AF169"/>
  <c r="AG169"/>
  <c r="AH169"/>
  <c r="AI169"/>
  <c r="AJ169"/>
  <c r="AK169"/>
  <c r="AL169"/>
  <c r="AM169"/>
  <c r="AN169"/>
  <c r="AO169"/>
  <c r="AP169"/>
  <c r="AQ169"/>
  <c r="AR169"/>
  <c r="AS169"/>
  <c r="AT169"/>
  <c r="AU169"/>
  <c r="AV169"/>
  <c r="AW169"/>
  <c r="AX169"/>
  <c r="AY169"/>
  <c r="AZ169"/>
  <c r="BA169"/>
  <c r="BB169"/>
  <c r="BC169"/>
  <c r="BD169"/>
  <c r="BE169"/>
  <c r="BF169"/>
  <c r="BG169"/>
  <c r="BH169"/>
  <c r="BI169"/>
  <c r="BJ169"/>
  <c r="BK169"/>
  <c r="BL169"/>
  <c r="BM169"/>
  <c r="BN169"/>
  <c r="BO169"/>
  <c r="BP169"/>
  <c r="BQ169"/>
  <c r="BR169"/>
  <c r="BS169"/>
  <c r="BT169"/>
  <c r="BU169"/>
  <c r="BV169"/>
  <c r="BW169"/>
  <c r="BX169"/>
  <c r="BY169"/>
  <c r="BZ169"/>
  <c r="CA169"/>
  <c r="CB169"/>
  <c r="CC169"/>
  <c r="CD169"/>
  <c r="CE169"/>
  <c r="CF169"/>
  <c r="CG169"/>
  <c r="CH169"/>
  <c r="CI169"/>
  <c r="CJ169"/>
  <c r="CK169"/>
  <c r="CL169"/>
  <c r="CM169"/>
  <c r="CN169"/>
  <c r="CO169"/>
  <c r="CP169"/>
  <c r="CQ169"/>
  <c r="CR169"/>
  <c r="CS169"/>
  <c r="CT169"/>
  <c r="CU169"/>
  <c r="CV169"/>
  <c r="CW169"/>
  <c r="CX169"/>
  <c r="CY169"/>
  <c r="CZ169"/>
  <c r="DA169"/>
  <c r="DB169"/>
  <c r="DC169"/>
  <c r="DD169"/>
  <c r="DE169"/>
  <c r="DF169"/>
  <c r="DG169"/>
  <c r="DH169"/>
  <c r="DI169"/>
  <c r="DJ169"/>
  <c r="DK169"/>
  <c r="DL169"/>
  <c r="DM169"/>
  <c r="DN169"/>
  <c r="DO169"/>
  <c r="DP169"/>
  <c r="DQ169"/>
  <c r="DR169"/>
  <c r="DS169"/>
  <c r="DT169"/>
  <c r="DU169"/>
  <c r="DV169"/>
  <c r="DW169"/>
  <c r="DX169"/>
  <c r="DY169"/>
  <c r="DZ169"/>
  <c r="EA169"/>
  <c r="EB169"/>
  <c r="EC169"/>
  <c r="ED169"/>
  <c r="EE169"/>
  <c r="EF169"/>
  <c r="EG169"/>
  <c r="EH169"/>
  <c r="EI169"/>
  <c r="EJ169"/>
  <c r="EK169"/>
  <c r="EL169"/>
  <c r="EM169"/>
  <c r="EN169"/>
  <c r="EO169"/>
  <c r="EP169"/>
  <c r="EQ169"/>
  <c r="ER169"/>
  <c r="ES169"/>
  <c r="ET169"/>
  <c r="EU169"/>
  <c r="EV169"/>
  <c r="EW169"/>
  <c r="EX169"/>
  <c r="EY169"/>
  <c r="EZ169"/>
  <c r="FA169"/>
  <c r="FB169"/>
  <c r="FC169"/>
  <c r="FD169"/>
  <c r="FE169"/>
  <c r="FF169"/>
  <c r="FG169"/>
  <c r="FH169"/>
  <c r="FI169"/>
  <c r="FJ169"/>
  <c r="FK169"/>
  <c r="FL169"/>
  <c r="FM169"/>
  <c r="FN169"/>
  <c r="FO169"/>
  <c r="FP169"/>
  <c r="FQ169"/>
  <c r="FR169"/>
  <c r="FS169"/>
  <c r="FT169"/>
  <c r="FU169"/>
  <c r="FV169"/>
  <c r="FW169"/>
  <c r="FX169"/>
  <c r="FY169"/>
  <c r="FZ169"/>
  <c r="GA169"/>
  <c r="GB169"/>
  <c r="GC169"/>
  <c r="GD169"/>
  <c r="GE169"/>
  <c r="GF169"/>
  <c r="GG169"/>
  <c r="GH169"/>
  <c r="GI169"/>
  <c r="GJ169"/>
  <c r="GK169"/>
  <c r="GL169"/>
  <c r="GM169"/>
  <c r="GN169"/>
  <c r="GO169"/>
  <c r="GP169"/>
  <c r="GQ169"/>
  <c r="GR169"/>
  <c r="GS169"/>
  <c r="GT169"/>
  <c r="GU169"/>
  <c r="GV169"/>
  <c r="GW169"/>
  <c r="GX169"/>
  <c r="GY169"/>
  <c r="GZ169"/>
  <c r="HA169"/>
  <c r="HB169"/>
  <c r="HC169"/>
  <c r="HD169"/>
  <c r="HE169"/>
  <c r="HF169"/>
  <c r="HG169"/>
  <c r="HH169"/>
  <c r="HI169"/>
  <c r="HJ169"/>
  <c r="HK169"/>
  <c r="HL169"/>
  <c r="HM169"/>
  <c r="HN169"/>
  <c r="HO169"/>
  <c r="HP169"/>
  <c r="HQ169"/>
  <c r="HR169"/>
  <c r="HS169"/>
  <c r="HT169"/>
  <c r="HU169"/>
  <c r="HV169"/>
  <c r="HW169"/>
  <c r="HX169"/>
  <c r="HY169"/>
  <c r="HZ169"/>
  <c r="IA169"/>
  <c r="IB169"/>
  <c r="IC169"/>
  <c r="ID169"/>
  <c r="IE169"/>
  <c r="IF169"/>
  <c r="IG169"/>
  <c r="IH169"/>
  <c r="II169"/>
  <c r="IJ169"/>
  <c r="IK169"/>
  <c r="IL169"/>
  <c r="IM169"/>
  <c r="IN169"/>
  <c r="IO169"/>
  <c r="IP169"/>
  <c r="IQ169"/>
  <c r="IR169"/>
  <c r="IS169"/>
  <c r="IT169"/>
  <c r="IU169"/>
  <c r="IV169"/>
  <c r="A168"/>
  <c r="B168"/>
  <c r="C168"/>
  <c r="D168"/>
  <c r="E168"/>
  <c r="F168"/>
  <c r="G168"/>
  <c r="H168"/>
  <c r="I168"/>
  <c r="J168"/>
  <c r="K168"/>
  <c r="L168"/>
  <c r="M168"/>
  <c r="N168"/>
  <c r="O168"/>
  <c r="P168"/>
  <c r="Q168"/>
  <c r="R168"/>
  <c r="S168"/>
  <c r="T168"/>
  <c r="U168"/>
  <c r="V168"/>
  <c r="W168"/>
  <c r="X168"/>
  <c r="Y168"/>
  <c r="Z168"/>
  <c r="AA168"/>
  <c r="AB168"/>
  <c r="AC168"/>
  <c r="AD168"/>
  <c r="AE168"/>
  <c r="AF168"/>
  <c r="AG168"/>
  <c r="AH168"/>
  <c r="AI168"/>
  <c r="AJ168"/>
  <c r="AK168"/>
  <c r="AL168"/>
  <c r="AM168"/>
  <c r="AN168"/>
  <c r="AO168"/>
  <c r="AP168"/>
  <c r="AQ168"/>
  <c r="AR168"/>
  <c r="AS168"/>
  <c r="AT168"/>
  <c r="AU168"/>
  <c r="AV168"/>
  <c r="AW168"/>
  <c r="AX168"/>
  <c r="AY168"/>
  <c r="AZ168"/>
  <c r="BA168"/>
  <c r="BB168"/>
  <c r="BC168"/>
  <c r="BD168"/>
  <c r="BE168"/>
  <c r="BF168"/>
  <c r="BG168"/>
  <c r="BH168"/>
  <c r="BI168"/>
  <c r="BJ168"/>
  <c r="BK168"/>
  <c r="BL168"/>
  <c r="BM168"/>
  <c r="BN168"/>
  <c r="BO168"/>
  <c r="BP168"/>
  <c r="BQ168"/>
  <c r="BR168"/>
  <c r="BS168"/>
  <c r="BT168"/>
  <c r="BU168"/>
  <c r="BV168"/>
  <c r="BW168"/>
  <c r="BX168"/>
  <c r="BY168"/>
  <c r="BZ168"/>
  <c r="CA168"/>
  <c r="CB168"/>
  <c r="CC168"/>
  <c r="CD168"/>
  <c r="CE168"/>
  <c r="CF168"/>
  <c r="CG168"/>
  <c r="CH168"/>
  <c r="CI168"/>
  <c r="CJ168"/>
  <c r="CK168"/>
  <c r="CL168"/>
  <c r="CM168"/>
  <c r="CN168"/>
  <c r="CO168"/>
  <c r="CP168"/>
  <c r="CQ168"/>
  <c r="CR168"/>
  <c r="CS168"/>
  <c r="CT168"/>
  <c r="CU168"/>
  <c r="CV168"/>
  <c r="CW168"/>
  <c r="CX168"/>
  <c r="CY168"/>
  <c r="CZ168"/>
  <c r="DA168"/>
  <c r="DB168"/>
  <c r="DC168"/>
  <c r="DD168"/>
  <c r="DE168"/>
  <c r="DF168"/>
  <c r="DG168"/>
  <c r="DH168"/>
  <c r="DI168"/>
  <c r="DJ168"/>
  <c r="DK168"/>
  <c r="DL168"/>
  <c r="DM168"/>
  <c r="DN168"/>
  <c r="DO168"/>
  <c r="DP168"/>
  <c r="DQ168"/>
  <c r="DR168"/>
  <c r="DS168"/>
  <c r="DT168"/>
  <c r="DU168"/>
  <c r="DV168"/>
  <c r="DW168"/>
  <c r="DX168"/>
  <c r="DY168"/>
  <c r="DZ168"/>
  <c r="EA168"/>
  <c r="EB168"/>
  <c r="EC168"/>
  <c r="ED168"/>
  <c r="EE168"/>
  <c r="EF168"/>
  <c r="EG168"/>
  <c r="EH168"/>
  <c r="EI168"/>
  <c r="EJ168"/>
  <c r="EK168"/>
  <c r="EL168"/>
  <c r="EM168"/>
  <c r="EN168"/>
  <c r="EO168"/>
  <c r="EP168"/>
  <c r="EQ168"/>
  <c r="ER168"/>
  <c r="ES168"/>
  <c r="ET168"/>
  <c r="EU168"/>
  <c r="EV168"/>
  <c r="EW168"/>
  <c r="EX168"/>
  <c r="EY168"/>
  <c r="EZ168"/>
  <c r="FA168"/>
  <c r="FB168"/>
  <c r="FC168"/>
  <c r="FD168"/>
  <c r="FE168"/>
  <c r="FF168"/>
  <c r="FG168"/>
  <c r="FH168"/>
  <c r="FI168"/>
  <c r="FJ168"/>
  <c r="FK168"/>
  <c r="FL168"/>
  <c r="FM168"/>
  <c r="FN168"/>
  <c r="FO168"/>
  <c r="FP168"/>
  <c r="FQ168"/>
  <c r="FR168"/>
  <c r="FS168"/>
  <c r="FT168"/>
  <c r="FU168"/>
  <c r="FV168"/>
  <c r="FW168"/>
  <c r="FX168"/>
  <c r="FY168"/>
  <c r="FZ168"/>
  <c r="GA168"/>
  <c r="GB168"/>
  <c r="GC168"/>
  <c r="GD168"/>
  <c r="GE168"/>
  <c r="GF168"/>
  <c r="GG168"/>
  <c r="GH168"/>
  <c r="GI168"/>
  <c r="GJ168"/>
  <c r="GK168"/>
  <c r="GL168"/>
  <c r="GM168"/>
  <c r="GN168"/>
  <c r="GO168"/>
  <c r="GP168"/>
  <c r="GQ168"/>
  <c r="GR168"/>
  <c r="GS168"/>
  <c r="GT168"/>
  <c r="GU168"/>
  <c r="GV168"/>
  <c r="GW168"/>
  <c r="GX168"/>
  <c r="GY168"/>
  <c r="GZ168"/>
  <c r="HA168"/>
  <c r="HB168"/>
  <c r="HC168"/>
  <c r="HD168"/>
  <c r="HE168"/>
  <c r="HF168"/>
  <c r="HG168"/>
  <c r="HH168"/>
  <c r="HI168"/>
  <c r="HJ168"/>
  <c r="HK168"/>
  <c r="HL168"/>
  <c r="HM168"/>
  <c r="HN168"/>
  <c r="HO168"/>
  <c r="HP168"/>
  <c r="HQ168"/>
  <c r="HR168"/>
  <c r="HS168"/>
  <c r="HT168"/>
  <c r="HU168"/>
  <c r="HV168"/>
  <c r="HW168"/>
  <c r="HX168"/>
  <c r="HY168"/>
  <c r="HZ168"/>
  <c r="IA168"/>
  <c r="IB168"/>
  <c r="IC168"/>
  <c r="ID168"/>
  <c r="IE168"/>
  <c r="IF168"/>
  <c r="IG168"/>
  <c r="IH168"/>
  <c r="II168"/>
  <c r="IJ168"/>
  <c r="IK168"/>
  <c r="IL168"/>
  <c r="IM168"/>
  <c r="IN168"/>
  <c r="IO168"/>
  <c r="IP168"/>
  <c r="IQ168"/>
  <c r="IR168"/>
  <c r="IS168"/>
  <c r="IT168"/>
  <c r="IU168"/>
  <c r="IV168"/>
  <c r="A167"/>
  <c r="B167"/>
  <c r="C167"/>
  <c r="D167"/>
  <c r="E167"/>
  <c r="F167"/>
  <c r="G167"/>
  <c r="H167"/>
  <c r="I167"/>
  <c r="J167"/>
  <c r="K167"/>
  <c r="L167"/>
  <c r="M167"/>
  <c r="N167"/>
  <c r="O167"/>
  <c r="P167"/>
  <c r="Q167"/>
  <c r="R167"/>
  <c r="S167"/>
  <c r="T167"/>
  <c r="U167"/>
  <c r="V167"/>
  <c r="W167"/>
  <c r="X167"/>
  <c r="Y167"/>
  <c r="Z167"/>
  <c r="AA167"/>
  <c r="AB167"/>
  <c r="AC167"/>
  <c r="AD167"/>
  <c r="AE167"/>
  <c r="AF167"/>
  <c r="AG167"/>
  <c r="AH167"/>
  <c r="AI167"/>
  <c r="AJ167"/>
  <c r="AK167"/>
  <c r="AL167"/>
  <c r="AM167"/>
  <c r="AN167"/>
  <c r="AO167"/>
  <c r="AP167"/>
  <c r="AQ167"/>
  <c r="AR167"/>
  <c r="AS167"/>
  <c r="AT167"/>
  <c r="AU167"/>
  <c r="AV167"/>
  <c r="AW167"/>
  <c r="AX167"/>
  <c r="AY167"/>
  <c r="AZ167"/>
  <c r="BA167"/>
  <c r="BB167"/>
  <c r="BC167"/>
  <c r="BD167"/>
  <c r="BE167"/>
  <c r="BF167"/>
  <c r="BG167"/>
  <c r="BH167"/>
  <c r="BI167"/>
  <c r="BJ167"/>
  <c r="BK167"/>
  <c r="BL167"/>
  <c r="BM167"/>
  <c r="BN167"/>
  <c r="BO167"/>
  <c r="BP167"/>
  <c r="BQ167"/>
  <c r="BR167"/>
  <c r="BS167"/>
  <c r="BT167"/>
  <c r="BU167"/>
  <c r="BV167"/>
  <c r="BW167"/>
  <c r="BX167"/>
  <c r="BY167"/>
  <c r="BZ167"/>
  <c r="CA167"/>
  <c r="CB167"/>
  <c r="CC167"/>
  <c r="CD167"/>
  <c r="CE167"/>
  <c r="CF167"/>
  <c r="CG167"/>
  <c r="CH167"/>
  <c r="CI167"/>
  <c r="CJ167"/>
  <c r="CK167"/>
  <c r="CL167"/>
  <c r="CM167"/>
  <c r="CN167"/>
  <c r="CO167"/>
  <c r="CP167"/>
  <c r="CQ167"/>
  <c r="CR167"/>
  <c r="CS167"/>
  <c r="CT167"/>
  <c r="CU167"/>
  <c r="CV167"/>
  <c r="CW167"/>
  <c r="CX167"/>
  <c r="CY167"/>
  <c r="CZ167"/>
  <c r="DA167"/>
  <c r="DB167"/>
  <c r="DC167"/>
  <c r="DD167"/>
  <c r="DE167"/>
  <c r="DF167"/>
  <c r="DG167"/>
  <c r="DH167"/>
  <c r="DI167"/>
  <c r="DJ167"/>
  <c r="DK167"/>
  <c r="DL167"/>
  <c r="DM167"/>
  <c r="DN167"/>
  <c r="DO167"/>
  <c r="DP167"/>
  <c r="DQ167"/>
  <c r="DR167"/>
  <c r="DS167"/>
  <c r="DT167"/>
  <c r="DU167"/>
  <c r="DV167"/>
  <c r="DW167"/>
  <c r="DX167"/>
  <c r="DY167"/>
  <c r="DZ167"/>
  <c r="EA167"/>
  <c r="EB167"/>
  <c r="EC167"/>
  <c r="ED167"/>
  <c r="EE167"/>
  <c r="EF167"/>
  <c r="EG167"/>
  <c r="EH167"/>
  <c r="EI167"/>
  <c r="EJ167"/>
  <c r="EK167"/>
  <c r="EL167"/>
  <c r="EM167"/>
  <c r="EN167"/>
  <c r="EO167"/>
  <c r="EP167"/>
  <c r="EQ167"/>
  <c r="ER167"/>
  <c r="ES167"/>
  <c r="ET167"/>
  <c r="EU167"/>
  <c r="EV167"/>
  <c r="EW167"/>
  <c r="EX167"/>
  <c r="EY167"/>
  <c r="EZ167"/>
  <c r="FA167"/>
  <c r="FB167"/>
  <c r="FC167"/>
  <c r="FD167"/>
  <c r="FE167"/>
  <c r="FF167"/>
  <c r="FG167"/>
  <c r="FH167"/>
  <c r="FI167"/>
  <c r="FJ167"/>
  <c r="FK167"/>
  <c r="FL167"/>
  <c r="FM167"/>
  <c r="FN167"/>
  <c r="FO167"/>
  <c r="FP167"/>
  <c r="FQ167"/>
  <c r="FR167"/>
  <c r="FS167"/>
  <c r="FT167"/>
  <c r="FU167"/>
  <c r="FV167"/>
  <c r="FW167"/>
  <c r="FX167"/>
  <c r="FY167"/>
  <c r="FZ167"/>
  <c r="GA167"/>
  <c r="GB167"/>
  <c r="GC167"/>
  <c r="GD167"/>
  <c r="GE167"/>
  <c r="GF167"/>
  <c r="GG167"/>
  <c r="GH167"/>
  <c r="GI167"/>
  <c r="GJ167"/>
  <c r="GK167"/>
  <c r="GL167"/>
  <c r="GM167"/>
  <c r="GN167"/>
  <c r="GO167"/>
  <c r="GP167"/>
  <c r="GQ167"/>
  <c r="GR167"/>
  <c r="GS167"/>
  <c r="GT167"/>
  <c r="GU167"/>
  <c r="GV167"/>
  <c r="GW167"/>
  <c r="GX167"/>
  <c r="GY167"/>
  <c r="GZ167"/>
  <c r="HA167"/>
  <c r="HB167"/>
  <c r="HC167"/>
  <c r="HD167"/>
  <c r="HE167"/>
  <c r="HF167"/>
  <c r="HG167"/>
  <c r="HH167"/>
  <c r="HI167"/>
  <c r="HJ167"/>
  <c r="HK167"/>
  <c r="HL167"/>
  <c r="HM167"/>
  <c r="HN167"/>
  <c r="HO167"/>
  <c r="HP167"/>
  <c r="HQ167"/>
  <c r="HR167"/>
  <c r="HS167"/>
  <c r="HT167"/>
  <c r="HU167"/>
  <c r="HV167"/>
  <c r="HW167"/>
  <c r="HX167"/>
  <c r="HY167"/>
  <c r="HZ167"/>
  <c r="IA167"/>
  <c r="IB167"/>
  <c r="IC167"/>
  <c r="ID167"/>
  <c r="IE167"/>
  <c r="IF167"/>
  <c r="IG167"/>
  <c r="IH167"/>
  <c r="II167"/>
  <c r="IJ167"/>
  <c r="IK167"/>
  <c r="IL167"/>
  <c r="IM167"/>
  <c r="IN167"/>
  <c r="IO167"/>
  <c r="IP167"/>
  <c r="IQ167"/>
  <c r="IR167"/>
  <c r="IS167"/>
  <c r="IT167"/>
  <c r="IU167"/>
  <c r="IV167"/>
  <c r="A166"/>
  <c r="B166"/>
  <c r="C166"/>
  <c r="D166"/>
  <c r="E166"/>
  <c r="F166"/>
  <c r="G166"/>
  <c r="H166"/>
  <c r="I166"/>
  <c r="J166"/>
  <c r="K166"/>
  <c r="L166"/>
  <c r="M166"/>
  <c r="N166"/>
  <c r="O166"/>
  <c r="P166"/>
  <c r="Q166"/>
  <c r="R166"/>
  <c r="S166"/>
  <c r="T166"/>
  <c r="U166"/>
  <c r="V166"/>
  <c r="W166"/>
  <c r="X166"/>
  <c r="Y166"/>
  <c r="Z166"/>
  <c r="AA166"/>
  <c r="AB166"/>
  <c r="AC166"/>
  <c r="AD166"/>
  <c r="AE166"/>
  <c r="AF166"/>
  <c r="AG166"/>
  <c r="AH166"/>
  <c r="AI166"/>
  <c r="AJ166"/>
  <c r="AK166"/>
  <c r="AL166"/>
  <c r="AM166"/>
  <c r="AN166"/>
  <c r="AO166"/>
  <c r="AP166"/>
  <c r="AQ166"/>
  <c r="AR166"/>
  <c r="AS166"/>
  <c r="AT166"/>
  <c r="AU166"/>
  <c r="AV166"/>
  <c r="AW166"/>
  <c r="AX166"/>
  <c r="AY166"/>
  <c r="AZ166"/>
  <c r="BA166"/>
  <c r="BB166"/>
  <c r="BC166"/>
  <c r="BD166"/>
  <c r="BE166"/>
  <c r="BF166"/>
  <c r="BG166"/>
  <c r="BH166"/>
  <c r="BI166"/>
  <c r="BJ166"/>
  <c r="BK166"/>
  <c r="BL166"/>
  <c r="BM166"/>
  <c r="BN166"/>
  <c r="BO166"/>
  <c r="BP166"/>
  <c r="BQ166"/>
  <c r="BR166"/>
  <c r="BS166"/>
  <c r="BT166"/>
  <c r="BU166"/>
  <c r="BV166"/>
  <c r="BW166"/>
  <c r="BX166"/>
  <c r="BY166"/>
  <c r="BZ166"/>
  <c r="CA166"/>
  <c r="CB166"/>
  <c r="CC166"/>
  <c r="CD166"/>
  <c r="CE166"/>
  <c r="CF166"/>
  <c r="CG166"/>
  <c r="CH166"/>
  <c r="CI166"/>
  <c r="CJ166"/>
  <c r="CK166"/>
  <c r="CL166"/>
  <c r="CM166"/>
  <c r="CN166"/>
  <c r="CO166"/>
  <c r="CP166"/>
  <c r="CQ166"/>
  <c r="CR166"/>
  <c r="CS166"/>
  <c r="CT166"/>
  <c r="CU166"/>
  <c r="CV166"/>
  <c r="CW166"/>
  <c r="CX166"/>
  <c r="CY166"/>
  <c r="CZ166"/>
  <c r="DA166"/>
  <c r="DB166"/>
  <c r="DC166"/>
  <c r="DD166"/>
  <c r="DE166"/>
  <c r="DF166"/>
  <c r="DG166"/>
  <c r="DH166"/>
  <c r="DI166"/>
  <c r="DJ166"/>
  <c r="DK166"/>
  <c r="DL166"/>
  <c r="DM166"/>
  <c r="DN166"/>
  <c r="DO166"/>
  <c r="DP166"/>
  <c r="DQ166"/>
  <c r="DR166"/>
  <c r="DS166"/>
  <c r="DT166"/>
  <c r="DU166"/>
  <c r="DV166"/>
  <c r="DW166"/>
  <c r="DX166"/>
  <c r="DY166"/>
  <c r="DZ166"/>
  <c r="EA166"/>
  <c r="EB166"/>
  <c r="EC166"/>
  <c r="ED166"/>
  <c r="EE166"/>
  <c r="EF166"/>
  <c r="EG166"/>
  <c r="EH166"/>
  <c r="EI166"/>
  <c r="EJ166"/>
  <c r="EK166"/>
  <c r="EL166"/>
  <c r="EM166"/>
  <c r="EN166"/>
  <c r="EO166"/>
  <c r="EP166"/>
  <c r="EQ166"/>
  <c r="ER166"/>
  <c r="ES166"/>
  <c r="ET166"/>
  <c r="EU166"/>
  <c r="EV166"/>
  <c r="EW166"/>
  <c r="EX166"/>
  <c r="EY166"/>
  <c r="EZ166"/>
  <c r="FA166"/>
  <c r="FB166"/>
  <c r="FC166"/>
  <c r="FD166"/>
  <c r="FE166"/>
  <c r="FF166"/>
  <c r="FG166"/>
  <c r="FH166"/>
  <c r="FI166"/>
  <c r="FJ166"/>
  <c r="FK166"/>
  <c r="FL166"/>
  <c r="FM166"/>
  <c r="FN166"/>
  <c r="FO166"/>
  <c r="FP166"/>
  <c r="FQ166"/>
  <c r="FR166"/>
  <c r="FS166"/>
  <c r="FT166"/>
  <c r="FU166"/>
  <c r="FV166"/>
  <c r="FW166"/>
  <c r="FX166"/>
  <c r="FY166"/>
  <c r="FZ166"/>
  <c r="GA166"/>
  <c r="GB166"/>
  <c r="GC166"/>
  <c r="GD166"/>
  <c r="GE166"/>
  <c r="GF166"/>
  <c r="GG166"/>
  <c r="GH166"/>
  <c r="GI166"/>
  <c r="GJ166"/>
  <c r="GK166"/>
  <c r="GL166"/>
  <c r="GM166"/>
  <c r="GN166"/>
  <c r="GO166"/>
  <c r="GP166"/>
  <c r="GQ166"/>
  <c r="GR166"/>
  <c r="GS166"/>
  <c r="GT166"/>
  <c r="GU166"/>
  <c r="GV166"/>
  <c r="GW166"/>
  <c r="GX166"/>
  <c r="GY166"/>
  <c r="GZ166"/>
  <c r="HA166"/>
  <c r="HB166"/>
  <c r="HC166"/>
  <c r="HD166"/>
  <c r="HE166"/>
  <c r="HF166"/>
  <c r="HG166"/>
  <c r="HH166"/>
  <c r="HI166"/>
  <c r="HJ166"/>
  <c r="HK166"/>
  <c r="HL166"/>
  <c r="HM166"/>
  <c r="HN166"/>
  <c r="HO166"/>
  <c r="HP166"/>
  <c r="HQ166"/>
  <c r="HR166"/>
  <c r="HS166"/>
  <c r="HT166"/>
  <c r="HU166"/>
  <c r="HV166"/>
  <c r="HW166"/>
  <c r="HX166"/>
  <c r="HY166"/>
  <c r="HZ166"/>
  <c r="IA166"/>
  <c r="IB166"/>
  <c r="IC166"/>
  <c r="ID166"/>
  <c r="IE166"/>
  <c r="IF166"/>
  <c r="IG166"/>
  <c r="IH166"/>
  <c r="II166"/>
  <c r="IJ166"/>
  <c r="IK166"/>
  <c r="IL166"/>
  <c r="IM166"/>
  <c r="IN166"/>
  <c r="IO166"/>
  <c r="IP166"/>
  <c r="IQ166"/>
  <c r="IR166"/>
  <c r="IS166"/>
  <c r="IT166"/>
  <c r="IU166"/>
  <c r="IV166"/>
  <c r="A165"/>
  <c r="B165"/>
  <c r="C165"/>
  <c r="D165"/>
  <c r="E165"/>
  <c r="F165"/>
  <c r="G165"/>
  <c r="H165"/>
  <c r="I165"/>
  <c r="J165"/>
  <c r="K165"/>
  <c r="L165"/>
  <c r="M165"/>
  <c r="N165"/>
  <c r="O165"/>
  <c r="P165"/>
  <c r="Q165"/>
  <c r="R165"/>
  <c r="S165"/>
  <c r="T165"/>
  <c r="U165"/>
  <c r="V165"/>
  <c r="W165"/>
  <c r="X165"/>
  <c r="Y165"/>
  <c r="Z165"/>
  <c r="AA165"/>
  <c r="AB165"/>
  <c r="AC165"/>
  <c r="AD165"/>
  <c r="AE165"/>
  <c r="AF165"/>
  <c r="AG165"/>
  <c r="AH165"/>
  <c r="AI165"/>
  <c r="AJ165"/>
  <c r="AK165"/>
  <c r="AL165"/>
  <c r="AM165"/>
  <c r="AN165"/>
  <c r="AO165"/>
  <c r="AP165"/>
  <c r="AQ165"/>
  <c r="AR165"/>
  <c r="AS165"/>
  <c r="AT165"/>
  <c r="AU165"/>
  <c r="AV165"/>
  <c r="AW165"/>
  <c r="AX165"/>
  <c r="AY165"/>
  <c r="AZ165"/>
  <c r="BA165"/>
  <c r="BB165"/>
  <c r="BC165"/>
  <c r="BD165"/>
  <c r="BE165"/>
  <c r="BF165"/>
  <c r="BG165"/>
  <c r="BH165"/>
  <c r="BI165"/>
  <c r="BJ165"/>
  <c r="BK165"/>
  <c r="BL165"/>
  <c r="BM165"/>
  <c r="BN165"/>
  <c r="BO165"/>
  <c r="BP165"/>
  <c r="BQ165"/>
  <c r="BR165"/>
  <c r="BS165"/>
  <c r="BT165"/>
  <c r="BU165"/>
  <c r="BV165"/>
  <c r="BW165"/>
  <c r="BX165"/>
  <c r="BY165"/>
  <c r="BZ165"/>
  <c r="CA165"/>
  <c r="CB165"/>
  <c r="CC165"/>
  <c r="CD165"/>
  <c r="CE165"/>
  <c r="CF165"/>
  <c r="CG165"/>
  <c r="CH165"/>
  <c r="CI165"/>
  <c r="CJ165"/>
  <c r="CK165"/>
  <c r="CL165"/>
  <c r="CM165"/>
  <c r="CN165"/>
  <c r="CO165"/>
  <c r="CP165"/>
  <c r="CQ165"/>
  <c r="CR165"/>
  <c r="CS165"/>
  <c r="CT165"/>
  <c r="CU165"/>
  <c r="CV165"/>
  <c r="CW165"/>
  <c r="CX165"/>
  <c r="CY165"/>
  <c r="CZ165"/>
  <c r="DA165"/>
  <c r="DB165"/>
  <c r="DC165"/>
  <c r="DD165"/>
  <c r="DE165"/>
  <c r="DF165"/>
  <c r="DG165"/>
  <c r="DH165"/>
  <c r="DI165"/>
  <c r="DJ165"/>
  <c r="DK165"/>
  <c r="DL165"/>
  <c r="DM165"/>
  <c r="DN165"/>
  <c r="DO165"/>
  <c r="DP165"/>
  <c r="DQ165"/>
  <c r="DR165"/>
  <c r="DS165"/>
  <c r="DT165"/>
  <c r="DU165"/>
  <c r="DV165"/>
  <c r="DW165"/>
  <c r="DX165"/>
  <c r="DY165"/>
  <c r="DZ165"/>
  <c r="EA165"/>
  <c r="EB165"/>
  <c r="EC165"/>
  <c r="ED165"/>
  <c r="EE165"/>
  <c r="EF165"/>
  <c r="EG165"/>
  <c r="EH165"/>
  <c r="EI165"/>
  <c r="EJ165"/>
  <c r="EK165"/>
  <c r="EL165"/>
  <c r="EM165"/>
  <c r="EN165"/>
  <c r="EO165"/>
  <c r="EP165"/>
  <c r="EQ165"/>
  <c r="ER165"/>
  <c r="ES165"/>
  <c r="ET165"/>
  <c r="EU165"/>
  <c r="EV165"/>
  <c r="EW165"/>
  <c r="EX165"/>
  <c r="EY165"/>
  <c r="EZ165"/>
  <c r="FA165"/>
  <c r="FB165"/>
  <c r="FC165"/>
  <c r="FD165"/>
  <c r="FE165"/>
  <c r="FF165"/>
  <c r="FG165"/>
  <c r="FH165"/>
  <c r="FI165"/>
  <c r="FJ165"/>
  <c r="FK165"/>
  <c r="FL165"/>
  <c r="FM165"/>
  <c r="FN165"/>
  <c r="FO165"/>
  <c r="FP165"/>
  <c r="FQ165"/>
  <c r="FR165"/>
  <c r="FS165"/>
  <c r="FT165"/>
  <c r="FU165"/>
  <c r="FV165"/>
  <c r="FW165"/>
  <c r="FX165"/>
  <c r="FY165"/>
  <c r="FZ165"/>
  <c r="GA165"/>
  <c r="GB165"/>
  <c r="GC165"/>
  <c r="GD165"/>
  <c r="GE165"/>
  <c r="GF165"/>
  <c r="GG165"/>
  <c r="GH165"/>
  <c r="GI165"/>
  <c r="GJ165"/>
  <c r="GK165"/>
  <c r="GL165"/>
  <c r="GM165"/>
  <c r="GN165"/>
  <c r="GO165"/>
  <c r="GP165"/>
  <c r="GQ165"/>
  <c r="GR165"/>
  <c r="GS165"/>
  <c r="GT165"/>
  <c r="GU165"/>
  <c r="GV165"/>
  <c r="GW165"/>
  <c r="GX165"/>
  <c r="GY165"/>
  <c r="GZ165"/>
  <c r="HA165"/>
  <c r="HB165"/>
  <c r="HC165"/>
  <c r="HD165"/>
  <c r="HE165"/>
  <c r="HF165"/>
  <c r="HG165"/>
  <c r="HH165"/>
  <c r="HI165"/>
  <c r="HJ165"/>
  <c r="HK165"/>
  <c r="HL165"/>
  <c r="HM165"/>
  <c r="HN165"/>
  <c r="HO165"/>
  <c r="HP165"/>
  <c r="HQ165"/>
  <c r="HR165"/>
  <c r="HS165"/>
  <c r="HT165"/>
  <c r="HU165"/>
  <c r="HV165"/>
  <c r="HW165"/>
  <c r="HX165"/>
  <c r="HY165"/>
  <c r="HZ165"/>
  <c r="IA165"/>
  <c r="IB165"/>
  <c r="IC165"/>
  <c r="ID165"/>
  <c r="IE165"/>
  <c r="IF165"/>
  <c r="IG165"/>
  <c r="IH165"/>
  <c r="II165"/>
  <c r="IJ165"/>
  <c r="IK165"/>
  <c r="IL165"/>
  <c r="IM165"/>
  <c r="IN165"/>
  <c r="IO165"/>
  <c r="IP165"/>
  <c r="IQ165"/>
  <c r="IR165"/>
  <c r="IS165"/>
  <c r="IT165"/>
  <c r="IU165"/>
  <c r="IV165"/>
  <c r="A164"/>
  <c r="B164"/>
  <c r="C164"/>
  <c r="D164"/>
  <c r="E164"/>
  <c r="F164"/>
  <c r="G164"/>
  <c r="H164"/>
  <c r="I164"/>
  <c r="J164"/>
  <c r="K164"/>
  <c r="L164"/>
  <c r="M164"/>
  <c r="N164"/>
  <c r="O164"/>
  <c r="P164"/>
  <c r="Q164"/>
  <c r="R164"/>
  <c r="S164"/>
  <c r="T164"/>
  <c r="U164"/>
  <c r="V164"/>
  <c r="W164"/>
  <c r="X164"/>
  <c r="Y164"/>
  <c r="Z164"/>
  <c r="AA164"/>
  <c r="AB164"/>
  <c r="AC164"/>
  <c r="AD164"/>
  <c r="AE164"/>
  <c r="AF164"/>
  <c r="AG164"/>
  <c r="AH164"/>
  <c r="AI164"/>
  <c r="AJ164"/>
  <c r="AK164"/>
  <c r="AL164"/>
  <c r="AM164"/>
  <c r="AN164"/>
  <c r="AO164"/>
  <c r="AP164"/>
  <c r="AQ164"/>
  <c r="AR164"/>
  <c r="AS164"/>
  <c r="AT164"/>
  <c r="AU164"/>
  <c r="AV164"/>
  <c r="AW164"/>
  <c r="AX164"/>
  <c r="AY164"/>
  <c r="AZ164"/>
  <c r="BA164"/>
  <c r="BB164"/>
  <c r="BC164"/>
  <c r="BD164"/>
  <c r="BE164"/>
  <c r="BF164"/>
  <c r="BG164"/>
  <c r="BH164"/>
  <c r="BI164"/>
  <c r="BJ164"/>
  <c r="BK164"/>
  <c r="BL164"/>
  <c r="BM164"/>
  <c r="BN164"/>
  <c r="BO164"/>
  <c r="BP164"/>
  <c r="BQ164"/>
  <c r="BR164"/>
  <c r="BS164"/>
  <c r="BT164"/>
  <c r="BU164"/>
  <c r="BV164"/>
  <c r="BW164"/>
  <c r="BX164"/>
  <c r="BY164"/>
  <c r="BZ164"/>
  <c r="CA164"/>
  <c r="CB164"/>
  <c r="CC164"/>
  <c r="CD164"/>
  <c r="CE164"/>
  <c r="CF164"/>
  <c r="CG164"/>
  <c r="CH164"/>
  <c r="CI164"/>
  <c r="CJ164"/>
  <c r="CK164"/>
  <c r="CL164"/>
  <c r="CM164"/>
  <c r="CN164"/>
  <c r="CO164"/>
  <c r="CP164"/>
  <c r="CQ164"/>
  <c r="CR164"/>
  <c r="CS164"/>
  <c r="CT164"/>
  <c r="CU164"/>
  <c r="CV164"/>
  <c r="CW164"/>
  <c r="CX164"/>
  <c r="CY164"/>
  <c r="CZ164"/>
  <c r="DA164"/>
  <c r="DB164"/>
  <c r="DC164"/>
  <c r="DD164"/>
  <c r="DE164"/>
  <c r="DF164"/>
  <c r="DG164"/>
  <c r="DH164"/>
  <c r="DI164"/>
  <c r="DJ164"/>
  <c r="DK164"/>
  <c r="DL164"/>
  <c r="DM164"/>
  <c r="DN164"/>
  <c r="DO164"/>
  <c r="DP164"/>
  <c r="DQ164"/>
  <c r="DR164"/>
  <c r="DS164"/>
  <c r="DT164"/>
  <c r="DU164"/>
  <c r="DV164"/>
  <c r="DW164"/>
  <c r="DX164"/>
  <c r="DY164"/>
  <c r="DZ164"/>
  <c r="EA164"/>
  <c r="EB164"/>
  <c r="EC164"/>
  <c r="ED164"/>
  <c r="EE164"/>
  <c r="EF164"/>
  <c r="EG164"/>
  <c r="EH164"/>
  <c r="EI164"/>
  <c r="EJ164"/>
  <c r="EK164"/>
  <c r="EL164"/>
  <c r="EM164"/>
  <c r="EN164"/>
  <c r="EO164"/>
  <c r="EP164"/>
  <c r="EQ164"/>
  <c r="ER164"/>
  <c r="ES164"/>
  <c r="ET164"/>
  <c r="EU164"/>
  <c r="EV164"/>
  <c r="EW164"/>
  <c r="EX164"/>
  <c r="EY164"/>
  <c r="EZ164"/>
  <c r="FA164"/>
  <c r="FB164"/>
  <c r="FC164"/>
  <c r="FD164"/>
  <c r="FE164"/>
  <c r="FF164"/>
  <c r="FG164"/>
  <c r="FH164"/>
  <c r="FI164"/>
  <c r="FJ164"/>
  <c r="FK164"/>
  <c r="FL164"/>
  <c r="FM164"/>
  <c r="FN164"/>
  <c r="FO164"/>
  <c r="FP164"/>
  <c r="FQ164"/>
  <c r="FR164"/>
  <c r="FS164"/>
  <c r="FT164"/>
  <c r="FU164"/>
  <c r="FV164"/>
  <c r="FW164"/>
  <c r="FX164"/>
  <c r="FY164"/>
  <c r="FZ164"/>
  <c r="GA164"/>
  <c r="GB164"/>
  <c r="GC164"/>
  <c r="GD164"/>
  <c r="GE164"/>
  <c r="GF164"/>
  <c r="GG164"/>
  <c r="GH164"/>
  <c r="GI164"/>
  <c r="GJ164"/>
  <c r="GK164"/>
  <c r="GL164"/>
  <c r="GM164"/>
  <c r="GN164"/>
  <c r="GO164"/>
  <c r="GP164"/>
  <c r="GQ164"/>
  <c r="GR164"/>
  <c r="GS164"/>
  <c r="GT164"/>
  <c r="GU164"/>
  <c r="GV164"/>
  <c r="GW164"/>
  <c r="GX164"/>
  <c r="GY164"/>
  <c r="GZ164"/>
  <c r="HA164"/>
  <c r="HB164"/>
  <c r="HC164"/>
  <c r="HD164"/>
  <c r="HE164"/>
  <c r="HF164"/>
  <c r="HG164"/>
  <c r="HH164"/>
  <c r="HI164"/>
  <c r="HJ164"/>
  <c r="HK164"/>
  <c r="HL164"/>
  <c r="HM164"/>
  <c r="HN164"/>
  <c r="HO164"/>
  <c r="HP164"/>
  <c r="HQ164"/>
  <c r="HR164"/>
  <c r="HS164"/>
  <c r="HT164"/>
  <c r="HU164"/>
  <c r="HV164"/>
  <c r="HW164"/>
  <c r="HX164"/>
  <c r="HY164"/>
  <c r="HZ164"/>
  <c r="IA164"/>
  <c r="IB164"/>
  <c r="IC164"/>
  <c r="ID164"/>
  <c r="IE164"/>
  <c r="IF164"/>
  <c r="IG164"/>
  <c r="IH164"/>
  <c r="II164"/>
  <c r="IJ164"/>
  <c r="IK164"/>
  <c r="IL164"/>
  <c r="IM164"/>
  <c r="IN164"/>
  <c r="IO164"/>
  <c r="IP164"/>
  <c r="IQ164"/>
  <c r="IR164"/>
  <c r="IS164"/>
  <c r="IT164"/>
  <c r="IU164"/>
  <c r="IV164"/>
  <c r="A163"/>
  <c r="B163"/>
  <c r="C163"/>
  <c r="D163"/>
  <c r="E163"/>
  <c r="F163"/>
  <c r="G163"/>
  <c r="H163"/>
  <c r="I163"/>
  <c r="J163"/>
  <c r="K163"/>
  <c r="L163"/>
  <c r="M163"/>
  <c r="N163"/>
  <c r="O163"/>
  <c r="P163"/>
  <c r="Q163"/>
  <c r="R163"/>
  <c r="S163"/>
  <c r="T163"/>
  <c r="U163"/>
  <c r="V163"/>
  <c r="W163"/>
  <c r="X163"/>
  <c r="Y163"/>
  <c r="Z163"/>
  <c r="AA163"/>
  <c r="AB163"/>
  <c r="AC163"/>
  <c r="AD163"/>
  <c r="AE163"/>
  <c r="AF163"/>
  <c r="AG163"/>
  <c r="AH163"/>
  <c r="AI163"/>
  <c r="AJ163"/>
  <c r="AK163"/>
  <c r="AL163"/>
  <c r="AM163"/>
  <c r="AN163"/>
  <c r="AO163"/>
  <c r="AP163"/>
  <c r="AQ163"/>
  <c r="AR163"/>
  <c r="AS163"/>
  <c r="AT163"/>
  <c r="AU163"/>
  <c r="AV163"/>
  <c r="AW163"/>
  <c r="AX163"/>
  <c r="AY163"/>
  <c r="AZ163"/>
  <c r="BA163"/>
  <c r="BB163"/>
  <c r="BC163"/>
  <c r="BD163"/>
  <c r="BE163"/>
  <c r="BF163"/>
  <c r="BG163"/>
  <c r="BH163"/>
  <c r="BI163"/>
  <c r="BJ163"/>
  <c r="BK163"/>
  <c r="BL163"/>
  <c r="BM163"/>
  <c r="BN163"/>
  <c r="BO163"/>
  <c r="BP163"/>
  <c r="BQ163"/>
  <c r="BR163"/>
  <c r="BS163"/>
  <c r="BT163"/>
  <c r="BU163"/>
  <c r="BV163"/>
  <c r="BW163"/>
  <c r="BX163"/>
  <c r="BY163"/>
  <c r="BZ163"/>
  <c r="CA163"/>
  <c r="CB163"/>
  <c r="CC163"/>
  <c r="CD163"/>
  <c r="CE163"/>
  <c r="CF163"/>
  <c r="CG163"/>
  <c r="CH163"/>
  <c r="CI163"/>
  <c r="CJ163"/>
  <c r="CK163"/>
  <c r="CL163"/>
  <c r="CM163"/>
  <c r="CN163"/>
  <c r="CO163"/>
  <c r="CP163"/>
  <c r="CQ163"/>
  <c r="CR163"/>
  <c r="CS163"/>
  <c r="CT163"/>
  <c r="CU163"/>
  <c r="CV163"/>
  <c r="CW163"/>
  <c r="CX163"/>
  <c r="CY163"/>
  <c r="CZ163"/>
  <c r="DA163"/>
  <c r="DB163"/>
  <c r="DC163"/>
  <c r="DD163"/>
  <c r="DE163"/>
  <c r="DF163"/>
  <c r="DG163"/>
  <c r="DH163"/>
  <c r="DI163"/>
  <c r="DJ163"/>
  <c r="DK163"/>
  <c r="DL163"/>
  <c r="DM163"/>
  <c r="DN163"/>
  <c r="DO163"/>
  <c r="DP163"/>
  <c r="DQ163"/>
  <c r="DR163"/>
  <c r="DS163"/>
  <c r="DT163"/>
  <c r="DU163"/>
  <c r="DV163"/>
  <c r="DW163"/>
  <c r="DX163"/>
  <c r="DY163"/>
  <c r="DZ163"/>
  <c r="EA163"/>
  <c r="EB163"/>
  <c r="EC163"/>
  <c r="ED163"/>
  <c r="EE163"/>
  <c r="EF163"/>
  <c r="EG163"/>
  <c r="EH163"/>
  <c r="EI163"/>
  <c r="EJ163"/>
  <c r="EK163"/>
  <c r="EL163"/>
  <c r="EM163"/>
  <c r="EN163"/>
  <c r="EO163"/>
  <c r="EP163"/>
  <c r="EQ163"/>
  <c r="ER163"/>
  <c r="ES163"/>
  <c r="ET163"/>
  <c r="EU163"/>
  <c r="EV163"/>
  <c r="EW163"/>
  <c r="EX163"/>
  <c r="EY163"/>
  <c r="EZ163"/>
  <c r="FA163"/>
  <c r="FB163"/>
  <c r="FC163"/>
  <c r="FD163"/>
  <c r="FE163"/>
  <c r="FF163"/>
  <c r="FG163"/>
  <c r="FH163"/>
  <c r="FI163"/>
  <c r="FJ163"/>
  <c r="FK163"/>
  <c r="FL163"/>
  <c r="FM163"/>
  <c r="FN163"/>
  <c r="FO163"/>
  <c r="FP163"/>
  <c r="FQ163"/>
  <c r="FR163"/>
  <c r="FS163"/>
  <c r="FT163"/>
  <c r="FU163"/>
  <c r="FV163"/>
  <c r="FW163"/>
  <c r="FX163"/>
  <c r="FY163"/>
  <c r="FZ163"/>
  <c r="GA163"/>
  <c r="GB163"/>
  <c r="GC163"/>
  <c r="GD163"/>
  <c r="GE163"/>
  <c r="GF163"/>
  <c r="GG163"/>
  <c r="GH163"/>
  <c r="GI163"/>
  <c r="GJ163"/>
  <c r="GK163"/>
  <c r="GL163"/>
  <c r="GM163"/>
  <c r="GN163"/>
  <c r="GO163"/>
  <c r="GP163"/>
  <c r="GQ163"/>
  <c r="GR163"/>
  <c r="GS163"/>
  <c r="GT163"/>
  <c r="GU163"/>
  <c r="GV163"/>
  <c r="GW163"/>
  <c r="GX163"/>
  <c r="GY163"/>
  <c r="GZ163"/>
  <c r="HA163"/>
  <c r="HB163"/>
  <c r="HC163"/>
  <c r="HD163"/>
  <c r="HE163"/>
  <c r="HF163"/>
  <c r="HG163"/>
  <c r="HH163"/>
  <c r="HI163"/>
  <c r="HJ163"/>
  <c r="HK163"/>
  <c r="HL163"/>
  <c r="HM163"/>
  <c r="HN163"/>
  <c r="HO163"/>
  <c r="HP163"/>
  <c r="HQ163"/>
  <c r="HR163"/>
  <c r="HS163"/>
  <c r="HT163"/>
  <c r="HU163"/>
  <c r="HV163"/>
  <c r="HW163"/>
  <c r="HX163"/>
  <c r="HY163"/>
  <c r="HZ163"/>
  <c r="IA163"/>
  <c r="IB163"/>
  <c r="IC163"/>
  <c r="ID163"/>
  <c r="IE163"/>
  <c r="IF163"/>
  <c r="IG163"/>
  <c r="IH163"/>
  <c r="II163"/>
  <c r="IJ163"/>
  <c r="IK163"/>
  <c r="IL163"/>
  <c r="IM163"/>
  <c r="IN163"/>
  <c r="IO163"/>
  <c r="IP163"/>
  <c r="IQ163"/>
  <c r="IR163"/>
  <c r="IS163"/>
  <c r="IT163"/>
  <c r="IU163"/>
  <c r="IV163"/>
  <c r="A162"/>
  <c r="B162"/>
  <c r="C162"/>
  <c r="D162"/>
  <c r="E162"/>
  <c r="F162"/>
  <c r="G162"/>
  <c r="H162"/>
  <c r="I162"/>
  <c r="J162"/>
  <c r="K162"/>
  <c r="L162"/>
  <c r="M162"/>
  <c r="N162"/>
  <c r="O162"/>
  <c r="P162"/>
  <c r="Q162"/>
  <c r="R162"/>
  <c r="S162"/>
  <c r="T162"/>
  <c r="U162"/>
  <c r="V162"/>
  <c r="W162"/>
  <c r="X162"/>
  <c r="Y162"/>
  <c r="Z162"/>
  <c r="AA162"/>
  <c r="AB162"/>
  <c r="AC162"/>
  <c r="AD162"/>
  <c r="AE162"/>
  <c r="AF162"/>
  <c r="AG162"/>
  <c r="AH162"/>
  <c r="AI162"/>
  <c r="AJ162"/>
  <c r="AK162"/>
  <c r="AL162"/>
  <c r="AM162"/>
  <c r="AN162"/>
  <c r="AO162"/>
  <c r="AP162"/>
  <c r="AQ162"/>
  <c r="AR162"/>
  <c r="AS162"/>
  <c r="AT162"/>
  <c r="AU162"/>
  <c r="AV162"/>
  <c r="AW162"/>
  <c r="AX162"/>
  <c r="AY162"/>
  <c r="AZ162"/>
  <c r="BA162"/>
  <c r="BB162"/>
  <c r="BC162"/>
  <c r="BD162"/>
  <c r="BE162"/>
  <c r="BF162"/>
  <c r="BG162"/>
  <c r="BH162"/>
  <c r="BI162"/>
  <c r="BJ162"/>
  <c r="BK162"/>
  <c r="BL162"/>
  <c r="BM162"/>
  <c r="BN162"/>
  <c r="BO162"/>
  <c r="BP162"/>
  <c r="BQ162"/>
  <c r="BR162"/>
  <c r="BS162"/>
  <c r="BT162"/>
  <c r="BU162"/>
  <c r="BV162"/>
  <c r="BW162"/>
  <c r="BX162"/>
  <c r="BY162"/>
  <c r="BZ162"/>
  <c r="CA162"/>
  <c r="CB162"/>
  <c r="CC162"/>
  <c r="CD162"/>
  <c r="CE162"/>
  <c r="CF162"/>
  <c r="CG162"/>
  <c r="CH162"/>
  <c r="CI162"/>
  <c r="CJ162"/>
  <c r="CK162"/>
  <c r="CL162"/>
  <c r="CM162"/>
  <c r="CN162"/>
  <c r="CO162"/>
  <c r="CP162"/>
  <c r="CQ162"/>
  <c r="CR162"/>
  <c r="CS162"/>
  <c r="CT162"/>
  <c r="CU162"/>
  <c r="CV162"/>
  <c r="CW162"/>
  <c r="CX162"/>
  <c r="CY162"/>
  <c r="CZ162"/>
  <c r="DA162"/>
  <c r="DB162"/>
  <c r="DC162"/>
  <c r="DD162"/>
  <c r="DE162"/>
  <c r="DF162"/>
  <c r="DG162"/>
  <c r="DH162"/>
  <c r="DI162"/>
  <c r="DJ162"/>
  <c r="DK162"/>
  <c r="DL162"/>
  <c r="DM162"/>
  <c r="DN162"/>
  <c r="DO162"/>
  <c r="DP162"/>
  <c r="DQ162"/>
  <c r="DR162"/>
  <c r="DS162"/>
  <c r="DT162"/>
  <c r="DU162"/>
  <c r="DV162"/>
  <c r="DW162"/>
  <c r="DX162"/>
  <c r="DY162"/>
  <c r="DZ162"/>
  <c r="EA162"/>
  <c r="EB162"/>
  <c r="EC162"/>
  <c r="ED162"/>
  <c r="EE162"/>
  <c r="EF162"/>
  <c r="EG162"/>
  <c r="EH162"/>
  <c r="EI162"/>
  <c r="EJ162"/>
  <c r="EK162"/>
  <c r="EL162"/>
  <c r="EM162"/>
  <c r="EN162"/>
  <c r="EO162"/>
  <c r="EP162"/>
  <c r="EQ162"/>
  <c r="ER162"/>
  <c r="ES162"/>
  <c r="ET162"/>
  <c r="EU162"/>
  <c r="EV162"/>
  <c r="EW162"/>
  <c r="EX162"/>
  <c r="EY162"/>
  <c r="EZ162"/>
  <c r="FA162"/>
  <c r="FB162"/>
  <c r="FC162"/>
  <c r="FD162"/>
  <c r="FE162"/>
  <c r="FF162"/>
  <c r="FG162"/>
  <c r="FH162"/>
  <c r="FI162"/>
  <c r="FJ162"/>
  <c r="FK162"/>
  <c r="FL162"/>
  <c r="FM162"/>
  <c r="FN162"/>
  <c r="FO162"/>
  <c r="FP162"/>
  <c r="FQ162"/>
  <c r="FR162"/>
  <c r="FS162"/>
  <c r="FT162"/>
  <c r="FU162"/>
  <c r="FV162"/>
  <c r="FW162"/>
  <c r="FX162"/>
  <c r="FY162"/>
  <c r="FZ162"/>
  <c r="GA162"/>
  <c r="GB162"/>
  <c r="GC162"/>
  <c r="GD162"/>
  <c r="GE162"/>
  <c r="GF162"/>
  <c r="GG162"/>
  <c r="GH162"/>
  <c r="GI162"/>
  <c r="GJ162"/>
  <c r="GK162"/>
  <c r="GL162"/>
  <c r="GM162"/>
  <c r="GN162"/>
  <c r="GO162"/>
  <c r="GP162"/>
  <c r="GQ162"/>
  <c r="GR162"/>
  <c r="GS162"/>
  <c r="GT162"/>
  <c r="GU162"/>
  <c r="GV162"/>
  <c r="GW162"/>
  <c r="GX162"/>
  <c r="GY162"/>
  <c r="GZ162"/>
  <c r="HA162"/>
  <c r="HB162"/>
  <c r="HC162"/>
  <c r="HD162"/>
  <c r="HE162"/>
  <c r="HF162"/>
  <c r="HG162"/>
  <c r="HH162"/>
  <c r="HI162"/>
  <c r="HJ162"/>
  <c r="HK162"/>
  <c r="HL162"/>
  <c r="HM162"/>
  <c r="HN162"/>
  <c r="HO162"/>
  <c r="HP162"/>
  <c r="HQ162"/>
  <c r="HR162"/>
  <c r="HS162"/>
  <c r="HT162"/>
  <c r="HU162"/>
  <c r="HV162"/>
  <c r="HW162"/>
  <c r="HX162"/>
  <c r="HY162"/>
  <c r="HZ162"/>
  <c r="IA162"/>
  <c r="IB162"/>
  <c r="IC162"/>
  <c r="ID162"/>
  <c r="IE162"/>
  <c r="IF162"/>
  <c r="IG162"/>
  <c r="IH162"/>
  <c r="II162"/>
  <c r="IJ162"/>
  <c r="IK162"/>
  <c r="IL162"/>
  <c r="IM162"/>
  <c r="IN162"/>
  <c r="IO162"/>
  <c r="IP162"/>
  <c r="IQ162"/>
  <c r="IR162"/>
  <c r="IS162"/>
  <c r="IT162"/>
  <c r="IU162"/>
  <c r="IV162"/>
  <c r="A161"/>
  <c r="B161"/>
  <c r="C161"/>
  <c r="D161"/>
  <c r="E161"/>
  <c r="F161"/>
  <c r="G161"/>
  <c r="H161"/>
  <c r="I161"/>
  <c r="J161"/>
  <c r="K161"/>
  <c r="L161"/>
  <c r="M161"/>
  <c r="N161"/>
  <c r="O161"/>
  <c r="P161"/>
  <c r="Q161"/>
  <c r="R161"/>
  <c r="S161"/>
  <c r="T161"/>
  <c r="U161"/>
  <c r="V161"/>
  <c r="W161"/>
  <c r="X161"/>
  <c r="Y161"/>
  <c r="Z161"/>
  <c r="AA161"/>
  <c r="AB161"/>
  <c r="AC161"/>
  <c r="AD161"/>
  <c r="AE161"/>
  <c r="AF161"/>
  <c r="AG161"/>
  <c r="AH161"/>
  <c r="AI161"/>
  <c r="AJ161"/>
  <c r="AK161"/>
  <c r="AL161"/>
  <c r="AM161"/>
  <c r="AN161"/>
  <c r="AO161"/>
  <c r="AP161"/>
  <c r="AQ161"/>
  <c r="AR161"/>
  <c r="AS161"/>
  <c r="AT161"/>
  <c r="AU161"/>
  <c r="AV161"/>
  <c r="AW161"/>
  <c r="AX161"/>
  <c r="AY161"/>
  <c r="AZ161"/>
  <c r="BA161"/>
  <c r="BB161"/>
  <c r="BC161"/>
  <c r="BD161"/>
  <c r="BE161"/>
  <c r="BF161"/>
  <c r="BG161"/>
  <c r="BH161"/>
  <c r="BI161"/>
  <c r="BJ161"/>
  <c r="BK161"/>
  <c r="BL161"/>
  <c r="BM161"/>
  <c r="BN161"/>
  <c r="BO161"/>
  <c r="BP161"/>
  <c r="BQ161"/>
  <c r="BR161"/>
  <c r="BS161"/>
  <c r="BT161"/>
  <c r="BU161"/>
  <c r="BV161"/>
  <c r="BW161"/>
  <c r="BX161"/>
  <c r="BY161"/>
  <c r="BZ161"/>
  <c r="CA161"/>
  <c r="CB161"/>
  <c r="CC161"/>
  <c r="CD161"/>
  <c r="CE161"/>
  <c r="CF161"/>
  <c r="CG161"/>
  <c r="CH161"/>
  <c r="CI161"/>
  <c r="CJ161"/>
  <c r="CK161"/>
  <c r="CL161"/>
  <c r="CM161"/>
  <c r="CN161"/>
  <c r="CO161"/>
  <c r="CP161"/>
  <c r="CQ161"/>
  <c r="CR161"/>
  <c r="CS161"/>
  <c r="CT161"/>
  <c r="CU161"/>
  <c r="CV161"/>
  <c r="CW161"/>
  <c r="CX161"/>
  <c r="CY161"/>
  <c r="CZ161"/>
  <c r="DA161"/>
  <c r="DB161"/>
  <c r="DC161"/>
  <c r="DD161"/>
  <c r="DE161"/>
  <c r="DF161"/>
  <c r="DG161"/>
  <c r="DH161"/>
  <c r="DI161"/>
  <c r="DJ161"/>
  <c r="DK161"/>
  <c r="DL161"/>
  <c r="DM161"/>
  <c r="DN161"/>
  <c r="DO161"/>
  <c r="DP161"/>
  <c r="DQ161"/>
  <c r="DR161"/>
  <c r="DS161"/>
  <c r="DT161"/>
  <c r="DU161"/>
  <c r="DV161"/>
  <c r="DW161"/>
  <c r="DX161"/>
  <c r="DY161"/>
  <c r="DZ161"/>
  <c r="EA161"/>
  <c r="EB161"/>
  <c r="EC161"/>
  <c r="ED161"/>
  <c r="EE161"/>
  <c r="EF161"/>
  <c r="EG161"/>
  <c r="EH161"/>
  <c r="EI161"/>
  <c r="EJ161"/>
  <c r="EK161"/>
  <c r="EL161"/>
  <c r="EM161"/>
  <c r="EN161"/>
  <c r="EO161"/>
  <c r="EP161"/>
  <c r="EQ161"/>
  <c r="ER161"/>
  <c r="ES161"/>
  <c r="ET161"/>
  <c r="EU161"/>
  <c r="EV161"/>
  <c r="EW161"/>
  <c r="EX161"/>
  <c r="EY161"/>
  <c r="EZ161"/>
  <c r="FA161"/>
  <c r="FB161"/>
  <c r="FC161"/>
  <c r="FD161"/>
  <c r="FE161"/>
  <c r="FF161"/>
  <c r="FG161"/>
  <c r="FH161"/>
  <c r="FI161"/>
  <c r="FJ161"/>
  <c r="FK161"/>
  <c r="FL161"/>
  <c r="FM161"/>
  <c r="FN161"/>
  <c r="FO161"/>
  <c r="FP161"/>
  <c r="FQ161"/>
  <c r="FR161"/>
  <c r="FS161"/>
  <c r="FT161"/>
  <c r="FU161"/>
  <c r="FV161"/>
  <c r="FW161"/>
  <c r="FX161"/>
  <c r="FY161"/>
  <c r="FZ161"/>
  <c r="GA161"/>
  <c r="GB161"/>
  <c r="GC161"/>
  <c r="GD161"/>
  <c r="GE161"/>
  <c r="GF161"/>
  <c r="GG161"/>
  <c r="GH161"/>
  <c r="GI161"/>
  <c r="GJ161"/>
  <c r="GK161"/>
  <c r="GL161"/>
  <c r="GM161"/>
  <c r="GN161"/>
  <c r="GO161"/>
  <c r="GP161"/>
  <c r="GQ161"/>
  <c r="GR161"/>
  <c r="GS161"/>
  <c r="GT161"/>
  <c r="GU161"/>
  <c r="GV161"/>
  <c r="GW161"/>
  <c r="GX161"/>
  <c r="GY161"/>
  <c r="GZ161"/>
  <c r="HA161"/>
  <c r="HB161"/>
  <c r="HC161"/>
  <c r="HD161"/>
  <c r="HE161"/>
  <c r="HF161"/>
  <c r="HG161"/>
  <c r="HH161"/>
  <c r="HI161"/>
  <c r="HJ161"/>
  <c r="HK161"/>
  <c r="HL161"/>
  <c r="HM161"/>
  <c r="HN161"/>
  <c r="HO161"/>
  <c r="HP161"/>
  <c r="HQ161"/>
  <c r="HR161"/>
  <c r="HS161"/>
  <c r="HT161"/>
  <c r="HU161"/>
  <c r="HV161"/>
  <c r="HW161"/>
  <c r="HX161"/>
  <c r="HY161"/>
  <c r="HZ161"/>
  <c r="IA161"/>
  <c r="IB161"/>
  <c r="IC161"/>
  <c r="ID161"/>
  <c r="IE161"/>
  <c r="IF161"/>
  <c r="IG161"/>
  <c r="IH161"/>
  <c r="II161"/>
  <c r="IJ161"/>
  <c r="IK161"/>
  <c r="IL161"/>
  <c r="IM161"/>
  <c r="IN161"/>
  <c r="IO161"/>
  <c r="IP161"/>
  <c r="IQ161"/>
  <c r="IR161"/>
  <c r="IS161"/>
  <c r="IT161"/>
  <c r="IU161"/>
  <c r="IV161"/>
  <c r="A160"/>
  <c r="B160"/>
  <c r="C160"/>
  <c r="D160"/>
  <c r="E160"/>
  <c r="F160"/>
  <c r="G160"/>
  <c r="H160"/>
  <c r="I160"/>
  <c r="J160"/>
  <c r="K160"/>
  <c r="L160"/>
  <c r="M160"/>
  <c r="N160"/>
  <c r="O160"/>
  <c r="P160"/>
  <c r="Q160"/>
  <c r="R160"/>
  <c r="S160"/>
  <c r="T160"/>
  <c r="U160"/>
  <c r="V160"/>
  <c r="W160"/>
  <c r="X160"/>
  <c r="Y160"/>
  <c r="Z160"/>
  <c r="AA160"/>
  <c r="AB160"/>
  <c r="AC160"/>
  <c r="AD160"/>
  <c r="AE160"/>
  <c r="AF160"/>
  <c r="AG160"/>
  <c r="AH160"/>
  <c r="AI160"/>
  <c r="AJ160"/>
  <c r="AK160"/>
  <c r="AL160"/>
  <c r="AM160"/>
  <c r="AN160"/>
  <c r="AO160"/>
  <c r="AP160"/>
  <c r="AQ160"/>
  <c r="AR160"/>
  <c r="AS160"/>
  <c r="AT160"/>
  <c r="AU160"/>
  <c r="AV160"/>
  <c r="AW160"/>
  <c r="AX160"/>
  <c r="AY160"/>
  <c r="AZ160"/>
  <c r="BA160"/>
  <c r="BB160"/>
  <c r="BC160"/>
  <c r="BD160"/>
  <c r="BE160"/>
  <c r="BF160"/>
  <c r="BG160"/>
  <c r="BH160"/>
  <c r="BI160"/>
  <c r="BJ160"/>
  <c r="BK160"/>
  <c r="BL160"/>
  <c r="BM160"/>
  <c r="BN160"/>
  <c r="BO160"/>
  <c r="BP160"/>
  <c r="BQ160"/>
  <c r="BR160"/>
  <c r="BS160"/>
  <c r="BT160"/>
  <c r="BU160"/>
  <c r="BV160"/>
  <c r="BW160"/>
  <c r="BX160"/>
  <c r="BY160"/>
  <c r="BZ160"/>
  <c r="CA160"/>
  <c r="CB160"/>
  <c r="CC160"/>
  <c r="CD160"/>
  <c r="CE160"/>
  <c r="CF160"/>
  <c r="CG160"/>
  <c r="CH160"/>
  <c r="CI160"/>
  <c r="CJ160"/>
  <c r="CK160"/>
  <c r="CL160"/>
  <c r="CM160"/>
  <c r="CN160"/>
  <c r="CO160"/>
  <c r="CP160"/>
  <c r="CQ160"/>
  <c r="CR160"/>
  <c r="CS160"/>
  <c r="CT160"/>
  <c r="CU160"/>
  <c r="CV160"/>
  <c r="CW160"/>
  <c r="CX160"/>
  <c r="CY160"/>
  <c r="CZ160"/>
  <c r="DA160"/>
  <c r="DB160"/>
  <c r="DC160"/>
  <c r="DD160"/>
  <c r="DE160"/>
  <c r="DF160"/>
  <c r="DG160"/>
  <c r="DH160"/>
  <c r="DI160"/>
  <c r="DJ160"/>
  <c r="DK160"/>
  <c r="DL160"/>
  <c r="DM160"/>
  <c r="DN160"/>
  <c r="DO160"/>
  <c r="DP160"/>
  <c r="DQ160"/>
  <c r="DR160"/>
  <c r="DS160"/>
  <c r="DT160"/>
  <c r="DU160"/>
  <c r="DV160"/>
  <c r="DW160"/>
  <c r="DX160"/>
  <c r="DY160"/>
  <c r="DZ160"/>
  <c r="EA160"/>
  <c r="EB160"/>
  <c r="EC160"/>
  <c r="ED160"/>
  <c r="EE160"/>
  <c r="EF160"/>
  <c r="EG160"/>
  <c r="EH160"/>
  <c r="EI160"/>
  <c r="EJ160"/>
  <c r="EK160"/>
  <c r="EL160"/>
  <c r="EM160"/>
  <c r="EN160"/>
  <c r="EO160"/>
  <c r="EP160"/>
  <c r="EQ160"/>
  <c r="ER160"/>
  <c r="ES160"/>
  <c r="ET160"/>
  <c r="EU160"/>
  <c r="EV160"/>
  <c r="EW160"/>
  <c r="EX160"/>
  <c r="EY160"/>
  <c r="EZ160"/>
  <c r="FA160"/>
  <c r="FB160"/>
  <c r="FC160"/>
  <c r="FD160"/>
  <c r="FE160"/>
  <c r="FF160"/>
  <c r="FG160"/>
  <c r="FH160"/>
  <c r="FI160"/>
  <c r="FJ160"/>
  <c r="FK160"/>
  <c r="FL160"/>
  <c r="FM160"/>
  <c r="FN160"/>
  <c r="FO160"/>
  <c r="FP160"/>
  <c r="FQ160"/>
  <c r="FR160"/>
  <c r="FS160"/>
  <c r="FT160"/>
  <c r="FU160"/>
  <c r="FV160"/>
  <c r="FW160"/>
  <c r="FX160"/>
  <c r="FY160"/>
  <c r="FZ160"/>
  <c r="GA160"/>
  <c r="GB160"/>
  <c r="GC160"/>
  <c r="GD160"/>
  <c r="GE160"/>
  <c r="GF160"/>
  <c r="GG160"/>
  <c r="GH160"/>
  <c r="GI160"/>
  <c r="GJ160"/>
  <c r="GK160"/>
  <c r="GL160"/>
  <c r="GM160"/>
  <c r="GN160"/>
  <c r="GO160"/>
  <c r="GP160"/>
  <c r="GQ160"/>
  <c r="GR160"/>
  <c r="GS160"/>
  <c r="GT160"/>
  <c r="GU160"/>
  <c r="GV160"/>
  <c r="GW160"/>
  <c r="GX160"/>
  <c r="GY160"/>
  <c r="GZ160"/>
  <c r="HA160"/>
  <c r="HB160"/>
  <c r="HC160"/>
  <c r="HD160"/>
  <c r="HE160"/>
  <c r="HF160"/>
  <c r="HG160"/>
  <c r="HH160"/>
  <c r="HI160"/>
  <c r="HJ160"/>
  <c r="HK160"/>
  <c r="HL160"/>
  <c r="HM160"/>
  <c r="HN160"/>
  <c r="HO160"/>
  <c r="HP160"/>
  <c r="HQ160"/>
  <c r="HR160"/>
  <c r="HS160"/>
  <c r="HT160"/>
  <c r="HU160"/>
  <c r="HV160"/>
  <c r="HW160"/>
  <c r="HX160"/>
  <c r="HY160"/>
  <c r="HZ160"/>
  <c r="IA160"/>
  <c r="IB160"/>
  <c r="IC160"/>
  <c r="ID160"/>
  <c r="IE160"/>
  <c r="IF160"/>
  <c r="IG160"/>
  <c r="IH160"/>
  <c r="II160"/>
  <c r="IJ160"/>
  <c r="IK160"/>
  <c r="IL160"/>
  <c r="IM160"/>
  <c r="IN160"/>
  <c r="IO160"/>
  <c r="IP160"/>
  <c r="IQ160"/>
  <c r="IR160"/>
  <c r="IS160"/>
  <c r="IT160"/>
  <c r="IU160"/>
  <c r="IV160"/>
  <c r="A159"/>
  <c r="B159"/>
  <c r="C159"/>
  <c r="D159"/>
  <c r="E159"/>
  <c r="F159"/>
  <c r="G159"/>
  <c r="H159"/>
  <c r="I159"/>
  <c r="J159"/>
  <c r="K159"/>
  <c r="L159"/>
  <c r="M159"/>
  <c r="N159"/>
  <c r="O159"/>
  <c r="P159"/>
  <c r="Q159"/>
  <c r="R159"/>
  <c r="S159"/>
  <c r="T159"/>
  <c r="U159"/>
  <c r="V159"/>
  <c r="W159"/>
  <c r="X159"/>
  <c r="Y159"/>
  <c r="Z159"/>
  <c r="AA159"/>
  <c r="AB159"/>
  <c r="AC159"/>
  <c r="AD159"/>
  <c r="AE159"/>
  <c r="AF159"/>
  <c r="AG159"/>
  <c r="AH159"/>
  <c r="AI159"/>
  <c r="AJ159"/>
  <c r="AK159"/>
  <c r="AL159"/>
  <c r="AM159"/>
  <c r="AN159"/>
  <c r="AO159"/>
  <c r="AP159"/>
  <c r="AQ159"/>
  <c r="AR159"/>
  <c r="AS159"/>
  <c r="AT159"/>
  <c r="AU159"/>
  <c r="AV159"/>
  <c r="AW159"/>
  <c r="AX159"/>
  <c r="AY159"/>
  <c r="AZ159"/>
  <c r="BA159"/>
  <c r="BB159"/>
  <c r="BC159"/>
  <c r="BD159"/>
  <c r="BE159"/>
  <c r="BF159"/>
  <c r="BG159"/>
  <c r="BH159"/>
  <c r="BI159"/>
  <c r="BJ159"/>
  <c r="BK159"/>
  <c r="BL159"/>
  <c r="BM159"/>
  <c r="BN159"/>
  <c r="BO159"/>
  <c r="BP159"/>
  <c r="BQ159"/>
  <c r="BR159"/>
  <c r="BS159"/>
  <c r="BT159"/>
  <c r="BU159"/>
  <c r="BV159"/>
  <c r="BW159"/>
  <c r="BX159"/>
  <c r="BY159"/>
  <c r="BZ159"/>
  <c r="CA159"/>
  <c r="CB159"/>
  <c r="CC159"/>
  <c r="CD159"/>
  <c r="CE159"/>
  <c r="CF159"/>
  <c r="CG159"/>
  <c r="CH159"/>
  <c r="CI159"/>
  <c r="CJ159"/>
  <c r="CK159"/>
  <c r="CL159"/>
  <c r="CM159"/>
  <c r="CN159"/>
  <c r="CO159"/>
  <c r="CP159"/>
  <c r="CQ159"/>
  <c r="CR159"/>
  <c r="CS159"/>
  <c r="CT159"/>
  <c r="CU159"/>
  <c r="CV159"/>
  <c r="CW159"/>
  <c r="CX159"/>
  <c r="CY159"/>
  <c r="CZ159"/>
  <c r="DA159"/>
  <c r="DB159"/>
  <c r="DC159"/>
  <c r="DD159"/>
  <c r="DE159"/>
  <c r="DF159"/>
  <c r="DG159"/>
  <c r="DH159"/>
  <c r="DI159"/>
  <c r="DJ159"/>
  <c r="DK159"/>
  <c r="DL159"/>
  <c r="DM159"/>
  <c r="DN159"/>
  <c r="DO159"/>
  <c r="DP159"/>
  <c r="DQ159"/>
  <c r="DR159"/>
  <c r="DS159"/>
  <c r="DT159"/>
  <c r="DU159"/>
  <c r="DV159"/>
  <c r="DW159"/>
  <c r="DX159"/>
  <c r="DY159"/>
  <c r="DZ159"/>
  <c r="EA159"/>
  <c r="EB159"/>
  <c r="EC159"/>
  <c r="ED159"/>
  <c r="EE159"/>
  <c r="EF159"/>
  <c r="EG159"/>
  <c r="EH159"/>
  <c r="EI159"/>
  <c r="EJ159"/>
  <c r="EK159"/>
  <c r="EL159"/>
  <c r="EM159"/>
  <c r="EN159"/>
  <c r="EO159"/>
  <c r="EP159"/>
  <c r="EQ159"/>
  <c r="ER159"/>
  <c r="ES159"/>
  <c r="ET159"/>
  <c r="EU159"/>
  <c r="EV159"/>
  <c r="EW159"/>
  <c r="EX159"/>
  <c r="EY159"/>
  <c r="EZ159"/>
  <c r="FA159"/>
  <c r="FB159"/>
  <c r="FC159"/>
  <c r="FD159"/>
  <c r="FE159"/>
  <c r="FF159"/>
  <c r="FG159"/>
  <c r="FH159"/>
  <c r="FI159"/>
  <c r="FJ159"/>
  <c r="FK159"/>
  <c r="FL159"/>
  <c r="FM159"/>
  <c r="FN159"/>
  <c r="FO159"/>
  <c r="FP159"/>
  <c r="FQ159"/>
  <c r="FR159"/>
  <c r="FS159"/>
  <c r="FT159"/>
  <c r="FU159"/>
  <c r="FV159"/>
  <c r="FW159"/>
  <c r="FX159"/>
  <c r="FY159"/>
  <c r="FZ159"/>
  <c r="GA159"/>
  <c r="GB159"/>
  <c r="GC159"/>
  <c r="GD159"/>
  <c r="GE159"/>
  <c r="GF159"/>
  <c r="GG159"/>
  <c r="GH159"/>
  <c r="GI159"/>
  <c r="GJ159"/>
  <c r="GK159"/>
  <c r="GL159"/>
  <c r="GM159"/>
  <c r="GN159"/>
  <c r="GO159"/>
  <c r="GP159"/>
  <c r="GQ159"/>
  <c r="GR159"/>
  <c r="GS159"/>
  <c r="GT159"/>
  <c r="GU159"/>
  <c r="GV159"/>
  <c r="GW159"/>
  <c r="GX159"/>
  <c r="GY159"/>
  <c r="GZ159"/>
  <c r="HA159"/>
  <c r="HB159"/>
  <c r="HC159"/>
  <c r="HD159"/>
  <c r="HE159"/>
  <c r="HF159"/>
  <c r="HG159"/>
  <c r="HH159"/>
  <c r="HI159"/>
  <c r="HJ159"/>
  <c r="HK159"/>
  <c r="HL159"/>
  <c r="HM159"/>
  <c r="HN159"/>
  <c r="HO159"/>
  <c r="HP159"/>
  <c r="HQ159"/>
  <c r="HR159"/>
  <c r="HS159"/>
  <c r="HT159"/>
  <c r="HU159"/>
  <c r="HV159"/>
  <c r="HW159"/>
  <c r="HX159"/>
  <c r="HY159"/>
  <c r="HZ159"/>
  <c r="IA159"/>
  <c r="IB159"/>
  <c r="IC159"/>
  <c r="ID159"/>
  <c r="IE159"/>
  <c r="IF159"/>
  <c r="IG159"/>
  <c r="IH159"/>
  <c r="II159"/>
  <c r="IJ159"/>
  <c r="IK159"/>
  <c r="IL159"/>
  <c r="IM159"/>
  <c r="IN159"/>
  <c r="IO159"/>
  <c r="IP159"/>
  <c r="IQ159"/>
  <c r="IR159"/>
  <c r="IS159"/>
  <c r="IT159"/>
  <c r="IU159"/>
  <c r="IV159"/>
  <c r="A158"/>
  <c r="B158"/>
  <c r="C158"/>
  <c r="D158"/>
  <c r="E158"/>
  <c r="F158"/>
  <c r="G158"/>
  <c r="H158"/>
  <c r="I158"/>
  <c r="J158"/>
  <c r="K158"/>
  <c r="L158"/>
  <c r="M158"/>
  <c r="N158"/>
  <c r="O158"/>
  <c r="P158"/>
  <c r="Q158"/>
  <c r="R158"/>
  <c r="S158"/>
  <c r="T158"/>
  <c r="U158"/>
  <c r="V158"/>
  <c r="W158"/>
  <c r="X158"/>
  <c r="Y158"/>
  <c r="Z158"/>
  <c r="AA158"/>
  <c r="AB158"/>
  <c r="AC158"/>
  <c r="AD158"/>
  <c r="AE158"/>
  <c r="AF158"/>
  <c r="AG158"/>
  <c r="AH158"/>
  <c r="AI158"/>
  <c r="AJ158"/>
  <c r="AK158"/>
  <c r="AL158"/>
  <c r="AM158"/>
  <c r="AN158"/>
  <c r="AO158"/>
  <c r="AP158"/>
  <c r="AQ158"/>
  <c r="AR158"/>
  <c r="AS158"/>
  <c r="AT158"/>
  <c r="AU158"/>
  <c r="AV158"/>
  <c r="AW158"/>
  <c r="AX158"/>
  <c r="AY158"/>
  <c r="AZ158"/>
  <c r="BA158"/>
  <c r="BB158"/>
  <c r="BC158"/>
  <c r="BD158"/>
  <c r="BE158"/>
  <c r="BF158"/>
  <c r="BG158"/>
  <c r="BH158"/>
  <c r="BI158"/>
  <c r="BJ158"/>
  <c r="BK158"/>
  <c r="BL158"/>
  <c r="BM158"/>
  <c r="BN158"/>
  <c r="BO158"/>
  <c r="BP158"/>
  <c r="BQ158"/>
  <c r="BR158"/>
  <c r="BS158"/>
  <c r="BT158"/>
  <c r="BU158"/>
  <c r="BV158"/>
  <c r="BW158"/>
  <c r="BX158"/>
  <c r="BY158"/>
  <c r="BZ158"/>
  <c r="CA158"/>
  <c r="CB158"/>
  <c r="CC158"/>
  <c r="CD158"/>
  <c r="CE158"/>
  <c r="CF158"/>
  <c r="CG158"/>
  <c r="CH158"/>
  <c r="CI158"/>
  <c r="CJ158"/>
  <c r="CK158"/>
  <c r="CL158"/>
  <c r="CM158"/>
  <c r="CN158"/>
  <c r="CO158"/>
  <c r="CP158"/>
  <c r="CQ158"/>
  <c r="CR158"/>
  <c r="CS158"/>
  <c r="CT158"/>
  <c r="CU158"/>
  <c r="CV158"/>
  <c r="CW158"/>
  <c r="CX158"/>
  <c r="CY158"/>
  <c r="CZ158"/>
  <c r="DA158"/>
  <c r="DB158"/>
  <c r="DC158"/>
  <c r="DD158"/>
  <c r="DE158"/>
  <c r="DF158"/>
  <c r="DG158"/>
  <c r="DH158"/>
  <c r="DI158"/>
  <c r="DJ158"/>
  <c r="DK158"/>
  <c r="DL158"/>
  <c r="DM158"/>
  <c r="DN158"/>
  <c r="DO158"/>
  <c r="DP158"/>
  <c r="DQ158"/>
  <c r="DR158"/>
  <c r="DS158"/>
  <c r="DT158"/>
  <c r="DU158"/>
  <c r="DV158"/>
  <c r="DW158"/>
  <c r="DX158"/>
  <c r="DY158"/>
  <c r="DZ158"/>
  <c r="EA158"/>
  <c r="EB158"/>
  <c r="EC158"/>
  <c r="ED158"/>
  <c r="EE158"/>
  <c r="EF158"/>
  <c r="EG158"/>
  <c r="EH158"/>
  <c r="EI158"/>
  <c r="EJ158"/>
  <c r="EK158"/>
  <c r="EL158"/>
  <c r="EM158"/>
  <c r="EN158"/>
  <c r="EO158"/>
  <c r="EP158"/>
  <c r="EQ158"/>
  <c r="ER158"/>
  <c r="ES158"/>
  <c r="ET158"/>
  <c r="EU158"/>
  <c r="EV158"/>
  <c r="EW158"/>
  <c r="EX158"/>
  <c r="EY158"/>
  <c r="EZ158"/>
  <c r="FA158"/>
  <c r="FB158"/>
  <c r="FC158"/>
  <c r="FD158"/>
  <c r="FE158"/>
  <c r="FF158"/>
  <c r="FG158"/>
  <c r="FH158"/>
  <c r="FI158"/>
  <c r="FJ158"/>
  <c r="FK158"/>
  <c r="FL158"/>
  <c r="FM158"/>
  <c r="FN158"/>
  <c r="FO158"/>
  <c r="FP158"/>
  <c r="FQ158"/>
  <c r="FR158"/>
  <c r="FS158"/>
  <c r="FT158"/>
  <c r="FU158"/>
  <c r="FV158"/>
  <c r="FW158"/>
  <c r="FX158"/>
  <c r="FY158"/>
  <c r="FZ158"/>
  <c r="GA158"/>
  <c r="GB158"/>
  <c r="GC158"/>
  <c r="GD158"/>
  <c r="GE158"/>
  <c r="GF158"/>
  <c r="GG158"/>
  <c r="GH158"/>
  <c r="GI158"/>
  <c r="GJ158"/>
  <c r="GK158"/>
  <c r="GL158"/>
  <c r="GM158"/>
  <c r="GN158"/>
  <c r="GO158"/>
  <c r="GP158"/>
  <c r="GQ158"/>
  <c r="GR158"/>
  <c r="GS158"/>
  <c r="GT158"/>
  <c r="GU158"/>
  <c r="GV158"/>
  <c r="GW158"/>
  <c r="GX158"/>
  <c r="GY158"/>
  <c r="GZ158"/>
  <c r="HA158"/>
  <c r="HB158"/>
  <c r="HC158"/>
  <c r="HD158"/>
  <c r="HE158"/>
  <c r="HF158"/>
  <c r="HG158"/>
  <c r="HH158"/>
  <c r="HI158"/>
  <c r="HJ158"/>
  <c r="HK158"/>
  <c r="HL158"/>
  <c r="HM158"/>
  <c r="HN158"/>
  <c r="HO158"/>
  <c r="HP158"/>
  <c r="HQ158"/>
  <c r="HR158"/>
  <c r="HS158"/>
  <c r="HT158"/>
  <c r="HU158"/>
  <c r="HV158"/>
  <c r="HW158"/>
  <c r="HX158"/>
  <c r="HY158"/>
  <c r="HZ158"/>
  <c r="IA158"/>
  <c r="IB158"/>
  <c r="IC158"/>
  <c r="ID158"/>
  <c r="IE158"/>
  <c r="IF158"/>
  <c r="IG158"/>
  <c r="IH158"/>
  <c r="II158"/>
  <c r="IJ158"/>
  <c r="IK158"/>
  <c r="IL158"/>
  <c r="IM158"/>
  <c r="IN158"/>
  <c r="IO158"/>
  <c r="IP158"/>
  <c r="IQ158"/>
  <c r="IR158"/>
  <c r="IS158"/>
  <c r="IT158"/>
  <c r="IU158"/>
  <c r="IV158"/>
  <c r="A157"/>
  <c r="B157"/>
  <c r="C157"/>
  <c r="D157"/>
  <c r="E157"/>
  <c r="F157"/>
  <c r="G157"/>
  <c r="H157"/>
  <c r="I157"/>
  <c r="J157"/>
  <c r="K157"/>
  <c r="L157"/>
  <c r="M157"/>
  <c r="N157"/>
  <c r="O157"/>
  <c r="P157"/>
  <c r="Q157"/>
  <c r="R157"/>
  <c r="S157"/>
  <c r="T157"/>
  <c r="U157"/>
  <c r="V157"/>
  <c r="W157"/>
  <c r="X157"/>
  <c r="Y157"/>
  <c r="Z157"/>
  <c r="AA157"/>
  <c r="AB157"/>
  <c r="AC157"/>
  <c r="AD157"/>
  <c r="AE157"/>
  <c r="AF157"/>
  <c r="AG157"/>
  <c r="AH157"/>
  <c r="AI157"/>
  <c r="AJ157"/>
  <c r="AK157"/>
  <c r="AL157"/>
  <c r="AM157"/>
  <c r="AN157"/>
  <c r="AO157"/>
  <c r="AP157"/>
  <c r="AQ157"/>
  <c r="AR157"/>
  <c r="AS157"/>
  <c r="AT157"/>
  <c r="AU157"/>
  <c r="AV157"/>
  <c r="AW157"/>
  <c r="AX157"/>
  <c r="AY157"/>
  <c r="AZ157"/>
  <c r="BA157"/>
  <c r="BB157"/>
  <c r="BC157"/>
  <c r="BD157"/>
  <c r="BE157"/>
  <c r="BF157"/>
  <c r="BG157"/>
  <c r="BH157"/>
  <c r="BI157"/>
  <c r="BJ157"/>
  <c r="BK157"/>
  <c r="BL157"/>
  <c r="BM157"/>
  <c r="BN157"/>
  <c r="BO157"/>
  <c r="BP157"/>
  <c r="BQ157"/>
  <c r="BR157"/>
  <c r="BS157"/>
  <c r="BT157"/>
  <c r="BU157"/>
  <c r="BV157"/>
  <c r="BW157"/>
  <c r="BX157"/>
  <c r="BY157"/>
  <c r="BZ157"/>
  <c r="CA157"/>
  <c r="CB157"/>
  <c r="CC157"/>
  <c r="CD157"/>
  <c r="CE157"/>
  <c r="CF157"/>
  <c r="CG157"/>
  <c r="CH157"/>
  <c r="CI157"/>
  <c r="CJ157"/>
  <c r="CK157"/>
  <c r="CL157"/>
  <c r="CM157"/>
  <c r="CN157"/>
  <c r="CO157"/>
  <c r="CP157"/>
  <c r="CQ157"/>
  <c r="CR157"/>
  <c r="CS157"/>
  <c r="CT157"/>
  <c r="CU157"/>
  <c r="CV157"/>
  <c r="CW157"/>
  <c r="CX157"/>
  <c r="CY157"/>
  <c r="CZ157"/>
  <c r="DA157"/>
  <c r="DB157"/>
  <c r="DC157"/>
  <c r="DD157"/>
  <c r="DE157"/>
  <c r="DF157"/>
  <c r="DG157"/>
  <c r="DH157"/>
  <c r="DI157"/>
  <c r="DJ157"/>
  <c r="DK157"/>
  <c r="DL157"/>
  <c r="DM157"/>
  <c r="DN157"/>
  <c r="DO157"/>
  <c r="DP157"/>
  <c r="DQ157"/>
  <c r="DR157"/>
  <c r="DS157"/>
  <c r="DT157"/>
  <c r="DU157"/>
  <c r="DV157"/>
  <c r="DW157"/>
  <c r="DX157"/>
  <c r="DY157"/>
  <c r="DZ157"/>
  <c r="EA157"/>
  <c r="EB157"/>
  <c r="EC157"/>
  <c r="ED157"/>
  <c r="EE157"/>
  <c r="EF157"/>
  <c r="EG157"/>
  <c r="EH157"/>
  <c r="EI157"/>
  <c r="EJ157"/>
  <c r="EK157"/>
  <c r="EL157"/>
  <c r="EM157"/>
  <c r="EN157"/>
  <c r="EO157"/>
  <c r="EP157"/>
  <c r="EQ157"/>
  <c r="ER157"/>
  <c r="ES157"/>
  <c r="ET157"/>
  <c r="EU157"/>
  <c r="EV157"/>
  <c r="EW157"/>
  <c r="EX157"/>
  <c r="EY157"/>
  <c r="EZ157"/>
  <c r="FA157"/>
  <c r="FB157"/>
  <c r="FC157"/>
  <c r="FD157"/>
  <c r="FE157"/>
  <c r="FF157"/>
  <c r="FG157"/>
  <c r="FH157"/>
  <c r="FI157"/>
  <c r="FJ157"/>
  <c r="FK157"/>
  <c r="FL157"/>
  <c r="FM157"/>
  <c r="FN157"/>
  <c r="FO157"/>
  <c r="FP157"/>
  <c r="FQ157"/>
  <c r="FR157"/>
  <c r="FS157"/>
  <c r="FT157"/>
  <c r="FU157"/>
  <c r="FV157"/>
  <c r="FW157"/>
  <c r="FX157"/>
  <c r="FY157"/>
  <c r="FZ157"/>
  <c r="GA157"/>
  <c r="GB157"/>
  <c r="GC157"/>
  <c r="GD157"/>
  <c r="GE157"/>
  <c r="GF157"/>
  <c r="GG157"/>
  <c r="GH157"/>
  <c r="GI157"/>
  <c r="GJ157"/>
  <c r="GK157"/>
  <c r="GL157"/>
  <c r="GM157"/>
  <c r="GN157"/>
  <c r="GO157"/>
  <c r="GP157"/>
  <c r="GQ157"/>
  <c r="GR157"/>
  <c r="GS157"/>
  <c r="GT157"/>
  <c r="GU157"/>
  <c r="GV157"/>
  <c r="GW157"/>
  <c r="GX157"/>
  <c r="GY157"/>
  <c r="GZ157"/>
  <c r="HA157"/>
  <c r="HB157"/>
  <c r="HC157"/>
  <c r="HD157"/>
  <c r="HE157"/>
  <c r="HF157"/>
  <c r="HG157"/>
  <c r="HH157"/>
  <c r="HI157"/>
  <c r="HJ157"/>
  <c r="HK157"/>
  <c r="HL157"/>
  <c r="HM157"/>
  <c r="HN157"/>
  <c r="HO157"/>
  <c r="HP157"/>
  <c r="HQ157"/>
  <c r="HR157"/>
  <c r="HS157"/>
  <c r="HT157"/>
  <c r="HU157"/>
  <c r="HV157"/>
  <c r="HW157"/>
  <c r="HX157"/>
  <c r="HY157"/>
  <c r="HZ157"/>
  <c r="IA157"/>
  <c r="IB157"/>
  <c r="IC157"/>
  <c r="ID157"/>
  <c r="IE157"/>
  <c r="IF157"/>
  <c r="IG157"/>
  <c r="IH157"/>
  <c r="II157"/>
  <c r="IJ157"/>
  <c r="IK157"/>
  <c r="IL157"/>
  <c r="IM157"/>
  <c r="IN157"/>
  <c r="IO157"/>
  <c r="IP157"/>
  <c r="IQ157"/>
  <c r="IR157"/>
  <c r="IS157"/>
  <c r="IT157"/>
  <c r="IU157"/>
  <c r="IV157"/>
  <c r="A156"/>
  <c r="B156"/>
  <c r="C156"/>
  <c r="D156"/>
  <c r="E156"/>
  <c r="F156"/>
  <c r="G156"/>
  <c r="H156"/>
  <c r="I156"/>
  <c r="J156"/>
  <c r="K156"/>
  <c r="L156"/>
  <c r="M156"/>
  <c r="N156"/>
  <c r="O156"/>
  <c r="P156"/>
  <c r="Q156"/>
  <c r="R156"/>
  <c r="S156"/>
  <c r="T156"/>
  <c r="U156"/>
  <c r="V156"/>
  <c r="W156"/>
  <c r="X156"/>
  <c r="Y156"/>
  <c r="Z156"/>
  <c r="AA156"/>
  <c r="AB156"/>
  <c r="AC156"/>
  <c r="AD156"/>
  <c r="AE156"/>
  <c r="AF156"/>
  <c r="AG156"/>
  <c r="AH156"/>
  <c r="AI156"/>
  <c r="AJ156"/>
  <c r="AK156"/>
  <c r="AL156"/>
  <c r="AM156"/>
  <c r="AN156"/>
  <c r="AO156"/>
  <c r="AP156"/>
  <c r="AQ156"/>
  <c r="AR156"/>
  <c r="AS156"/>
  <c r="AT156"/>
  <c r="AU156"/>
  <c r="AV156"/>
  <c r="AW156"/>
  <c r="AX156"/>
  <c r="AY156"/>
  <c r="AZ156"/>
  <c r="BA156"/>
  <c r="BB156"/>
  <c r="BC156"/>
  <c r="BD156"/>
  <c r="BE156"/>
  <c r="BF156"/>
  <c r="BG156"/>
  <c r="BH156"/>
  <c r="BI156"/>
  <c r="BJ156"/>
  <c r="BK156"/>
  <c r="BL156"/>
  <c r="BM156"/>
  <c r="BN156"/>
  <c r="BO156"/>
  <c r="BP156"/>
  <c r="BQ156"/>
  <c r="BR156"/>
  <c r="BS156"/>
  <c r="BT156"/>
  <c r="BU156"/>
  <c r="BV156"/>
  <c r="BW156"/>
  <c r="BX156"/>
  <c r="BY156"/>
  <c r="BZ156"/>
  <c r="CA156"/>
  <c r="CB156"/>
  <c r="CC156"/>
  <c r="CD156"/>
  <c r="CE156"/>
  <c r="CF156"/>
  <c r="CG156"/>
  <c r="CH156"/>
  <c r="CI156"/>
  <c r="CJ156"/>
  <c r="CK156"/>
  <c r="CL156"/>
  <c r="CM156"/>
  <c r="CN156"/>
  <c r="CO156"/>
  <c r="CP156"/>
  <c r="CQ156"/>
  <c r="CR156"/>
  <c r="CS156"/>
  <c r="CT156"/>
  <c r="CU156"/>
  <c r="CV156"/>
  <c r="CW156"/>
  <c r="CX156"/>
  <c r="CY156"/>
  <c r="CZ156"/>
  <c r="DA156"/>
  <c r="DB156"/>
  <c r="DC156"/>
  <c r="DD156"/>
  <c r="DE156"/>
  <c r="DF156"/>
  <c r="DG156"/>
  <c r="DH156"/>
  <c r="DI156"/>
  <c r="DJ156"/>
  <c r="DK156"/>
  <c r="DL156"/>
  <c r="DM156"/>
  <c r="DN156"/>
  <c r="DO156"/>
  <c r="DP156"/>
  <c r="DQ156"/>
  <c r="DR156"/>
  <c r="DS156"/>
  <c r="DT156"/>
  <c r="DU156"/>
  <c r="DV156"/>
  <c r="DW156"/>
  <c r="DX156"/>
  <c r="DY156"/>
  <c r="DZ156"/>
  <c r="EA156"/>
  <c r="EB156"/>
  <c r="EC156"/>
  <c r="ED156"/>
  <c r="EE156"/>
  <c r="EF156"/>
  <c r="EG156"/>
  <c r="EH156"/>
  <c r="EI156"/>
  <c r="EJ156"/>
  <c r="EK156"/>
  <c r="EL156"/>
  <c r="EM156"/>
  <c r="EN156"/>
  <c r="EO156"/>
  <c r="EP156"/>
  <c r="EQ156"/>
  <c r="ER156"/>
  <c r="ES156"/>
  <c r="ET156"/>
  <c r="EU156"/>
  <c r="EV156"/>
  <c r="EW156"/>
  <c r="EX156"/>
  <c r="EY156"/>
  <c r="EZ156"/>
  <c r="FA156"/>
  <c r="FB156"/>
  <c r="FC156"/>
  <c r="FD156"/>
  <c r="FE156"/>
  <c r="FF156"/>
  <c r="FG156"/>
  <c r="FH156"/>
  <c r="FI156"/>
  <c r="FJ156"/>
  <c r="FK156"/>
  <c r="FL156"/>
  <c r="FM156"/>
  <c r="FN156"/>
  <c r="FO156"/>
  <c r="FP156"/>
  <c r="FQ156"/>
  <c r="FR156"/>
  <c r="FS156"/>
  <c r="FT156"/>
  <c r="FU156"/>
  <c r="FV156"/>
  <c r="FW156"/>
  <c r="FX156"/>
  <c r="FY156"/>
  <c r="FZ156"/>
  <c r="GA156"/>
  <c r="GB156"/>
  <c r="GC156"/>
  <c r="GD156"/>
  <c r="GE156"/>
  <c r="GF156"/>
  <c r="GG156"/>
  <c r="GH156"/>
  <c r="GI156"/>
  <c r="GJ156"/>
  <c r="GK156"/>
  <c r="GL156"/>
  <c r="GM156"/>
  <c r="GN156"/>
  <c r="GO156"/>
  <c r="GP156"/>
  <c r="GQ156"/>
  <c r="GR156"/>
  <c r="GS156"/>
  <c r="GT156"/>
  <c r="GU156"/>
  <c r="GV156"/>
  <c r="GW156"/>
  <c r="GX156"/>
  <c r="GY156"/>
  <c r="GZ156"/>
  <c r="HA156"/>
  <c r="HB156"/>
  <c r="HC156"/>
  <c r="HD156"/>
  <c r="HE156"/>
  <c r="HF156"/>
  <c r="HG156"/>
  <c r="HH156"/>
  <c r="HI156"/>
  <c r="HJ156"/>
  <c r="HK156"/>
  <c r="HL156"/>
  <c r="HM156"/>
  <c r="HN156"/>
  <c r="HO156"/>
  <c r="HP156"/>
  <c r="HQ156"/>
  <c r="HR156"/>
  <c r="HS156"/>
  <c r="HT156"/>
  <c r="HU156"/>
  <c r="HV156"/>
  <c r="HW156"/>
  <c r="HX156"/>
  <c r="HY156"/>
  <c r="HZ156"/>
  <c r="IA156"/>
  <c r="IB156"/>
  <c r="IC156"/>
  <c r="ID156"/>
  <c r="IE156"/>
  <c r="IF156"/>
  <c r="IG156"/>
  <c r="IH156"/>
  <c r="II156"/>
  <c r="IJ156"/>
  <c r="IK156"/>
  <c r="IL156"/>
  <c r="IM156"/>
  <c r="IN156"/>
  <c r="IO156"/>
  <c r="IP156"/>
  <c r="IQ156"/>
  <c r="IR156"/>
  <c r="IS156"/>
  <c r="IT156"/>
  <c r="IU156"/>
  <c r="IV156"/>
  <c r="A155"/>
  <c r="B155"/>
  <c r="C155"/>
  <c r="D155"/>
  <c r="E155"/>
  <c r="F155"/>
  <c r="G155"/>
  <c r="H155"/>
  <c r="I155"/>
  <c r="J155"/>
  <c r="K155"/>
  <c r="L155"/>
  <c r="M155"/>
  <c r="N155"/>
  <c r="O155"/>
  <c r="P155"/>
  <c r="Q155"/>
  <c r="R155"/>
  <c r="S155"/>
  <c r="T155"/>
  <c r="U155"/>
  <c r="V155"/>
  <c r="W155"/>
  <c r="X155"/>
  <c r="Y155"/>
  <c r="Z155"/>
  <c r="AA155"/>
  <c r="AB155"/>
  <c r="AC155"/>
  <c r="AD155"/>
  <c r="AE155"/>
  <c r="AF155"/>
  <c r="AG155"/>
  <c r="AH155"/>
  <c r="AI155"/>
  <c r="AJ155"/>
  <c r="AK155"/>
  <c r="AL155"/>
  <c r="AM155"/>
  <c r="AN155"/>
  <c r="AO155"/>
  <c r="AP155"/>
  <c r="AQ155"/>
  <c r="AR155"/>
  <c r="AS155"/>
  <c r="AT155"/>
  <c r="AU155"/>
  <c r="AV155"/>
  <c r="AW155"/>
  <c r="AX155"/>
  <c r="AY155"/>
  <c r="AZ155"/>
  <c r="BA155"/>
  <c r="BB155"/>
  <c r="BC155"/>
  <c r="BD155"/>
  <c r="BE155"/>
  <c r="BF155"/>
  <c r="BG155"/>
  <c r="BH155"/>
  <c r="BI155"/>
  <c r="BJ155"/>
  <c r="BK155"/>
  <c r="BL155"/>
  <c r="BM155"/>
  <c r="BN155"/>
  <c r="BO155"/>
  <c r="BP155"/>
  <c r="BQ155"/>
  <c r="BR155"/>
  <c r="BS155"/>
  <c r="BT155"/>
  <c r="BU155"/>
  <c r="BV155"/>
  <c r="BW155"/>
  <c r="BX155"/>
  <c r="BY155"/>
  <c r="BZ155"/>
  <c r="CA155"/>
  <c r="CB155"/>
  <c r="CC155"/>
  <c r="CD155"/>
  <c r="CE155"/>
  <c r="CF155"/>
  <c r="CG155"/>
  <c r="CH155"/>
  <c r="CI155"/>
  <c r="CJ155"/>
  <c r="CK155"/>
  <c r="CL155"/>
  <c r="CM155"/>
  <c r="CN155"/>
  <c r="CO155"/>
  <c r="CP155"/>
  <c r="CQ155"/>
  <c r="CR155"/>
  <c r="CS155"/>
  <c r="CT155"/>
  <c r="CU155"/>
  <c r="CV155"/>
  <c r="CW155"/>
  <c r="CX155"/>
  <c r="CY155"/>
  <c r="CZ155"/>
  <c r="DA155"/>
  <c r="DB155"/>
  <c r="DC155"/>
  <c r="DD155"/>
  <c r="DE155"/>
  <c r="DF155"/>
  <c r="DG155"/>
  <c r="DH155"/>
  <c r="DI155"/>
  <c r="DJ155"/>
  <c r="DK155"/>
  <c r="DL155"/>
  <c r="DM155"/>
  <c r="DN155"/>
  <c r="DO155"/>
  <c r="DP155"/>
  <c r="DQ155"/>
  <c r="DR155"/>
  <c r="DS155"/>
  <c r="DT155"/>
  <c r="DU155"/>
  <c r="DV155"/>
  <c r="DW155"/>
  <c r="DX155"/>
  <c r="DY155"/>
  <c r="DZ155"/>
  <c r="EA155"/>
  <c r="EB155"/>
  <c r="EC155"/>
  <c r="ED155"/>
  <c r="EE155"/>
  <c r="EF155"/>
  <c r="EG155"/>
  <c r="EH155"/>
  <c r="EI155"/>
  <c r="EJ155"/>
  <c r="EK155"/>
  <c r="EL155"/>
  <c r="EM155"/>
  <c r="EN155"/>
  <c r="EO155"/>
  <c r="EP155"/>
  <c r="EQ155"/>
  <c r="ER155"/>
  <c r="ES155"/>
  <c r="ET155"/>
  <c r="EU155"/>
  <c r="EV155"/>
  <c r="EW155"/>
  <c r="EX155"/>
  <c r="EY155"/>
  <c r="EZ155"/>
  <c r="FA155"/>
  <c r="FB155"/>
  <c r="FC155"/>
  <c r="FD155"/>
  <c r="FE155"/>
  <c r="FF155"/>
  <c r="FG155"/>
  <c r="FH155"/>
  <c r="FI155"/>
  <c r="FJ155"/>
  <c r="FK155"/>
  <c r="FL155"/>
  <c r="FM155"/>
  <c r="FN155"/>
  <c r="FO155"/>
  <c r="FP155"/>
  <c r="FQ155"/>
  <c r="FR155"/>
  <c r="FS155"/>
  <c r="FT155"/>
  <c r="FU155"/>
  <c r="FV155"/>
  <c r="FW155"/>
  <c r="FX155"/>
  <c r="FY155"/>
  <c r="FZ155"/>
  <c r="GA155"/>
  <c r="GB155"/>
  <c r="GC155"/>
  <c r="GD155"/>
  <c r="GE155"/>
  <c r="GF155"/>
  <c r="GG155"/>
  <c r="GH155"/>
  <c r="GI155"/>
  <c r="GJ155"/>
  <c r="GK155"/>
  <c r="GL155"/>
  <c r="GM155"/>
  <c r="GN155"/>
  <c r="GO155"/>
  <c r="GP155"/>
  <c r="GQ155"/>
  <c r="GR155"/>
  <c r="GS155"/>
  <c r="GT155"/>
  <c r="GU155"/>
  <c r="GV155"/>
  <c r="GW155"/>
  <c r="GX155"/>
  <c r="GY155"/>
  <c r="GZ155"/>
  <c r="HA155"/>
  <c r="HB155"/>
  <c r="HC155"/>
  <c r="HD155"/>
  <c r="HE155"/>
  <c r="HF155"/>
  <c r="HG155"/>
  <c r="HH155"/>
  <c r="HI155"/>
  <c r="HJ155"/>
  <c r="HK155"/>
  <c r="HL155"/>
  <c r="HM155"/>
  <c r="HN155"/>
  <c r="HO155"/>
  <c r="HP155"/>
  <c r="HQ155"/>
  <c r="HR155"/>
  <c r="HS155"/>
  <c r="HT155"/>
  <c r="HU155"/>
  <c r="HV155"/>
  <c r="HW155"/>
  <c r="HX155"/>
  <c r="HY155"/>
  <c r="HZ155"/>
  <c r="IA155"/>
  <c r="IB155"/>
  <c r="IC155"/>
  <c r="ID155"/>
  <c r="IE155"/>
  <c r="IF155"/>
  <c r="IG155"/>
  <c r="IH155"/>
  <c r="II155"/>
  <c r="IJ155"/>
  <c r="IK155"/>
  <c r="IL155"/>
  <c r="IM155"/>
  <c r="IN155"/>
  <c r="IO155"/>
  <c r="IP155"/>
  <c r="IQ155"/>
  <c r="IR155"/>
  <c r="IS155"/>
  <c r="IT155"/>
  <c r="IU155"/>
  <c r="IV155"/>
  <c r="A154"/>
  <c r="B154"/>
  <c r="C154"/>
  <c r="D154"/>
  <c r="E154"/>
  <c r="F154"/>
  <c r="G154"/>
  <c r="H154"/>
  <c r="I154"/>
  <c r="J154"/>
  <c r="K154"/>
  <c r="L154"/>
  <c r="M154"/>
  <c r="N154"/>
  <c r="O154"/>
  <c r="P154"/>
  <c r="Q154"/>
  <c r="R154"/>
  <c r="S154"/>
  <c r="T154"/>
  <c r="U154"/>
  <c r="V154"/>
  <c r="W154"/>
  <c r="X154"/>
  <c r="Y154"/>
  <c r="Z154"/>
  <c r="AA154"/>
  <c r="AB154"/>
  <c r="AC154"/>
  <c r="AD154"/>
  <c r="AE154"/>
  <c r="AF154"/>
  <c r="AG154"/>
  <c r="AH154"/>
  <c r="AI154"/>
  <c r="AJ154"/>
  <c r="AK154"/>
  <c r="AL154"/>
  <c r="AM154"/>
  <c r="AN154"/>
  <c r="AO154"/>
  <c r="AP154"/>
  <c r="AQ154"/>
  <c r="AR154"/>
  <c r="AS154"/>
  <c r="AT154"/>
  <c r="AU154"/>
  <c r="AV154"/>
  <c r="AW154"/>
  <c r="AX154"/>
  <c r="AY154"/>
  <c r="AZ154"/>
  <c r="BA154"/>
  <c r="BB154"/>
  <c r="BC154"/>
  <c r="BD154"/>
  <c r="BE154"/>
  <c r="BF154"/>
  <c r="BG154"/>
  <c r="BH154"/>
  <c r="BI154"/>
  <c r="BJ154"/>
  <c r="BK154"/>
  <c r="BL154"/>
  <c r="BM154"/>
  <c r="BN154"/>
  <c r="BO154"/>
  <c r="BP154"/>
  <c r="BQ154"/>
  <c r="BR154"/>
  <c r="BS154"/>
  <c r="BT154"/>
  <c r="BU154"/>
  <c r="BV154"/>
  <c r="BW154"/>
  <c r="BX154"/>
  <c r="BY154"/>
  <c r="BZ154"/>
  <c r="CA154"/>
  <c r="CB154"/>
  <c r="CC154"/>
  <c r="CD154"/>
  <c r="CE154"/>
  <c r="CF154"/>
  <c r="CG154"/>
  <c r="CH154"/>
  <c r="CI154"/>
  <c r="CJ154"/>
  <c r="CK154"/>
  <c r="CL154"/>
  <c r="CM154"/>
  <c r="CN154"/>
  <c r="CO154"/>
  <c r="CP154"/>
  <c r="CQ154"/>
  <c r="CR154"/>
  <c r="CS154"/>
  <c r="CT154"/>
  <c r="CU154"/>
  <c r="CV154"/>
  <c r="CW154"/>
  <c r="CX154"/>
  <c r="CY154"/>
  <c r="CZ154"/>
  <c r="DA154"/>
  <c r="DB154"/>
  <c r="DC154"/>
  <c r="DD154"/>
  <c r="DE154"/>
  <c r="DF154"/>
  <c r="DG154"/>
  <c r="DH154"/>
  <c r="DI154"/>
  <c r="DJ154"/>
  <c r="DK154"/>
  <c r="DL154"/>
  <c r="DM154"/>
  <c r="DN154"/>
  <c r="DO154"/>
  <c r="DP154"/>
  <c r="DQ154"/>
  <c r="DR154"/>
  <c r="DS154"/>
  <c r="DT154"/>
  <c r="DU154"/>
  <c r="DV154"/>
  <c r="DW154"/>
  <c r="DX154"/>
  <c r="DY154"/>
  <c r="DZ154"/>
  <c r="EA154"/>
  <c r="EB154"/>
  <c r="EC154"/>
  <c r="ED154"/>
  <c r="EE154"/>
  <c r="EF154"/>
  <c r="EG154"/>
  <c r="EH154"/>
  <c r="EI154"/>
  <c r="EJ154"/>
  <c r="EK154"/>
  <c r="EL154"/>
  <c r="EM154"/>
  <c r="EN154"/>
  <c r="EO154"/>
  <c r="EP154"/>
  <c r="EQ154"/>
  <c r="ER154"/>
  <c r="ES154"/>
  <c r="ET154"/>
  <c r="EU154"/>
  <c r="EV154"/>
  <c r="EW154"/>
  <c r="EX154"/>
  <c r="EY154"/>
  <c r="EZ154"/>
  <c r="FA154"/>
  <c r="FB154"/>
  <c r="FC154"/>
  <c r="FD154"/>
  <c r="FE154"/>
  <c r="FF154"/>
  <c r="FG154"/>
  <c r="FH154"/>
  <c r="FI154"/>
  <c r="FJ154"/>
  <c r="FK154"/>
  <c r="FL154"/>
  <c r="FM154"/>
  <c r="FN154"/>
  <c r="FO154"/>
  <c r="FP154"/>
  <c r="FQ154"/>
  <c r="FR154"/>
  <c r="FS154"/>
  <c r="FT154"/>
  <c r="FU154"/>
  <c r="FV154"/>
  <c r="FW154"/>
  <c r="FX154"/>
  <c r="FY154"/>
  <c r="FZ154"/>
  <c r="GA154"/>
  <c r="GB154"/>
  <c r="GC154"/>
  <c r="GD154"/>
  <c r="GE154"/>
  <c r="GF154"/>
  <c r="GG154"/>
  <c r="GH154"/>
  <c r="GI154"/>
  <c r="GJ154"/>
  <c r="GK154"/>
  <c r="GL154"/>
  <c r="GM154"/>
  <c r="GN154"/>
  <c r="GO154"/>
  <c r="GP154"/>
  <c r="GQ154"/>
  <c r="GR154"/>
  <c r="GS154"/>
  <c r="GT154"/>
  <c r="GU154"/>
  <c r="GV154"/>
  <c r="GW154"/>
  <c r="GX154"/>
  <c r="GY154"/>
  <c r="GZ154"/>
  <c r="HA154"/>
  <c r="HB154"/>
  <c r="HC154"/>
  <c r="HD154"/>
  <c r="HE154"/>
  <c r="HF154"/>
  <c r="HG154"/>
  <c r="HH154"/>
  <c r="HI154"/>
  <c r="HJ154"/>
  <c r="HK154"/>
  <c r="HL154"/>
  <c r="HM154"/>
  <c r="HN154"/>
  <c r="HO154"/>
  <c r="HP154"/>
  <c r="HQ154"/>
  <c r="HR154"/>
  <c r="HS154"/>
  <c r="HT154"/>
  <c r="HU154"/>
  <c r="HV154"/>
  <c r="HW154"/>
  <c r="HX154"/>
  <c r="HY154"/>
  <c r="HZ154"/>
  <c r="IA154"/>
  <c r="IB154"/>
  <c r="IC154"/>
  <c r="ID154"/>
  <c r="IE154"/>
  <c r="IF154"/>
  <c r="IG154"/>
  <c r="IH154"/>
  <c r="II154"/>
  <c r="IJ154"/>
  <c r="IK154"/>
  <c r="IL154"/>
  <c r="IM154"/>
  <c r="IN154"/>
  <c r="IO154"/>
  <c r="IP154"/>
  <c r="IQ154"/>
  <c r="IR154"/>
  <c r="IS154"/>
  <c r="IT154"/>
  <c r="IU154"/>
  <c r="IV154"/>
  <c r="A153"/>
  <c r="B153"/>
  <c r="C153"/>
  <c r="D153"/>
  <c r="E153"/>
  <c r="F153"/>
  <c r="G153"/>
  <c r="H153"/>
  <c r="I153"/>
  <c r="J153"/>
  <c r="K153"/>
  <c r="L153"/>
  <c r="M153"/>
  <c r="N153"/>
  <c r="O153"/>
  <c r="P153"/>
  <c r="Q153"/>
  <c r="R153"/>
  <c r="S153"/>
  <c r="T153"/>
  <c r="U153"/>
  <c r="V153"/>
  <c r="W153"/>
  <c r="X153"/>
  <c r="Y153"/>
  <c r="Z153"/>
  <c r="AA153"/>
  <c r="AB153"/>
  <c r="AC153"/>
  <c r="AD153"/>
  <c r="AE153"/>
  <c r="AF153"/>
  <c r="AG153"/>
  <c r="AH153"/>
  <c r="AI153"/>
  <c r="AJ153"/>
  <c r="AK153"/>
  <c r="AL153"/>
  <c r="AM153"/>
  <c r="AN153"/>
  <c r="AO153"/>
  <c r="AP153"/>
  <c r="AQ153"/>
  <c r="AR153"/>
  <c r="AS153"/>
  <c r="AT153"/>
  <c r="AU153"/>
  <c r="AV153"/>
  <c r="AW153"/>
  <c r="AX153"/>
  <c r="AY153"/>
  <c r="AZ153"/>
  <c r="BA153"/>
  <c r="BB153"/>
  <c r="BC153"/>
  <c r="BD153"/>
  <c r="BE153"/>
  <c r="BF153"/>
  <c r="BG153"/>
  <c r="BH153"/>
  <c r="BI153"/>
  <c r="BJ153"/>
  <c r="BK153"/>
  <c r="BL153"/>
  <c r="BM153"/>
  <c r="BN153"/>
  <c r="BO153"/>
  <c r="BP153"/>
  <c r="BQ153"/>
  <c r="BR153"/>
  <c r="BS153"/>
  <c r="BT153"/>
  <c r="BU153"/>
  <c r="BV153"/>
  <c r="BW153"/>
  <c r="BX153"/>
  <c r="BY153"/>
  <c r="BZ153"/>
  <c r="CA153"/>
  <c r="CB153"/>
  <c r="CC153"/>
  <c r="CD153"/>
  <c r="CE153"/>
  <c r="CF153"/>
  <c r="CG153"/>
  <c r="CH153"/>
  <c r="CI153"/>
  <c r="CJ153"/>
  <c r="CK153"/>
  <c r="CL153"/>
  <c r="CM153"/>
  <c r="CN153"/>
  <c r="CO153"/>
  <c r="CP153"/>
  <c r="CQ153"/>
  <c r="CR153"/>
  <c r="CS153"/>
  <c r="CT153"/>
  <c r="CU153"/>
  <c r="CV153"/>
  <c r="CW153"/>
  <c r="CX153"/>
  <c r="CY153"/>
  <c r="CZ153"/>
  <c r="DA153"/>
  <c r="DB153"/>
  <c r="DC153"/>
  <c r="DD153"/>
  <c r="DE153"/>
  <c r="DF153"/>
  <c r="DG153"/>
  <c r="DH153"/>
  <c r="DI153"/>
  <c r="DJ153"/>
  <c r="DK153"/>
  <c r="DL153"/>
  <c r="DM153"/>
  <c r="DN153"/>
  <c r="DO153"/>
  <c r="DP153"/>
  <c r="DQ153"/>
  <c r="DR153"/>
  <c r="DS153"/>
  <c r="DT153"/>
  <c r="DU153"/>
  <c r="DV153"/>
  <c r="DW153"/>
  <c r="DX153"/>
  <c r="DY153"/>
  <c r="DZ153"/>
  <c r="EA153"/>
  <c r="EB153"/>
  <c r="EC153"/>
  <c r="ED153"/>
  <c r="EE153"/>
  <c r="EF153"/>
  <c r="EG153"/>
  <c r="EH153"/>
  <c r="EI153"/>
  <c r="EJ153"/>
  <c r="EK153"/>
  <c r="EL153"/>
  <c r="EM153"/>
  <c r="EN153"/>
  <c r="EO153"/>
  <c r="EP153"/>
  <c r="EQ153"/>
  <c r="ER153"/>
  <c r="ES153"/>
  <c r="ET153"/>
  <c r="EU153"/>
  <c r="EV153"/>
  <c r="EW153"/>
  <c r="EX153"/>
  <c r="EY153"/>
  <c r="EZ153"/>
  <c r="FA153"/>
  <c r="FB153"/>
  <c r="FC153"/>
  <c r="FD153"/>
  <c r="FE153"/>
  <c r="FF153"/>
  <c r="FG153"/>
  <c r="FH153"/>
  <c r="FI153"/>
  <c r="FJ153"/>
  <c r="FK153"/>
  <c r="FL153"/>
  <c r="FM153"/>
  <c r="FN153"/>
  <c r="FO153"/>
  <c r="FP153"/>
  <c r="FQ153"/>
  <c r="FR153"/>
  <c r="FS153"/>
  <c r="FT153"/>
  <c r="FU153"/>
  <c r="FV153"/>
  <c r="FW153"/>
  <c r="FX153"/>
  <c r="FY153"/>
  <c r="FZ153"/>
  <c r="GA153"/>
  <c r="GB153"/>
  <c r="GC153"/>
  <c r="GD153"/>
  <c r="GE153"/>
  <c r="GF153"/>
  <c r="GG153"/>
  <c r="GH153"/>
  <c r="GI153"/>
  <c r="GJ153"/>
  <c r="GK153"/>
  <c r="GL153"/>
  <c r="GM153"/>
  <c r="GN153"/>
  <c r="GO153"/>
  <c r="GP153"/>
  <c r="GQ153"/>
  <c r="GR153"/>
  <c r="GS153"/>
  <c r="GT153"/>
  <c r="GU153"/>
  <c r="GV153"/>
  <c r="GW153"/>
  <c r="GX153"/>
  <c r="GY153"/>
  <c r="GZ153"/>
  <c r="HA153"/>
  <c r="HB153"/>
  <c r="HC153"/>
  <c r="HD153"/>
  <c r="HE153"/>
  <c r="HF153"/>
  <c r="HG153"/>
  <c r="HH153"/>
  <c r="HI153"/>
  <c r="HJ153"/>
  <c r="HK153"/>
  <c r="HL153"/>
  <c r="HM153"/>
  <c r="HN153"/>
  <c r="HO153"/>
  <c r="HP153"/>
  <c r="HQ153"/>
  <c r="HR153"/>
  <c r="HS153"/>
  <c r="HT153"/>
  <c r="HU153"/>
  <c r="HV153"/>
  <c r="HW153"/>
  <c r="HX153"/>
  <c r="HY153"/>
  <c r="HZ153"/>
  <c r="IA153"/>
  <c r="IB153"/>
  <c r="IC153"/>
  <c r="ID153"/>
  <c r="IE153"/>
  <c r="IF153"/>
  <c r="IG153"/>
  <c r="IH153"/>
  <c r="II153"/>
  <c r="IJ153"/>
  <c r="IK153"/>
  <c r="IL153"/>
  <c r="IM153"/>
  <c r="IN153"/>
  <c r="IO153"/>
  <c r="IP153"/>
  <c r="IQ153"/>
  <c r="IR153"/>
  <c r="IS153"/>
  <c r="IT153"/>
  <c r="IU153"/>
  <c r="IV153"/>
  <c r="A152"/>
  <c r="B152"/>
  <c r="C152"/>
  <c r="D152"/>
  <c r="E152"/>
  <c r="F152"/>
  <c r="G152"/>
  <c r="H152"/>
  <c r="I152"/>
  <c r="J152"/>
  <c r="K152"/>
  <c r="L152"/>
  <c r="M152"/>
  <c r="N152"/>
  <c r="O152"/>
  <c r="P152"/>
  <c r="Q152"/>
  <c r="R152"/>
  <c r="S152"/>
  <c r="T152"/>
  <c r="U152"/>
  <c r="V152"/>
  <c r="W152"/>
  <c r="X152"/>
  <c r="Y152"/>
  <c r="Z152"/>
  <c r="AA152"/>
  <c r="AB152"/>
  <c r="AC152"/>
  <c r="AD152"/>
  <c r="AE152"/>
  <c r="AF152"/>
  <c r="AG152"/>
  <c r="AH152"/>
  <c r="AI152"/>
  <c r="AJ152"/>
  <c r="AK152"/>
  <c r="AL152"/>
  <c r="AM152"/>
  <c r="AN152"/>
  <c r="AO152"/>
  <c r="AP152"/>
  <c r="AQ152"/>
  <c r="AR152"/>
  <c r="AS152"/>
  <c r="AT152"/>
  <c r="AU152"/>
  <c r="AV152"/>
  <c r="AW152"/>
  <c r="AX152"/>
  <c r="AY152"/>
  <c r="AZ152"/>
  <c r="BA152"/>
  <c r="BB152"/>
  <c r="BC152"/>
  <c r="BD152"/>
  <c r="BE152"/>
  <c r="BF152"/>
  <c r="BG152"/>
  <c r="BH152"/>
  <c r="BI152"/>
  <c r="BJ152"/>
  <c r="BK152"/>
  <c r="BL152"/>
  <c r="BM152"/>
  <c r="BN152"/>
  <c r="BO152"/>
  <c r="BP152"/>
  <c r="BQ152"/>
  <c r="BR152"/>
  <c r="BS152"/>
  <c r="BT152"/>
  <c r="BU152"/>
  <c r="BV152"/>
  <c r="BW152"/>
  <c r="BX152"/>
  <c r="BY152"/>
  <c r="BZ152"/>
  <c r="CA152"/>
  <c r="CB152"/>
  <c r="CC152"/>
  <c r="CD152"/>
  <c r="CE152"/>
  <c r="CF152"/>
  <c r="CG152"/>
  <c r="CH152"/>
  <c r="CI152"/>
  <c r="CJ152"/>
  <c r="CK152"/>
  <c r="CL152"/>
  <c r="CM152"/>
  <c r="CN152"/>
  <c r="CO152"/>
  <c r="CP152"/>
  <c r="CQ152"/>
  <c r="CR152"/>
  <c r="CS152"/>
  <c r="CT152"/>
  <c r="CU152"/>
  <c r="CV152"/>
  <c r="CW152"/>
  <c r="CX152"/>
  <c r="CY152"/>
  <c r="CZ152"/>
  <c r="DA152"/>
  <c r="DB152"/>
  <c r="DC152"/>
  <c r="DD152"/>
  <c r="DE152"/>
  <c r="DF152"/>
  <c r="DG152"/>
  <c r="DH152"/>
  <c r="DI152"/>
  <c r="DJ152"/>
  <c r="DK152"/>
  <c r="DL152"/>
  <c r="DM152"/>
  <c r="DN152"/>
  <c r="DO152"/>
  <c r="DP152"/>
  <c r="DQ152"/>
  <c r="DR152"/>
  <c r="DS152"/>
  <c r="DT152"/>
  <c r="DU152"/>
  <c r="DV152"/>
  <c r="DW152"/>
  <c r="DX152"/>
  <c r="DY152"/>
  <c r="DZ152"/>
  <c r="EA152"/>
  <c r="EB152"/>
  <c r="EC152"/>
  <c r="ED152"/>
  <c r="EE152"/>
  <c r="EF152"/>
  <c r="EG152"/>
  <c r="EH152"/>
  <c r="EI152"/>
  <c r="EJ152"/>
  <c r="EK152"/>
  <c r="EL152"/>
  <c r="EM152"/>
  <c r="EN152"/>
  <c r="EO152"/>
  <c r="EP152"/>
  <c r="EQ152"/>
  <c r="ER152"/>
  <c r="ES152"/>
  <c r="ET152"/>
  <c r="EU152"/>
  <c r="EV152"/>
  <c r="EW152"/>
  <c r="EX152"/>
  <c r="EY152"/>
  <c r="EZ152"/>
  <c r="FA152"/>
  <c r="FB152"/>
  <c r="FC152"/>
  <c r="FD152"/>
  <c r="FE152"/>
  <c r="FF152"/>
  <c r="FG152"/>
  <c r="FH152"/>
  <c r="FI152"/>
  <c r="FJ152"/>
  <c r="FK152"/>
  <c r="FL152"/>
  <c r="FM152"/>
  <c r="FN152"/>
  <c r="FO152"/>
  <c r="FP152"/>
  <c r="FQ152"/>
  <c r="FR152"/>
  <c r="FS152"/>
  <c r="FT152"/>
  <c r="FU152"/>
  <c r="FV152"/>
  <c r="FW152"/>
  <c r="FX152"/>
  <c r="FY152"/>
  <c r="FZ152"/>
  <c r="GA152"/>
  <c r="GB152"/>
  <c r="GC152"/>
  <c r="GD152"/>
  <c r="GE152"/>
  <c r="GF152"/>
  <c r="GG152"/>
  <c r="GH152"/>
  <c r="GI152"/>
  <c r="GJ152"/>
  <c r="GK152"/>
  <c r="GL152"/>
  <c r="GM152"/>
  <c r="GN152"/>
  <c r="GO152"/>
  <c r="GP152"/>
  <c r="GQ152"/>
  <c r="GR152"/>
  <c r="GS152"/>
  <c r="GT152"/>
  <c r="GU152"/>
  <c r="GV152"/>
  <c r="GW152"/>
  <c r="GX152"/>
  <c r="GY152"/>
  <c r="GZ152"/>
  <c r="HA152"/>
  <c r="HB152"/>
  <c r="HC152"/>
  <c r="HD152"/>
  <c r="HE152"/>
  <c r="HF152"/>
  <c r="HG152"/>
  <c r="HH152"/>
  <c r="HI152"/>
  <c r="HJ152"/>
  <c r="HK152"/>
  <c r="HL152"/>
  <c r="HM152"/>
  <c r="HN152"/>
  <c r="HO152"/>
  <c r="HP152"/>
  <c r="HQ152"/>
  <c r="HR152"/>
  <c r="HS152"/>
  <c r="HT152"/>
  <c r="HU152"/>
  <c r="HV152"/>
  <c r="HW152"/>
  <c r="HX152"/>
  <c r="HY152"/>
  <c r="HZ152"/>
  <c r="IA152"/>
  <c r="IB152"/>
  <c r="IC152"/>
  <c r="ID152"/>
  <c r="IE152"/>
  <c r="IF152"/>
  <c r="IG152"/>
  <c r="IH152"/>
  <c r="II152"/>
  <c r="IJ152"/>
  <c r="IK152"/>
  <c r="IL152"/>
  <c r="IM152"/>
  <c r="IN152"/>
  <c r="IO152"/>
  <c r="IP152"/>
  <c r="IQ152"/>
  <c r="IR152"/>
  <c r="IS152"/>
  <c r="IT152"/>
  <c r="IU152"/>
  <c r="IV152"/>
  <c r="A151"/>
  <c r="B151"/>
  <c r="C151"/>
  <c r="D151"/>
  <c r="E151"/>
  <c r="F151"/>
  <c r="G151"/>
  <c r="H151"/>
  <c r="I151"/>
  <c r="J151"/>
  <c r="K151"/>
  <c r="L151"/>
  <c r="M151"/>
  <c r="N151"/>
  <c r="O151"/>
  <c r="P151"/>
  <c r="Q151"/>
  <c r="R151"/>
  <c r="S151"/>
  <c r="T151"/>
  <c r="U151"/>
  <c r="V151"/>
  <c r="W151"/>
  <c r="X151"/>
  <c r="Y151"/>
  <c r="Z151"/>
  <c r="AA151"/>
  <c r="AB151"/>
  <c r="AC151"/>
  <c r="AD151"/>
  <c r="AE151"/>
  <c r="AF151"/>
  <c r="AG151"/>
  <c r="AH151"/>
  <c r="AI151"/>
  <c r="AJ151"/>
  <c r="AK151"/>
  <c r="AL151"/>
  <c r="AM151"/>
  <c r="AN151"/>
  <c r="AO151"/>
  <c r="AP151"/>
  <c r="AQ151"/>
  <c r="AR151"/>
  <c r="AS151"/>
  <c r="AT151"/>
  <c r="AU151"/>
  <c r="AV151"/>
  <c r="AW151"/>
  <c r="AX151"/>
  <c r="AY151"/>
  <c r="AZ151"/>
  <c r="BA151"/>
  <c r="BB151"/>
  <c r="BC151"/>
  <c r="BD151"/>
  <c r="BE151"/>
  <c r="BF151"/>
  <c r="BG151"/>
  <c r="BH151"/>
  <c r="BI151"/>
  <c r="BJ151"/>
  <c r="BK151"/>
  <c r="BL151"/>
  <c r="BM151"/>
  <c r="BN151"/>
  <c r="BO151"/>
  <c r="BP151"/>
  <c r="BQ151"/>
  <c r="BR151"/>
  <c r="BS151"/>
  <c r="BT151"/>
  <c r="BU151"/>
  <c r="BV151"/>
  <c r="BW151"/>
  <c r="BX151"/>
  <c r="BY151"/>
  <c r="BZ151"/>
  <c r="CA151"/>
  <c r="CB151"/>
  <c r="CC151"/>
  <c r="CD151"/>
  <c r="CE151"/>
  <c r="CF151"/>
  <c r="CG151"/>
  <c r="CH151"/>
  <c r="CI151"/>
  <c r="CJ151"/>
  <c r="CK151"/>
  <c r="CL151"/>
  <c r="CM151"/>
  <c r="CN151"/>
  <c r="CO151"/>
  <c r="CP151"/>
  <c r="CQ151"/>
  <c r="CR151"/>
  <c r="CS151"/>
  <c r="CT151"/>
  <c r="CU151"/>
  <c r="CV151"/>
  <c r="CW151"/>
  <c r="CX151"/>
  <c r="CY151"/>
  <c r="CZ151"/>
  <c r="DA151"/>
  <c r="DB151"/>
  <c r="DC151"/>
  <c r="DD151"/>
  <c r="DE151"/>
  <c r="DF151"/>
  <c r="DG151"/>
  <c r="DH151"/>
  <c r="DI151"/>
  <c r="DJ151"/>
  <c r="DK151"/>
  <c r="DL151"/>
  <c r="DM151"/>
  <c r="DN151"/>
  <c r="DO151"/>
  <c r="DP151"/>
  <c r="DQ151"/>
  <c r="DR151"/>
  <c r="DS151"/>
  <c r="DT151"/>
  <c r="DU151"/>
  <c r="DV151"/>
  <c r="DW151"/>
  <c r="DX151"/>
  <c r="DY151"/>
  <c r="DZ151"/>
  <c r="EA151"/>
  <c r="EB151"/>
  <c r="EC151"/>
  <c r="ED151"/>
  <c r="EE151"/>
  <c r="EF151"/>
  <c r="EG151"/>
  <c r="EH151"/>
  <c r="EI151"/>
  <c r="EJ151"/>
  <c r="EK151"/>
  <c r="EL151"/>
  <c r="EM151"/>
  <c r="EN151"/>
  <c r="EO151"/>
  <c r="EP151"/>
  <c r="EQ151"/>
  <c r="ER151"/>
  <c r="ES151"/>
  <c r="ET151"/>
  <c r="EU151"/>
  <c r="EV151"/>
  <c r="EW151"/>
  <c r="EX151"/>
  <c r="EY151"/>
  <c r="EZ151"/>
  <c r="FA151"/>
  <c r="FB151"/>
  <c r="FC151"/>
  <c r="FD151"/>
  <c r="FE151"/>
  <c r="FF151"/>
  <c r="FG151"/>
  <c r="FH151"/>
  <c r="FI151"/>
  <c r="FJ151"/>
  <c r="FK151"/>
  <c r="FL151"/>
  <c r="FM151"/>
  <c r="FN151"/>
  <c r="FO151"/>
  <c r="FP151"/>
  <c r="FQ151"/>
  <c r="FR151"/>
  <c r="FS151"/>
  <c r="FT151"/>
  <c r="FU151"/>
  <c r="FV151"/>
  <c r="FW151"/>
  <c r="FX151"/>
  <c r="FY151"/>
  <c r="FZ151"/>
  <c r="GA151"/>
  <c r="GB151"/>
  <c r="GC151"/>
  <c r="GD151"/>
  <c r="GE151"/>
  <c r="GF151"/>
  <c r="GG151"/>
  <c r="GH151"/>
  <c r="GI151"/>
  <c r="GJ151"/>
  <c r="GK151"/>
  <c r="GL151"/>
  <c r="GM151"/>
  <c r="GN151"/>
  <c r="GO151"/>
  <c r="GP151"/>
  <c r="GQ151"/>
  <c r="GR151"/>
  <c r="GS151"/>
  <c r="GT151"/>
  <c r="GU151"/>
  <c r="GV151"/>
  <c r="GW151"/>
  <c r="GX151"/>
  <c r="GY151"/>
  <c r="GZ151"/>
  <c r="HA151"/>
  <c r="HB151"/>
  <c r="HC151"/>
  <c r="HD151"/>
  <c r="HE151"/>
  <c r="HF151"/>
  <c r="HG151"/>
  <c r="HH151"/>
  <c r="HI151"/>
  <c r="HJ151"/>
  <c r="HK151"/>
  <c r="HL151"/>
  <c r="HM151"/>
  <c r="HN151"/>
  <c r="HO151"/>
  <c r="HP151"/>
  <c r="HQ151"/>
  <c r="HR151"/>
  <c r="HS151"/>
  <c r="HT151"/>
  <c r="HU151"/>
  <c r="HV151"/>
  <c r="HW151"/>
  <c r="HX151"/>
  <c r="HY151"/>
  <c r="HZ151"/>
  <c r="IA151"/>
  <c r="IB151"/>
  <c r="IC151"/>
  <c r="ID151"/>
  <c r="IE151"/>
  <c r="IF151"/>
  <c r="IG151"/>
  <c r="IH151"/>
  <c r="II151"/>
  <c r="IJ151"/>
  <c r="IK151"/>
  <c r="IL151"/>
  <c r="IM151"/>
  <c r="IN151"/>
  <c r="IO151"/>
  <c r="IP151"/>
  <c r="IQ151"/>
  <c r="IR151"/>
  <c r="IS151"/>
  <c r="IT151"/>
  <c r="IU151"/>
  <c r="IV151"/>
  <c r="A150"/>
  <c r="B150"/>
  <c r="C150"/>
  <c r="D150"/>
  <c r="E150"/>
  <c r="F150"/>
  <c r="G150"/>
  <c r="H150"/>
  <c r="I150"/>
  <c r="J150"/>
  <c r="K150"/>
  <c r="L150"/>
  <c r="M150"/>
  <c r="N150"/>
  <c r="O150"/>
  <c r="P150"/>
  <c r="Q150"/>
  <c r="R150"/>
  <c r="S150"/>
  <c r="T150"/>
  <c r="U150"/>
  <c r="V150"/>
  <c r="W150"/>
  <c r="X150"/>
  <c r="Y150"/>
  <c r="Z150"/>
  <c r="AA150"/>
  <c r="AB150"/>
  <c r="AC150"/>
  <c r="AD150"/>
  <c r="AE150"/>
  <c r="AF150"/>
  <c r="AG150"/>
  <c r="AH150"/>
  <c r="AI150"/>
  <c r="AJ150"/>
  <c r="AK150"/>
  <c r="AL150"/>
  <c r="AM150"/>
  <c r="AN150"/>
  <c r="AO150"/>
  <c r="AP150"/>
  <c r="AQ150"/>
  <c r="AR150"/>
  <c r="AS150"/>
  <c r="AT150"/>
  <c r="AU150"/>
  <c r="AV150"/>
  <c r="AW150"/>
  <c r="AX150"/>
  <c r="AY150"/>
  <c r="AZ150"/>
  <c r="BA150"/>
  <c r="BB150"/>
  <c r="BC150"/>
  <c r="BD150"/>
  <c r="BE150"/>
  <c r="BF150"/>
  <c r="BG150"/>
  <c r="BH150"/>
  <c r="BI150"/>
  <c r="BJ150"/>
  <c r="BK150"/>
  <c r="BL150"/>
  <c r="BM150"/>
  <c r="BN150"/>
  <c r="BO150"/>
  <c r="BP150"/>
  <c r="BQ150"/>
  <c r="BR150"/>
  <c r="BS150"/>
  <c r="BT150"/>
  <c r="BU150"/>
  <c r="BV150"/>
  <c r="BW150"/>
  <c r="BX150"/>
  <c r="BY150"/>
  <c r="BZ150"/>
  <c r="CA150"/>
  <c r="CB150"/>
  <c r="CC150"/>
  <c r="CD150"/>
  <c r="CE150"/>
  <c r="CF150"/>
  <c r="CG150"/>
  <c r="CH150"/>
  <c r="CI150"/>
  <c r="CJ150"/>
  <c r="CK150"/>
  <c r="CL150"/>
  <c r="CM150"/>
  <c r="CN150"/>
  <c r="CO150"/>
  <c r="CP150"/>
  <c r="CQ150"/>
  <c r="CR150"/>
  <c r="CS150"/>
  <c r="CT150"/>
  <c r="CU150"/>
  <c r="CV150"/>
  <c r="CW150"/>
  <c r="CX150"/>
  <c r="CY150"/>
  <c r="CZ150"/>
  <c r="DA150"/>
  <c r="DB150"/>
  <c r="DC150"/>
  <c r="DD150"/>
  <c r="DE150"/>
  <c r="DF150"/>
  <c r="DG150"/>
  <c r="DH150"/>
  <c r="DI150"/>
  <c r="DJ150"/>
  <c r="DK150"/>
  <c r="DL150"/>
  <c r="DM150"/>
  <c r="DN150"/>
  <c r="DO150"/>
  <c r="DP150"/>
  <c r="DQ150"/>
  <c r="DR150"/>
  <c r="DS150"/>
  <c r="DT150"/>
  <c r="DU150"/>
  <c r="DV150"/>
  <c r="DW150"/>
  <c r="DX150"/>
  <c r="DY150"/>
  <c r="DZ150"/>
  <c r="EA150"/>
  <c r="EB150"/>
  <c r="EC150"/>
  <c r="ED150"/>
  <c r="EE150"/>
  <c r="EF150"/>
  <c r="EG150"/>
  <c r="EH150"/>
  <c r="EI150"/>
  <c r="EJ150"/>
  <c r="EK150"/>
  <c r="EL150"/>
  <c r="EM150"/>
  <c r="EN150"/>
  <c r="EO150"/>
  <c r="EP150"/>
  <c r="EQ150"/>
  <c r="ER150"/>
  <c r="ES150"/>
  <c r="ET150"/>
  <c r="EU150"/>
  <c r="EV150"/>
  <c r="EW150"/>
  <c r="EX150"/>
  <c r="EY150"/>
  <c r="EZ150"/>
  <c r="FA150"/>
  <c r="FB150"/>
  <c r="FC150"/>
  <c r="FD150"/>
  <c r="FE150"/>
  <c r="FF150"/>
  <c r="FG150"/>
  <c r="FH150"/>
  <c r="FI150"/>
  <c r="FJ150"/>
  <c r="FK150"/>
  <c r="FL150"/>
  <c r="FM150"/>
  <c r="FN150"/>
  <c r="FO150"/>
  <c r="FP150"/>
  <c r="FQ150"/>
  <c r="FR150"/>
  <c r="FS150"/>
  <c r="FT150"/>
  <c r="FU150"/>
  <c r="FV150"/>
  <c r="FW150"/>
  <c r="FX150"/>
  <c r="FY150"/>
  <c r="FZ150"/>
  <c r="GA150"/>
  <c r="GB150"/>
  <c r="GC150"/>
  <c r="GD150"/>
  <c r="GE150"/>
  <c r="GF150"/>
  <c r="GG150"/>
  <c r="GH150"/>
  <c r="GI150"/>
  <c r="GJ150"/>
  <c r="GK150"/>
  <c r="GL150"/>
  <c r="GM150"/>
  <c r="GN150"/>
  <c r="GO150"/>
  <c r="GP150"/>
  <c r="GQ150"/>
  <c r="GR150"/>
  <c r="GS150"/>
  <c r="GT150"/>
  <c r="GU150"/>
  <c r="GV150"/>
  <c r="GW150"/>
  <c r="GX150"/>
  <c r="GY150"/>
  <c r="GZ150"/>
  <c r="HA150"/>
  <c r="HB150"/>
  <c r="HC150"/>
  <c r="HD150"/>
  <c r="HE150"/>
  <c r="HF150"/>
  <c r="HG150"/>
  <c r="HH150"/>
  <c r="HI150"/>
  <c r="HJ150"/>
  <c r="HK150"/>
  <c r="HL150"/>
  <c r="HM150"/>
  <c r="HN150"/>
  <c r="HO150"/>
  <c r="HP150"/>
  <c r="HQ150"/>
  <c r="HR150"/>
  <c r="HS150"/>
  <c r="HT150"/>
  <c r="HU150"/>
  <c r="HV150"/>
  <c r="HW150"/>
  <c r="HX150"/>
  <c r="HY150"/>
  <c r="HZ150"/>
  <c r="IA150"/>
  <c r="IB150"/>
  <c r="IC150"/>
  <c r="ID150"/>
  <c r="IE150"/>
  <c r="IF150"/>
  <c r="IG150"/>
  <c r="IH150"/>
  <c r="II150"/>
  <c r="IJ150"/>
  <c r="IK150"/>
  <c r="IL150"/>
  <c r="IM150"/>
  <c r="IN150"/>
  <c r="IO150"/>
  <c r="IP150"/>
  <c r="IQ150"/>
  <c r="IR150"/>
  <c r="IS150"/>
  <c r="IT150"/>
  <c r="IU150"/>
  <c r="IV150"/>
  <c r="A149"/>
  <c r="B149"/>
  <c r="C149"/>
  <c r="D149"/>
  <c r="E149"/>
  <c r="F149"/>
  <c r="G149"/>
  <c r="H149"/>
  <c r="I149"/>
  <c r="J149"/>
  <c r="K149"/>
  <c r="L149"/>
  <c r="M149"/>
  <c r="N149"/>
  <c r="O149"/>
  <c r="P149"/>
  <c r="Q149"/>
  <c r="R149"/>
  <c r="S149"/>
  <c r="T149"/>
  <c r="U149"/>
  <c r="V149"/>
  <c r="W149"/>
  <c r="X149"/>
  <c r="Y149"/>
  <c r="Z149"/>
  <c r="AA149"/>
  <c r="AB149"/>
  <c r="AC149"/>
  <c r="AD149"/>
  <c r="AE149"/>
  <c r="AF149"/>
  <c r="AG149"/>
  <c r="AH149"/>
  <c r="AI149"/>
  <c r="AJ149"/>
  <c r="AK149"/>
  <c r="AL149"/>
  <c r="AM149"/>
  <c r="AN149"/>
  <c r="AO149"/>
  <c r="AP149"/>
  <c r="AQ149"/>
  <c r="AR149"/>
  <c r="AS149"/>
  <c r="AT149"/>
  <c r="AU149"/>
  <c r="AV149"/>
  <c r="AW149"/>
  <c r="AX149"/>
  <c r="AY149"/>
  <c r="AZ149"/>
  <c r="BA149"/>
  <c r="BB149"/>
  <c r="BC149"/>
  <c r="BD149"/>
  <c r="BE149"/>
  <c r="BF149"/>
  <c r="BG149"/>
  <c r="BH149"/>
  <c r="BI149"/>
  <c r="BJ149"/>
  <c r="BK149"/>
  <c r="BL149"/>
  <c r="BM149"/>
  <c r="BN149"/>
  <c r="BO149"/>
  <c r="BP149"/>
  <c r="BQ149"/>
  <c r="BR149"/>
  <c r="BS149"/>
  <c r="BT149"/>
  <c r="BU149"/>
  <c r="BV149"/>
  <c r="BW149"/>
  <c r="BX149"/>
  <c r="BY149"/>
  <c r="BZ149"/>
  <c r="CA149"/>
  <c r="CB149"/>
  <c r="CC149"/>
  <c r="CD149"/>
  <c r="CE149"/>
  <c r="CF149"/>
  <c r="CG149"/>
  <c r="CH149"/>
  <c r="CI149"/>
  <c r="CJ149"/>
  <c r="CK149"/>
  <c r="CL149"/>
  <c r="CM149"/>
  <c r="CN149"/>
  <c r="CO149"/>
  <c r="CP149"/>
  <c r="CQ149"/>
  <c r="CR149"/>
  <c r="CS149"/>
  <c r="CT149"/>
  <c r="CU149"/>
  <c r="CV149"/>
  <c r="CW149"/>
  <c r="CX149"/>
  <c r="CY149"/>
  <c r="CZ149"/>
  <c r="DA149"/>
  <c r="DB149"/>
  <c r="DC149"/>
  <c r="DD149"/>
  <c r="DE149"/>
  <c r="DF149"/>
  <c r="DG149"/>
  <c r="DH149"/>
  <c r="DI149"/>
  <c r="DJ149"/>
  <c r="DK149"/>
  <c r="DL149"/>
  <c r="DM149"/>
  <c r="DN149"/>
  <c r="DO149"/>
  <c r="DP149"/>
  <c r="DQ149"/>
  <c r="DR149"/>
  <c r="DS149"/>
  <c r="DT149"/>
  <c r="DU149"/>
  <c r="DV149"/>
  <c r="DW149"/>
  <c r="DX149"/>
  <c r="DY149"/>
  <c r="DZ149"/>
  <c r="EA149"/>
  <c r="EB149"/>
  <c r="EC149"/>
  <c r="ED149"/>
  <c r="EE149"/>
  <c r="EF149"/>
  <c r="EG149"/>
  <c r="EH149"/>
  <c r="EI149"/>
  <c r="EJ149"/>
  <c r="EK149"/>
  <c r="EL149"/>
  <c r="EM149"/>
  <c r="EN149"/>
  <c r="EO149"/>
  <c r="EP149"/>
  <c r="EQ149"/>
  <c r="ER149"/>
  <c r="ES149"/>
  <c r="ET149"/>
  <c r="EU149"/>
  <c r="EV149"/>
  <c r="EW149"/>
  <c r="EX149"/>
  <c r="EY149"/>
  <c r="EZ149"/>
  <c r="FA149"/>
  <c r="FB149"/>
  <c r="FC149"/>
  <c r="FD149"/>
  <c r="FE149"/>
  <c r="FF149"/>
  <c r="FG149"/>
  <c r="FH149"/>
  <c r="FI149"/>
  <c r="FJ149"/>
  <c r="FK149"/>
  <c r="FL149"/>
  <c r="FM149"/>
  <c r="FN149"/>
  <c r="FO149"/>
  <c r="FP149"/>
  <c r="FQ149"/>
  <c r="FR149"/>
  <c r="FS149"/>
  <c r="FT149"/>
  <c r="FU149"/>
  <c r="FV149"/>
  <c r="FW149"/>
  <c r="FX149"/>
  <c r="FY149"/>
  <c r="FZ149"/>
  <c r="GA149"/>
  <c r="GB149"/>
  <c r="GC149"/>
  <c r="GD149"/>
  <c r="GE149"/>
  <c r="GF149"/>
  <c r="GG149"/>
  <c r="GH149"/>
  <c r="GI149"/>
  <c r="GJ149"/>
  <c r="GK149"/>
  <c r="GL149"/>
  <c r="GM149"/>
  <c r="GN149"/>
  <c r="GO149"/>
  <c r="GP149"/>
  <c r="GQ149"/>
  <c r="GR149"/>
  <c r="GS149"/>
  <c r="GT149"/>
  <c r="GU149"/>
  <c r="GV149"/>
  <c r="GW149"/>
  <c r="GX149"/>
  <c r="GY149"/>
  <c r="GZ149"/>
  <c r="HA149"/>
  <c r="HB149"/>
  <c r="HC149"/>
  <c r="HD149"/>
  <c r="HE149"/>
  <c r="HF149"/>
  <c r="HG149"/>
  <c r="HH149"/>
  <c r="HI149"/>
  <c r="HJ149"/>
  <c r="HK149"/>
  <c r="HL149"/>
  <c r="HM149"/>
  <c r="HN149"/>
  <c r="HO149"/>
  <c r="HP149"/>
  <c r="HQ149"/>
  <c r="HR149"/>
  <c r="HS149"/>
  <c r="HT149"/>
  <c r="HU149"/>
  <c r="HV149"/>
  <c r="HW149"/>
  <c r="HX149"/>
  <c r="HY149"/>
  <c r="HZ149"/>
  <c r="IA149"/>
  <c r="IB149"/>
  <c r="IC149"/>
  <c r="ID149"/>
  <c r="IE149"/>
  <c r="IF149"/>
  <c r="IG149"/>
  <c r="IH149"/>
  <c r="II149"/>
  <c r="IJ149"/>
  <c r="IK149"/>
  <c r="IL149"/>
  <c r="IM149"/>
  <c r="IN149"/>
  <c r="IO149"/>
  <c r="IP149"/>
  <c r="IQ149"/>
  <c r="IR149"/>
  <c r="IS149"/>
  <c r="IT149"/>
  <c r="IU149"/>
  <c r="IV149"/>
  <c r="A148"/>
  <c r="B148"/>
  <c r="C148"/>
  <c r="D148"/>
  <c r="E148"/>
  <c r="F148"/>
  <c r="G148"/>
  <c r="H148"/>
  <c r="I148"/>
  <c r="J148"/>
  <c r="K148"/>
  <c r="L148"/>
  <c r="M148"/>
  <c r="N148"/>
  <c r="O148"/>
  <c r="P148"/>
  <c r="Q148"/>
  <c r="R148"/>
  <c r="S148"/>
  <c r="T148"/>
  <c r="U148"/>
  <c r="V148"/>
  <c r="W148"/>
  <c r="X148"/>
  <c r="Y148"/>
  <c r="Z148"/>
  <c r="AA148"/>
  <c r="AB148"/>
  <c r="AC148"/>
  <c r="AD148"/>
  <c r="AE148"/>
  <c r="AF148"/>
  <c r="AG148"/>
  <c r="AH148"/>
  <c r="AI148"/>
  <c r="AJ148"/>
  <c r="AK148"/>
  <c r="AL148"/>
  <c r="AM148"/>
  <c r="AN148"/>
  <c r="AO148"/>
  <c r="AP148"/>
  <c r="AQ148"/>
  <c r="AR148"/>
  <c r="AS148"/>
  <c r="AT148"/>
  <c r="AU148"/>
  <c r="AV148"/>
  <c r="AW148"/>
  <c r="AX148"/>
  <c r="AY148"/>
  <c r="AZ148"/>
  <c r="BA148"/>
  <c r="BB148"/>
  <c r="BC148"/>
  <c r="BD148"/>
  <c r="BE148"/>
  <c r="BF148"/>
  <c r="BG148"/>
  <c r="BH148"/>
  <c r="BI148"/>
  <c r="BJ148"/>
  <c r="BK148"/>
  <c r="BL148"/>
  <c r="BM148"/>
  <c r="BN148"/>
  <c r="BO148"/>
  <c r="BP148"/>
  <c r="BQ148"/>
  <c r="BR148"/>
  <c r="BS148"/>
  <c r="BT148"/>
  <c r="BU148"/>
  <c r="BV148"/>
  <c r="BW148"/>
  <c r="BX148"/>
  <c r="BY148"/>
  <c r="BZ148"/>
  <c r="CA148"/>
  <c r="CB148"/>
  <c r="CC148"/>
  <c r="CD148"/>
  <c r="CE148"/>
  <c r="CF148"/>
  <c r="CG148"/>
  <c r="CH148"/>
  <c r="CI148"/>
  <c r="CJ148"/>
  <c r="CK148"/>
  <c r="CL148"/>
  <c r="CM148"/>
  <c r="CN148"/>
  <c r="CO148"/>
  <c r="CP148"/>
  <c r="CQ148"/>
  <c r="CR148"/>
  <c r="CS148"/>
  <c r="CT148"/>
  <c r="CU148"/>
  <c r="CV148"/>
  <c r="CW148"/>
  <c r="CX148"/>
  <c r="CY148"/>
  <c r="CZ148"/>
  <c r="DA148"/>
  <c r="DB148"/>
  <c r="DC148"/>
  <c r="DD148"/>
  <c r="DE148"/>
  <c r="DF148"/>
  <c r="DG148"/>
  <c r="DH148"/>
  <c r="DI148"/>
  <c r="DJ148"/>
  <c r="DK148"/>
  <c r="DL148"/>
  <c r="DM148"/>
  <c r="DN148"/>
  <c r="DO148"/>
  <c r="DP148"/>
  <c r="DQ148"/>
  <c r="DR148"/>
  <c r="DS148"/>
  <c r="DT148"/>
  <c r="DU148"/>
  <c r="DV148"/>
  <c r="DW148"/>
  <c r="DX148"/>
  <c r="DY148"/>
  <c r="DZ148"/>
  <c r="EA148"/>
  <c r="EB148"/>
  <c r="EC148"/>
  <c r="ED148"/>
  <c r="EE148"/>
  <c r="EF148"/>
  <c r="EG148"/>
  <c r="EH148"/>
  <c r="EI148"/>
  <c r="EJ148"/>
  <c r="EK148"/>
  <c r="EL148"/>
  <c r="EM148"/>
  <c r="EN148"/>
  <c r="EO148"/>
  <c r="EP148"/>
  <c r="EQ148"/>
  <c r="ER148"/>
  <c r="ES148"/>
  <c r="ET148"/>
  <c r="EU148"/>
  <c r="EV148"/>
  <c r="EW148"/>
  <c r="EX148"/>
  <c r="EY148"/>
  <c r="EZ148"/>
  <c r="FA148"/>
  <c r="FB148"/>
  <c r="FC148"/>
  <c r="FD148"/>
  <c r="FE148"/>
  <c r="FF148"/>
  <c r="FG148"/>
  <c r="FH148"/>
  <c r="FI148"/>
  <c r="FJ148"/>
  <c r="FK148"/>
  <c r="FL148"/>
  <c r="FM148"/>
  <c r="FN148"/>
  <c r="FO148"/>
  <c r="FP148"/>
  <c r="FQ148"/>
  <c r="FR148"/>
  <c r="FS148"/>
  <c r="FT148"/>
  <c r="FU148"/>
  <c r="FV148"/>
  <c r="FW148"/>
  <c r="FX148"/>
  <c r="FY148"/>
  <c r="FZ148"/>
  <c r="GA148"/>
  <c r="GB148"/>
  <c r="GC148"/>
  <c r="GD148"/>
  <c r="GE148"/>
  <c r="GF148"/>
  <c r="GG148"/>
  <c r="GH148"/>
  <c r="GI148"/>
  <c r="GJ148"/>
  <c r="GK148"/>
  <c r="GL148"/>
  <c r="GM148"/>
  <c r="GN148"/>
  <c r="GO148"/>
  <c r="GP148"/>
  <c r="GQ148"/>
  <c r="GR148"/>
  <c r="GS148"/>
  <c r="GT148"/>
  <c r="GU148"/>
  <c r="GV148"/>
  <c r="GW148"/>
  <c r="GX148"/>
  <c r="GY148"/>
  <c r="GZ148"/>
  <c r="HA148"/>
  <c r="HB148"/>
  <c r="HC148"/>
  <c r="HD148"/>
  <c r="HE148"/>
  <c r="HF148"/>
  <c r="HG148"/>
  <c r="HH148"/>
  <c r="HI148"/>
  <c r="HJ148"/>
  <c r="HK148"/>
  <c r="HL148"/>
  <c r="HM148"/>
  <c r="HN148"/>
  <c r="HO148"/>
  <c r="HP148"/>
  <c r="HQ148"/>
  <c r="HR148"/>
  <c r="HS148"/>
  <c r="HT148"/>
  <c r="HU148"/>
  <c r="HV148"/>
  <c r="HW148"/>
  <c r="HX148"/>
  <c r="HY148"/>
  <c r="HZ148"/>
  <c r="IA148"/>
  <c r="IB148"/>
  <c r="IC148"/>
  <c r="ID148"/>
  <c r="IE148"/>
  <c r="IF148"/>
  <c r="IG148"/>
  <c r="IH148"/>
  <c r="II148"/>
  <c r="IJ148"/>
  <c r="IK148"/>
  <c r="IL148"/>
  <c r="IM148"/>
  <c r="IN148"/>
  <c r="IO148"/>
  <c r="IP148"/>
  <c r="IQ148"/>
  <c r="IR148"/>
  <c r="IS148"/>
  <c r="IT148"/>
  <c r="IU148"/>
  <c r="IV148"/>
  <c r="A147"/>
  <c r="B147"/>
  <c r="C147"/>
  <c r="D147"/>
  <c r="E147"/>
  <c r="F147"/>
  <c r="G147"/>
  <c r="H147"/>
  <c r="I147"/>
  <c r="J147"/>
  <c r="K147"/>
  <c r="L147"/>
  <c r="M147"/>
  <c r="N147"/>
  <c r="O147"/>
  <c r="P147"/>
  <c r="Q147"/>
  <c r="R147"/>
  <c r="S147"/>
  <c r="T147"/>
  <c r="U147"/>
  <c r="V147"/>
  <c r="W147"/>
  <c r="X147"/>
  <c r="Y147"/>
  <c r="Z147"/>
  <c r="AA147"/>
  <c r="AB147"/>
  <c r="AC147"/>
  <c r="AD147"/>
  <c r="AE147"/>
  <c r="AF147"/>
  <c r="AG147"/>
  <c r="AH147"/>
  <c r="AI147"/>
  <c r="AJ147"/>
  <c r="AK147"/>
  <c r="AL147"/>
  <c r="AM147"/>
  <c r="AN147"/>
  <c r="AO147"/>
  <c r="AP147"/>
  <c r="AQ147"/>
  <c r="AR147"/>
  <c r="AS147"/>
  <c r="AT147"/>
  <c r="AU147"/>
  <c r="AV147"/>
  <c r="AW147"/>
  <c r="AX147"/>
  <c r="AY147"/>
  <c r="AZ147"/>
  <c r="BA147"/>
  <c r="BB147"/>
  <c r="BC147"/>
  <c r="BD147"/>
  <c r="BE147"/>
  <c r="BF147"/>
  <c r="BG147"/>
  <c r="BH147"/>
  <c r="BI147"/>
  <c r="BJ147"/>
  <c r="BK147"/>
  <c r="BL147"/>
  <c r="BM147"/>
  <c r="BN147"/>
  <c r="BO147"/>
  <c r="BP147"/>
  <c r="BQ147"/>
  <c r="BR147"/>
  <c r="BS147"/>
  <c r="BT147"/>
  <c r="BU147"/>
  <c r="BV147"/>
  <c r="BW147"/>
  <c r="BX147"/>
  <c r="BY147"/>
  <c r="BZ147"/>
  <c r="CA147"/>
  <c r="CB147"/>
  <c r="CC147"/>
  <c r="CD147"/>
  <c r="CE147"/>
  <c r="CF147"/>
  <c r="CG147"/>
  <c r="CH147"/>
  <c r="CI147"/>
  <c r="CJ147"/>
  <c r="CK147"/>
  <c r="CL147"/>
  <c r="CM147"/>
  <c r="CN147"/>
  <c r="CO147"/>
  <c r="CP147"/>
  <c r="CQ147"/>
  <c r="CR147"/>
  <c r="CS147"/>
  <c r="CT147"/>
  <c r="CU147"/>
  <c r="CV147"/>
  <c r="CW147"/>
  <c r="CX147"/>
  <c r="CY147"/>
  <c r="CZ147"/>
  <c r="DA147"/>
  <c r="DB147"/>
  <c r="DC147"/>
  <c r="DD147"/>
  <c r="DE147"/>
  <c r="DF147"/>
  <c r="DG147"/>
  <c r="DH147"/>
  <c r="DI147"/>
  <c r="DJ147"/>
  <c r="DK147"/>
  <c r="DL147"/>
  <c r="DM147"/>
  <c r="DN147"/>
  <c r="DO147"/>
  <c r="DP147"/>
  <c r="DQ147"/>
  <c r="DR147"/>
  <c r="DS147"/>
  <c r="DT147"/>
  <c r="DU147"/>
  <c r="DV147"/>
  <c r="DW147"/>
  <c r="DX147"/>
  <c r="DY147"/>
  <c r="DZ147"/>
  <c r="EA147"/>
  <c r="EB147"/>
  <c r="EC147"/>
  <c r="ED147"/>
  <c r="EE147"/>
  <c r="EF147"/>
  <c r="EG147"/>
  <c r="EH147"/>
  <c r="EI147"/>
  <c r="EJ147"/>
  <c r="EK147"/>
  <c r="EL147"/>
  <c r="EM147"/>
  <c r="EN147"/>
  <c r="EO147"/>
  <c r="EP147"/>
  <c r="EQ147"/>
  <c r="ER147"/>
  <c r="ES147"/>
  <c r="ET147"/>
  <c r="EU147"/>
  <c r="EV147"/>
  <c r="EW147"/>
  <c r="EX147"/>
  <c r="EY147"/>
  <c r="EZ147"/>
  <c r="FA147"/>
  <c r="FB147"/>
  <c r="FC147"/>
  <c r="FD147"/>
  <c r="FE147"/>
  <c r="FF147"/>
  <c r="FG147"/>
  <c r="FH147"/>
  <c r="FI147"/>
  <c r="FJ147"/>
  <c r="FK147"/>
  <c r="FL147"/>
  <c r="FM147"/>
  <c r="FN147"/>
  <c r="FO147"/>
  <c r="FP147"/>
  <c r="FQ147"/>
  <c r="FR147"/>
  <c r="FS147"/>
  <c r="FT147"/>
  <c r="FU147"/>
  <c r="FV147"/>
  <c r="FW147"/>
  <c r="FX147"/>
  <c r="FY147"/>
  <c r="FZ147"/>
  <c r="GA147"/>
  <c r="GB147"/>
  <c r="GC147"/>
  <c r="GD147"/>
  <c r="GE147"/>
  <c r="GF147"/>
  <c r="GG147"/>
  <c r="GH147"/>
  <c r="GI147"/>
  <c r="GJ147"/>
  <c r="GK147"/>
  <c r="GL147"/>
  <c r="GM147"/>
  <c r="GN147"/>
  <c r="GO147"/>
  <c r="GP147"/>
  <c r="GQ147"/>
  <c r="GR147"/>
  <c r="GS147"/>
  <c r="GT147"/>
  <c r="GU147"/>
  <c r="GV147"/>
  <c r="GW147"/>
  <c r="GX147"/>
  <c r="GY147"/>
  <c r="GZ147"/>
  <c r="HA147"/>
  <c r="HB147"/>
  <c r="HC147"/>
  <c r="HD147"/>
  <c r="HE147"/>
  <c r="HF147"/>
  <c r="HG147"/>
  <c r="HH147"/>
  <c r="HI147"/>
  <c r="HJ147"/>
  <c r="HK147"/>
  <c r="HL147"/>
  <c r="HM147"/>
  <c r="HN147"/>
  <c r="HO147"/>
  <c r="HP147"/>
  <c r="HQ147"/>
  <c r="HR147"/>
  <c r="HS147"/>
  <c r="HT147"/>
  <c r="HU147"/>
  <c r="HV147"/>
  <c r="HW147"/>
  <c r="HX147"/>
  <c r="HY147"/>
  <c r="HZ147"/>
  <c r="IA147"/>
  <c r="IB147"/>
  <c r="IC147"/>
  <c r="ID147"/>
  <c r="IE147"/>
  <c r="IF147"/>
  <c r="IG147"/>
  <c r="IH147"/>
  <c r="II147"/>
  <c r="IJ147"/>
  <c r="IK147"/>
  <c r="IL147"/>
  <c r="IM147"/>
  <c r="IN147"/>
  <c r="IO147"/>
  <c r="IP147"/>
  <c r="IQ147"/>
  <c r="IR147"/>
  <c r="IS147"/>
  <c r="IT147"/>
  <c r="IU147"/>
  <c r="IV147"/>
  <c r="A146"/>
  <c r="B146"/>
  <c r="C146"/>
  <c r="D146"/>
  <c r="E146"/>
  <c r="F146"/>
  <c r="G146"/>
  <c r="H146"/>
  <c r="I146"/>
  <c r="J146"/>
  <c r="K146"/>
  <c r="L146"/>
  <c r="M146"/>
  <c r="N146"/>
  <c r="O146"/>
  <c r="P146"/>
  <c r="Q146"/>
  <c r="R146"/>
  <c r="S146"/>
  <c r="T146"/>
  <c r="U146"/>
  <c r="V146"/>
  <c r="W146"/>
  <c r="X146"/>
  <c r="Y146"/>
  <c r="Z146"/>
  <c r="AA146"/>
  <c r="AB146"/>
  <c r="AC146"/>
  <c r="AD146"/>
  <c r="AE146"/>
  <c r="AF146"/>
  <c r="AG146"/>
  <c r="AH146"/>
  <c r="AI146"/>
  <c r="AJ146"/>
  <c r="AK146"/>
  <c r="AL146"/>
  <c r="AM146"/>
  <c r="AN146"/>
  <c r="AO146"/>
  <c r="AP146"/>
  <c r="AQ146"/>
  <c r="AR146"/>
  <c r="AS146"/>
  <c r="AT146"/>
  <c r="AU146"/>
  <c r="AV146"/>
  <c r="AW146"/>
  <c r="AX146"/>
  <c r="AY146"/>
  <c r="AZ146"/>
  <c r="BA146"/>
  <c r="BB146"/>
  <c r="BC146"/>
  <c r="BD146"/>
  <c r="BE146"/>
  <c r="BF146"/>
  <c r="BG146"/>
  <c r="BH146"/>
  <c r="BI146"/>
  <c r="BJ146"/>
  <c r="BK146"/>
  <c r="BL146"/>
  <c r="BM146"/>
  <c r="BN146"/>
  <c r="BO146"/>
  <c r="BP146"/>
  <c r="BQ146"/>
  <c r="BR146"/>
  <c r="BS146"/>
  <c r="BT146"/>
  <c r="BU146"/>
  <c r="BV146"/>
  <c r="BW146"/>
  <c r="BX146"/>
  <c r="BY146"/>
  <c r="BZ146"/>
  <c r="CA146"/>
  <c r="CB146"/>
  <c r="CC146"/>
  <c r="CD146"/>
  <c r="CE146"/>
  <c r="CF146"/>
  <c r="CG146"/>
  <c r="CH146"/>
  <c r="CI146"/>
  <c r="CJ146"/>
  <c r="CK146"/>
  <c r="CL146"/>
  <c r="CM146"/>
  <c r="CN146"/>
  <c r="CO146"/>
  <c r="CP146"/>
  <c r="CQ146"/>
  <c r="CR146"/>
  <c r="CS146"/>
  <c r="CT146"/>
  <c r="CU146"/>
  <c r="CV146"/>
  <c r="CW146"/>
  <c r="CX146"/>
  <c r="CY146"/>
  <c r="CZ146"/>
  <c r="DA146"/>
  <c r="DB146"/>
  <c r="DC146"/>
  <c r="DD146"/>
  <c r="DE146"/>
  <c r="DF146"/>
  <c r="DG146"/>
  <c r="DH146"/>
  <c r="DI146"/>
  <c r="DJ146"/>
  <c r="DK146"/>
  <c r="DL146"/>
  <c r="DM146"/>
  <c r="DN146"/>
  <c r="DO146"/>
  <c r="DP146"/>
  <c r="DQ146"/>
  <c r="DR146"/>
  <c r="DS146"/>
  <c r="DT146"/>
  <c r="DU146"/>
  <c r="DV146"/>
  <c r="DW146"/>
  <c r="DX146"/>
  <c r="DY146"/>
  <c r="DZ146"/>
  <c r="EA146"/>
  <c r="EB146"/>
  <c r="EC146"/>
  <c r="ED146"/>
  <c r="EE146"/>
  <c r="EF146"/>
  <c r="EG146"/>
  <c r="EH146"/>
  <c r="EI146"/>
  <c r="EJ146"/>
  <c r="EK146"/>
  <c r="EL146"/>
  <c r="EM146"/>
  <c r="EN146"/>
  <c r="EO146"/>
  <c r="EP146"/>
  <c r="EQ146"/>
  <c r="ER146"/>
  <c r="ES146"/>
  <c r="ET146"/>
  <c r="EU146"/>
  <c r="EV146"/>
  <c r="EW146"/>
  <c r="EX146"/>
  <c r="EY146"/>
  <c r="EZ146"/>
  <c r="FA146"/>
  <c r="FB146"/>
  <c r="FC146"/>
  <c r="FD146"/>
  <c r="FE146"/>
  <c r="FF146"/>
  <c r="FG146"/>
  <c r="FH146"/>
  <c r="FI146"/>
  <c r="FJ146"/>
  <c r="FK146"/>
  <c r="FL146"/>
  <c r="FM146"/>
  <c r="FN146"/>
  <c r="FO146"/>
  <c r="FP146"/>
  <c r="FQ146"/>
  <c r="FR146"/>
  <c r="FS146"/>
  <c r="FT146"/>
  <c r="FU146"/>
  <c r="FV146"/>
  <c r="FW146"/>
  <c r="FX146"/>
  <c r="FY146"/>
  <c r="FZ146"/>
  <c r="GA146"/>
  <c r="GB146"/>
  <c r="GC146"/>
  <c r="GD146"/>
  <c r="GE146"/>
  <c r="GF146"/>
  <c r="GG146"/>
  <c r="GH146"/>
  <c r="GI146"/>
  <c r="GJ146"/>
  <c r="GK146"/>
  <c r="GL146"/>
  <c r="GM146"/>
  <c r="GN146"/>
  <c r="GO146"/>
  <c r="GP146"/>
  <c r="GQ146"/>
  <c r="GR146"/>
  <c r="GS146"/>
  <c r="GT146"/>
  <c r="GU146"/>
  <c r="GV146"/>
  <c r="GW146"/>
  <c r="GX146"/>
  <c r="GY146"/>
  <c r="GZ146"/>
  <c r="HA146"/>
  <c r="HB146"/>
  <c r="HC146"/>
  <c r="HD146"/>
  <c r="HE146"/>
  <c r="HF146"/>
  <c r="HG146"/>
  <c r="HH146"/>
  <c r="HI146"/>
  <c r="HJ146"/>
  <c r="HK146"/>
  <c r="HL146"/>
  <c r="HM146"/>
  <c r="HN146"/>
  <c r="HO146"/>
  <c r="HP146"/>
  <c r="HQ146"/>
  <c r="HR146"/>
  <c r="HS146"/>
  <c r="HT146"/>
  <c r="HU146"/>
  <c r="HV146"/>
  <c r="HW146"/>
  <c r="HX146"/>
  <c r="HY146"/>
  <c r="HZ146"/>
  <c r="IA146"/>
  <c r="IB146"/>
  <c r="IC146"/>
  <c r="ID146"/>
  <c r="IE146"/>
  <c r="IF146"/>
  <c r="IG146"/>
  <c r="IH146"/>
  <c r="II146"/>
  <c r="IJ146"/>
  <c r="IK146"/>
  <c r="IL146"/>
  <c r="IM146"/>
  <c r="IN146"/>
  <c r="IO146"/>
  <c r="IP146"/>
  <c r="IQ146"/>
  <c r="IR146"/>
  <c r="IS146"/>
  <c r="IT146"/>
  <c r="IU146"/>
  <c r="IV146"/>
  <c r="A145"/>
  <c r="B145"/>
  <c r="C145"/>
  <c r="D145"/>
  <c r="E145"/>
  <c r="F145"/>
  <c r="G145"/>
  <c r="H145"/>
  <c r="I145"/>
  <c r="J145"/>
  <c r="K145"/>
  <c r="L145"/>
  <c r="M145"/>
  <c r="N145"/>
  <c r="O145"/>
  <c r="P145"/>
  <c r="Q145"/>
  <c r="R145"/>
  <c r="S145"/>
  <c r="T145"/>
  <c r="U145"/>
  <c r="V145"/>
  <c r="W145"/>
  <c r="X145"/>
  <c r="Y145"/>
  <c r="Z145"/>
  <c r="AA145"/>
  <c r="AB145"/>
  <c r="AC145"/>
  <c r="AD145"/>
  <c r="AE145"/>
  <c r="AF145"/>
  <c r="AG145"/>
  <c r="AH145"/>
  <c r="AI145"/>
  <c r="AJ145"/>
  <c r="AK145"/>
  <c r="AL145"/>
  <c r="AM145"/>
  <c r="AN145"/>
  <c r="AO145"/>
  <c r="AP145"/>
  <c r="AQ145"/>
  <c r="AR145"/>
  <c r="AS145"/>
  <c r="AT145"/>
  <c r="AU145"/>
  <c r="AV145"/>
  <c r="AW145"/>
  <c r="AX145"/>
  <c r="AY145"/>
  <c r="AZ145"/>
  <c r="BA145"/>
  <c r="BB145"/>
  <c r="BC145"/>
  <c r="BD145"/>
  <c r="BE145"/>
  <c r="BF145"/>
  <c r="BG145"/>
  <c r="BH145"/>
  <c r="BI145"/>
  <c r="BJ145"/>
  <c r="BK145"/>
  <c r="BL145"/>
  <c r="BM145"/>
  <c r="BN145"/>
  <c r="BO145"/>
  <c r="BP145"/>
  <c r="BQ145"/>
  <c r="BR145"/>
  <c r="BS145"/>
  <c r="BT145"/>
  <c r="BU145"/>
  <c r="BV145"/>
  <c r="BW145"/>
  <c r="BX145"/>
  <c r="BY145"/>
  <c r="BZ145"/>
  <c r="CA145"/>
  <c r="CB145"/>
  <c r="CC145"/>
  <c r="CD145"/>
  <c r="CE145"/>
  <c r="CF145"/>
  <c r="CG145"/>
  <c r="CH145"/>
  <c r="CI145"/>
  <c r="CJ145"/>
  <c r="CK145"/>
  <c r="CL145"/>
  <c r="CM145"/>
  <c r="CN145"/>
  <c r="CO145"/>
  <c r="CP145"/>
  <c r="CQ145"/>
  <c r="CR145"/>
  <c r="CS145"/>
  <c r="CT145"/>
  <c r="CU145"/>
  <c r="CV145"/>
  <c r="CW145"/>
  <c r="CX145"/>
  <c r="CY145"/>
  <c r="CZ145"/>
  <c r="DA145"/>
  <c r="DB145"/>
  <c r="DC145"/>
  <c r="DD145"/>
  <c r="DE145"/>
  <c r="DF145"/>
  <c r="DG145"/>
  <c r="DH145"/>
  <c r="DI145"/>
  <c r="DJ145"/>
  <c r="DK145"/>
  <c r="DL145"/>
  <c r="DM145"/>
  <c r="DN145"/>
  <c r="DO145"/>
  <c r="DP145"/>
  <c r="DQ145"/>
  <c r="DR145"/>
  <c r="DS145"/>
  <c r="DT145"/>
  <c r="DU145"/>
  <c r="DV145"/>
  <c r="DW145"/>
  <c r="DX145"/>
  <c r="DY145"/>
  <c r="DZ145"/>
  <c r="EA145"/>
  <c r="EB145"/>
  <c r="EC145"/>
  <c r="ED145"/>
  <c r="EE145"/>
  <c r="EF145"/>
  <c r="EG145"/>
  <c r="EH145"/>
  <c r="EI145"/>
  <c r="EJ145"/>
  <c r="EK145"/>
  <c r="EL145"/>
  <c r="EM145"/>
  <c r="EN145"/>
  <c r="EO145"/>
  <c r="EP145"/>
  <c r="EQ145"/>
  <c r="ER145"/>
  <c r="ES145"/>
  <c r="ET145"/>
  <c r="EU145"/>
  <c r="EV145"/>
  <c r="EW145"/>
  <c r="EX145"/>
  <c r="EY145"/>
  <c r="EZ145"/>
  <c r="FA145"/>
  <c r="FB145"/>
  <c r="FC145"/>
  <c r="FD145"/>
  <c r="FE145"/>
  <c r="FF145"/>
  <c r="FG145"/>
  <c r="FH145"/>
  <c r="FI145"/>
  <c r="FJ145"/>
  <c r="FK145"/>
  <c r="FL145"/>
  <c r="FM145"/>
  <c r="FN145"/>
  <c r="FO145"/>
  <c r="FP145"/>
  <c r="FQ145"/>
  <c r="FR145"/>
  <c r="FS145"/>
  <c r="FT145"/>
  <c r="FU145"/>
  <c r="FV145"/>
  <c r="FW145"/>
  <c r="FX145"/>
  <c r="FY145"/>
  <c r="FZ145"/>
  <c r="GA145"/>
  <c r="GB145"/>
  <c r="GC145"/>
  <c r="GD145"/>
  <c r="GE145"/>
  <c r="GF145"/>
  <c r="GG145"/>
  <c r="GH145"/>
  <c r="GI145"/>
  <c r="GJ145"/>
  <c r="GK145"/>
  <c r="GL145"/>
  <c r="GM145"/>
  <c r="GN145"/>
  <c r="GO145"/>
  <c r="GP145"/>
  <c r="GQ145"/>
  <c r="GR145"/>
  <c r="GS145"/>
  <c r="GT145"/>
  <c r="GU145"/>
  <c r="GV145"/>
  <c r="GW145"/>
  <c r="GX145"/>
  <c r="GY145"/>
  <c r="GZ145"/>
  <c r="HA145"/>
  <c r="HB145"/>
  <c r="HC145"/>
  <c r="HD145"/>
  <c r="HE145"/>
  <c r="HF145"/>
  <c r="HG145"/>
  <c r="HH145"/>
  <c r="HI145"/>
  <c r="HJ145"/>
  <c r="HK145"/>
  <c r="HL145"/>
  <c r="HM145"/>
  <c r="HN145"/>
  <c r="HO145"/>
  <c r="HP145"/>
  <c r="HQ145"/>
  <c r="HR145"/>
  <c r="HS145"/>
  <c r="HT145"/>
  <c r="HU145"/>
  <c r="HV145"/>
  <c r="HW145"/>
  <c r="HX145"/>
  <c r="HY145"/>
  <c r="HZ145"/>
  <c r="IA145"/>
  <c r="IB145"/>
  <c r="IC145"/>
  <c r="ID145"/>
  <c r="IE145"/>
  <c r="IF145"/>
  <c r="IG145"/>
  <c r="IH145"/>
  <c r="II145"/>
  <c r="IJ145"/>
  <c r="IK145"/>
  <c r="IL145"/>
  <c r="IM145"/>
  <c r="IN145"/>
  <c r="IO145"/>
  <c r="IP145"/>
  <c r="IQ145"/>
  <c r="IR145"/>
  <c r="IS145"/>
  <c r="IT145"/>
  <c r="IU145"/>
  <c r="IV145"/>
  <c r="A144"/>
  <c r="B144"/>
  <c r="C144"/>
  <c r="D144"/>
  <c r="E144"/>
  <c r="F144"/>
  <c r="G144"/>
  <c r="H144"/>
  <c r="I144"/>
  <c r="J144"/>
  <c r="K144"/>
  <c r="L144"/>
  <c r="M144"/>
  <c r="N144"/>
  <c r="O144"/>
  <c r="P144"/>
  <c r="Q144"/>
  <c r="R144"/>
  <c r="S144"/>
  <c r="T144"/>
  <c r="U144"/>
  <c r="V144"/>
  <c r="W144"/>
  <c r="X144"/>
  <c r="Y144"/>
  <c r="Z144"/>
  <c r="AA144"/>
  <c r="AB144"/>
  <c r="AC144"/>
  <c r="AD144"/>
  <c r="AE144"/>
  <c r="AF144"/>
  <c r="AG144"/>
  <c r="AH144"/>
  <c r="AI144"/>
  <c r="AJ144"/>
  <c r="AK144"/>
  <c r="AL144"/>
  <c r="AM144"/>
  <c r="AN144"/>
  <c r="AO144"/>
  <c r="AP144"/>
  <c r="AQ144"/>
  <c r="AR144"/>
  <c r="AS144"/>
  <c r="AT144"/>
  <c r="AU144"/>
  <c r="AV144"/>
  <c r="AW144"/>
  <c r="AX144"/>
  <c r="AY144"/>
  <c r="AZ144"/>
  <c r="BA144"/>
  <c r="BB144"/>
  <c r="BC144"/>
  <c r="BD144"/>
  <c r="BE144"/>
  <c r="BF144"/>
  <c r="BG144"/>
  <c r="BH144"/>
  <c r="BI144"/>
  <c r="BJ144"/>
  <c r="BK144"/>
  <c r="BL144"/>
  <c r="BM144"/>
  <c r="BN144"/>
  <c r="BO144"/>
  <c r="BP144"/>
  <c r="BQ144"/>
  <c r="BR144"/>
  <c r="BS144"/>
  <c r="BT144"/>
  <c r="BU144"/>
  <c r="BV144"/>
  <c r="BW144"/>
  <c r="BX144"/>
  <c r="BY144"/>
  <c r="BZ144"/>
  <c r="CA144"/>
  <c r="CB144"/>
  <c r="CC144"/>
  <c r="CD144"/>
  <c r="CE144"/>
  <c r="CF144"/>
  <c r="CG144"/>
  <c r="CH144"/>
  <c r="CI144"/>
  <c r="CJ144"/>
  <c r="CK144"/>
  <c r="CL144"/>
  <c r="CM144"/>
  <c r="CN144"/>
  <c r="CO144"/>
  <c r="CP144"/>
  <c r="CQ144"/>
  <c r="CR144"/>
  <c r="CS144"/>
  <c r="CT144"/>
  <c r="CU144"/>
  <c r="CV144"/>
  <c r="CW144"/>
  <c r="CX144"/>
  <c r="CY144"/>
  <c r="CZ144"/>
  <c r="DA144"/>
  <c r="DB144"/>
  <c r="DC144"/>
  <c r="DD144"/>
  <c r="DE144"/>
  <c r="DF144"/>
  <c r="DG144"/>
  <c r="DH144"/>
  <c r="DI144"/>
  <c r="DJ144"/>
  <c r="DK144"/>
  <c r="DL144"/>
  <c r="DM144"/>
  <c r="DN144"/>
  <c r="DO144"/>
  <c r="DP144"/>
  <c r="DQ144"/>
  <c r="DR144"/>
  <c r="DS144"/>
  <c r="DT144"/>
  <c r="DU144"/>
  <c r="DV144"/>
  <c r="DW144"/>
  <c r="DX144"/>
  <c r="DY144"/>
  <c r="DZ144"/>
  <c r="EA144"/>
  <c r="EB144"/>
  <c r="EC144"/>
  <c r="ED144"/>
  <c r="EE144"/>
  <c r="EF144"/>
  <c r="EG144"/>
  <c r="EH144"/>
  <c r="EI144"/>
  <c r="EJ144"/>
  <c r="EK144"/>
  <c r="EL144"/>
  <c r="EM144"/>
  <c r="EN144"/>
  <c r="EO144"/>
  <c r="EP144"/>
  <c r="EQ144"/>
  <c r="ER144"/>
  <c r="ES144"/>
  <c r="ET144"/>
  <c r="EU144"/>
  <c r="EV144"/>
  <c r="EW144"/>
  <c r="EX144"/>
  <c r="EY144"/>
  <c r="EZ144"/>
  <c r="FA144"/>
  <c r="FB144"/>
  <c r="FC144"/>
  <c r="FD144"/>
  <c r="FE144"/>
  <c r="FF144"/>
  <c r="FG144"/>
  <c r="FH144"/>
  <c r="FI144"/>
  <c r="FJ144"/>
  <c r="FK144"/>
  <c r="FL144"/>
  <c r="FM144"/>
  <c r="FN144"/>
  <c r="FO144"/>
  <c r="FP144"/>
  <c r="FQ144"/>
  <c r="FR144"/>
  <c r="FS144"/>
  <c r="FT144"/>
  <c r="FU144"/>
  <c r="FV144"/>
  <c r="FW144"/>
  <c r="FX144"/>
  <c r="FY144"/>
  <c r="FZ144"/>
  <c r="GA144"/>
  <c r="GB144"/>
  <c r="GC144"/>
  <c r="GD144"/>
  <c r="GE144"/>
  <c r="GF144"/>
  <c r="GG144"/>
  <c r="GH144"/>
  <c r="GI144"/>
  <c r="GJ144"/>
  <c r="GK144"/>
  <c r="GL144"/>
  <c r="GM144"/>
  <c r="GN144"/>
  <c r="GO144"/>
  <c r="GP144"/>
  <c r="GQ144"/>
  <c r="GR144"/>
  <c r="GS144"/>
  <c r="GT144"/>
  <c r="GU144"/>
  <c r="GV144"/>
  <c r="GW144"/>
  <c r="GX144"/>
  <c r="GY144"/>
  <c r="GZ144"/>
  <c r="HA144"/>
  <c r="HB144"/>
  <c r="HC144"/>
  <c r="HD144"/>
  <c r="HE144"/>
  <c r="HF144"/>
  <c r="HG144"/>
  <c r="HH144"/>
  <c r="HI144"/>
  <c r="HJ144"/>
  <c r="HK144"/>
  <c r="HL144"/>
  <c r="HM144"/>
  <c r="HN144"/>
  <c r="HO144"/>
  <c r="HP144"/>
  <c r="HQ144"/>
  <c r="HR144"/>
  <c r="HS144"/>
  <c r="HT144"/>
  <c r="HU144"/>
  <c r="HV144"/>
  <c r="HW144"/>
  <c r="HX144"/>
  <c r="HY144"/>
  <c r="HZ144"/>
  <c r="IA144"/>
  <c r="IB144"/>
  <c r="IC144"/>
  <c r="ID144"/>
  <c r="IE144"/>
  <c r="IF144"/>
  <c r="IG144"/>
  <c r="IH144"/>
  <c r="II144"/>
  <c r="IJ144"/>
  <c r="IK144"/>
  <c r="IL144"/>
  <c r="IM144"/>
  <c r="IN144"/>
  <c r="IO144"/>
  <c r="IP144"/>
  <c r="IQ144"/>
  <c r="IR144"/>
  <c r="IS144"/>
  <c r="IT144"/>
  <c r="IU144"/>
  <c r="IV144"/>
  <c r="A143"/>
  <c r="B143"/>
  <c r="C143"/>
  <c r="D143"/>
  <c r="E143"/>
  <c r="F143"/>
  <c r="G143"/>
  <c r="H143"/>
  <c r="I143"/>
  <c r="J143"/>
  <c r="K143"/>
  <c r="L143"/>
  <c r="M143"/>
  <c r="N143"/>
  <c r="O143"/>
  <c r="P143"/>
  <c r="Q143"/>
  <c r="R143"/>
  <c r="S143"/>
  <c r="T143"/>
  <c r="U143"/>
  <c r="V143"/>
  <c r="W143"/>
  <c r="X143"/>
  <c r="Y143"/>
  <c r="Z143"/>
  <c r="AA143"/>
  <c r="AB143"/>
  <c r="AC143"/>
  <c r="AD143"/>
  <c r="AE143"/>
  <c r="AF143"/>
  <c r="AG143"/>
  <c r="AH143"/>
  <c r="AI143"/>
  <c r="AJ143"/>
  <c r="AK143"/>
  <c r="AL143"/>
  <c r="AM143"/>
  <c r="AN143"/>
  <c r="AO143"/>
  <c r="AP143"/>
  <c r="AQ143"/>
  <c r="AR143"/>
  <c r="AS143"/>
  <c r="AT143"/>
  <c r="AU143"/>
  <c r="AV143"/>
  <c r="AW143"/>
  <c r="AX143"/>
  <c r="AY143"/>
  <c r="AZ143"/>
  <c r="BA143"/>
  <c r="BB143"/>
  <c r="BC143"/>
  <c r="BD143"/>
  <c r="BE143"/>
  <c r="BF143"/>
  <c r="BG143"/>
  <c r="BH143"/>
  <c r="BI143"/>
  <c r="BJ143"/>
  <c r="BK143"/>
  <c r="BL143"/>
  <c r="BM143"/>
  <c r="BN143"/>
  <c r="BO143"/>
  <c r="BP143"/>
  <c r="BQ143"/>
  <c r="BR143"/>
  <c r="BS143"/>
  <c r="BT143"/>
  <c r="BU143"/>
  <c r="BV143"/>
  <c r="BW143"/>
  <c r="BX143"/>
  <c r="BY143"/>
  <c r="BZ143"/>
  <c r="CA143"/>
  <c r="CB143"/>
  <c r="CC143"/>
  <c r="CD143"/>
  <c r="CE143"/>
  <c r="CF143"/>
  <c r="CG143"/>
  <c r="CH143"/>
  <c r="CI143"/>
  <c r="CJ143"/>
  <c r="CK143"/>
  <c r="CL143"/>
  <c r="CM143"/>
  <c r="CN143"/>
  <c r="CO143"/>
  <c r="CP143"/>
  <c r="CQ143"/>
  <c r="CR143"/>
  <c r="CS143"/>
  <c r="CT143"/>
  <c r="CU143"/>
  <c r="CV143"/>
  <c r="CW143"/>
  <c r="CX143"/>
  <c r="CY143"/>
  <c r="CZ143"/>
  <c r="DA143"/>
  <c r="DB143"/>
  <c r="DC143"/>
  <c r="DD143"/>
  <c r="DE143"/>
  <c r="DF143"/>
  <c r="DG143"/>
  <c r="DH143"/>
  <c r="DI143"/>
  <c r="DJ143"/>
  <c r="DK143"/>
  <c r="DL143"/>
  <c r="DM143"/>
  <c r="DN143"/>
  <c r="DO143"/>
  <c r="DP143"/>
  <c r="DQ143"/>
  <c r="DR143"/>
  <c r="DS143"/>
  <c r="DT143"/>
  <c r="DU143"/>
  <c r="DV143"/>
  <c r="DW143"/>
  <c r="DX143"/>
  <c r="DY143"/>
  <c r="DZ143"/>
  <c r="EA143"/>
  <c r="EB143"/>
  <c r="EC143"/>
  <c r="ED143"/>
  <c r="EE143"/>
  <c r="EF143"/>
  <c r="EG143"/>
  <c r="EH143"/>
  <c r="EI143"/>
  <c r="EJ143"/>
  <c r="EK143"/>
  <c r="EL143"/>
  <c r="EM143"/>
  <c r="EN143"/>
  <c r="EO143"/>
  <c r="EP143"/>
  <c r="EQ143"/>
  <c r="ER143"/>
  <c r="ES143"/>
  <c r="ET143"/>
  <c r="EU143"/>
  <c r="EV143"/>
  <c r="EW143"/>
  <c r="EX143"/>
  <c r="EY143"/>
  <c r="EZ143"/>
  <c r="FA143"/>
  <c r="FB143"/>
  <c r="FC143"/>
  <c r="FD143"/>
  <c r="FE143"/>
  <c r="FF143"/>
  <c r="FG143"/>
  <c r="FH143"/>
  <c r="FI143"/>
  <c r="FJ143"/>
  <c r="FK143"/>
  <c r="FL143"/>
  <c r="FM143"/>
  <c r="FN143"/>
  <c r="FO143"/>
  <c r="FP143"/>
  <c r="FQ143"/>
  <c r="FR143"/>
  <c r="FS143"/>
  <c r="FT143"/>
  <c r="FU143"/>
  <c r="FV143"/>
  <c r="FW143"/>
  <c r="FX143"/>
  <c r="FY143"/>
  <c r="FZ143"/>
  <c r="GA143"/>
  <c r="GB143"/>
  <c r="GC143"/>
  <c r="GD143"/>
  <c r="GE143"/>
  <c r="GF143"/>
  <c r="GG143"/>
  <c r="GH143"/>
  <c r="GI143"/>
  <c r="GJ143"/>
  <c r="GK143"/>
  <c r="GL143"/>
  <c r="GM143"/>
  <c r="GN143"/>
  <c r="GO143"/>
  <c r="GP143"/>
  <c r="GQ143"/>
  <c r="GR143"/>
  <c r="GS143"/>
  <c r="GT143"/>
  <c r="GU143"/>
  <c r="GV143"/>
  <c r="GW143"/>
  <c r="GX143"/>
  <c r="GY143"/>
  <c r="GZ143"/>
  <c r="HA143"/>
  <c r="HB143"/>
  <c r="HC143"/>
  <c r="HD143"/>
  <c r="HE143"/>
  <c r="HF143"/>
  <c r="HG143"/>
  <c r="HH143"/>
  <c r="HI143"/>
  <c r="HJ143"/>
  <c r="HK143"/>
  <c r="HL143"/>
  <c r="HM143"/>
  <c r="HN143"/>
  <c r="HO143"/>
  <c r="HP143"/>
  <c r="HQ143"/>
  <c r="HR143"/>
  <c r="HS143"/>
  <c r="HT143"/>
  <c r="HU143"/>
  <c r="HV143"/>
  <c r="HW143"/>
  <c r="HX143"/>
  <c r="HY143"/>
  <c r="HZ143"/>
  <c r="IA143"/>
  <c r="IB143"/>
  <c r="IC143"/>
  <c r="ID143"/>
  <c r="IE143"/>
  <c r="IF143"/>
  <c r="IG143"/>
  <c r="IH143"/>
  <c r="II143"/>
  <c r="IJ143"/>
  <c r="IK143"/>
  <c r="IL143"/>
  <c r="IM143"/>
  <c r="IN143"/>
  <c r="IO143"/>
  <c r="IP143"/>
  <c r="IQ143"/>
  <c r="IR143"/>
  <c r="IS143"/>
  <c r="IT143"/>
  <c r="IU143"/>
  <c r="IV143"/>
  <c r="A142"/>
  <c r="B142"/>
  <c r="C142"/>
  <c r="D142"/>
  <c r="E142"/>
  <c r="F142"/>
  <c r="G142"/>
  <c r="H142"/>
  <c r="I142"/>
  <c r="J142"/>
  <c r="K142"/>
  <c r="L142"/>
  <c r="M142"/>
  <c r="N142"/>
  <c r="O142"/>
  <c r="P142"/>
  <c r="Q142"/>
  <c r="R142"/>
  <c r="S142"/>
  <c r="T142"/>
  <c r="U142"/>
  <c r="V142"/>
  <c r="W142"/>
  <c r="X142"/>
  <c r="Y142"/>
  <c r="Z142"/>
  <c r="AA142"/>
  <c r="AB142"/>
  <c r="AC142"/>
  <c r="AD142"/>
  <c r="AE142"/>
  <c r="AF142"/>
  <c r="AG142"/>
  <c r="AH142"/>
  <c r="AI142"/>
  <c r="AJ142"/>
  <c r="AK142"/>
  <c r="AL142"/>
  <c r="AM142"/>
  <c r="AN142"/>
  <c r="AO142"/>
  <c r="AP142"/>
  <c r="AQ142"/>
  <c r="AR142"/>
  <c r="AS142"/>
  <c r="AT142"/>
  <c r="AU142"/>
  <c r="AV142"/>
  <c r="AW142"/>
  <c r="AX142"/>
  <c r="AY142"/>
  <c r="AZ142"/>
  <c r="BA142"/>
  <c r="BB142"/>
  <c r="BC142"/>
  <c r="BD142"/>
  <c r="BE142"/>
  <c r="BF142"/>
  <c r="BG142"/>
  <c r="BH142"/>
  <c r="BI142"/>
  <c r="BJ142"/>
  <c r="BK142"/>
  <c r="BL142"/>
  <c r="BM142"/>
  <c r="BN142"/>
  <c r="BO142"/>
  <c r="BP142"/>
  <c r="BQ142"/>
  <c r="BR142"/>
  <c r="BS142"/>
  <c r="BT142"/>
  <c r="BU142"/>
  <c r="BV142"/>
  <c r="BW142"/>
  <c r="BX142"/>
  <c r="BY142"/>
  <c r="BZ142"/>
  <c r="CA142"/>
  <c r="CB142"/>
  <c r="CC142"/>
  <c r="CD142"/>
  <c r="CE142"/>
  <c r="CF142"/>
  <c r="CG142"/>
  <c r="CH142"/>
  <c r="CI142"/>
  <c r="CJ142"/>
  <c r="CK142"/>
  <c r="CL142"/>
  <c r="CM142"/>
  <c r="CN142"/>
  <c r="CO142"/>
  <c r="CP142"/>
  <c r="CQ142"/>
  <c r="CR142"/>
  <c r="CS142"/>
  <c r="CT142"/>
  <c r="CU142"/>
  <c r="CV142"/>
  <c r="CW142"/>
  <c r="CX142"/>
  <c r="CY142"/>
  <c r="CZ142"/>
  <c r="DA142"/>
  <c r="DB142"/>
  <c r="DC142"/>
  <c r="DD142"/>
  <c r="DE142"/>
  <c r="DF142"/>
  <c r="DG142"/>
  <c r="DH142"/>
  <c r="DI142"/>
  <c r="DJ142"/>
  <c r="DK142"/>
  <c r="DL142"/>
  <c r="DM142"/>
  <c r="DN142"/>
  <c r="DO142"/>
  <c r="DP142"/>
  <c r="DQ142"/>
  <c r="DR142"/>
  <c r="DS142"/>
  <c r="DT142"/>
  <c r="DU142"/>
  <c r="DV142"/>
  <c r="DW142"/>
  <c r="DX142"/>
  <c r="DY142"/>
  <c r="DZ142"/>
  <c r="EA142"/>
  <c r="EB142"/>
  <c r="EC142"/>
  <c r="ED142"/>
  <c r="EE142"/>
  <c r="EF142"/>
  <c r="EG142"/>
  <c r="EH142"/>
  <c r="EI142"/>
  <c r="EJ142"/>
  <c r="EK142"/>
  <c r="EL142"/>
  <c r="EM142"/>
  <c r="EN142"/>
  <c r="EO142"/>
  <c r="EP142"/>
  <c r="EQ142"/>
  <c r="ER142"/>
  <c r="ES142"/>
  <c r="ET142"/>
  <c r="EU142"/>
  <c r="EV142"/>
  <c r="EW142"/>
  <c r="EX142"/>
  <c r="EY142"/>
  <c r="EZ142"/>
  <c r="FA142"/>
  <c r="FB142"/>
  <c r="FC142"/>
  <c r="FD142"/>
  <c r="FE142"/>
  <c r="FF142"/>
  <c r="FG142"/>
  <c r="FH142"/>
  <c r="FI142"/>
  <c r="FJ142"/>
  <c r="FK142"/>
  <c r="FL142"/>
  <c r="FM142"/>
  <c r="FN142"/>
  <c r="FO142"/>
  <c r="FP142"/>
  <c r="FQ142"/>
  <c r="FR142"/>
  <c r="FS142"/>
  <c r="FT142"/>
  <c r="FU142"/>
  <c r="FV142"/>
  <c r="FW142"/>
  <c r="FX142"/>
  <c r="FY142"/>
  <c r="FZ142"/>
  <c r="GA142"/>
  <c r="GB142"/>
  <c r="GC142"/>
  <c r="GD142"/>
  <c r="GE142"/>
  <c r="GF142"/>
  <c r="GG142"/>
  <c r="GH142"/>
  <c r="GI142"/>
  <c r="GJ142"/>
  <c r="GK142"/>
  <c r="GL142"/>
  <c r="GM142"/>
  <c r="GN142"/>
  <c r="GO142"/>
  <c r="GP142"/>
  <c r="GQ142"/>
  <c r="GR142"/>
  <c r="GS142"/>
  <c r="GT142"/>
  <c r="GU142"/>
  <c r="GV142"/>
  <c r="GW142"/>
  <c r="GX142"/>
  <c r="GY142"/>
  <c r="GZ142"/>
  <c r="HA142"/>
  <c r="HB142"/>
  <c r="HC142"/>
  <c r="HD142"/>
  <c r="HE142"/>
  <c r="HF142"/>
  <c r="HG142"/>
  <c r="HH142"/>
  <c r="HI142"/>
  <c r="HJ142"/>
  <c r="HK142"/>
  <c r="HL142"/>
  <c r="HM142"/>
  <c r="HN142"/>
  <c r="HO142"/>
  <c r="HP142"/>
  <c r="HQ142"/>
  <c r="HR142"/>
  <c r="HS142"/>
  <c r="HT142"/>
  <c r="HU142"/>
  <c r="HV142"/>
  <c r="HW142"/>
  <c r="HX142"/>
  <c r="HY142"/>
  <c r="HZ142"/>
  <c r="IA142"/>
  <c r="IB142"/>
  <c r="IC142"/>
  <c r="ID142"/>
  <c r="IE142"/>
  <c r="IF142"/>
  <c r="IG142"/>
  <c r="IH142"/>
  <c r="II142"/>
  <c r="IJ142"/>
  <c r="IK142"/>
  <c r="IL142"/>
  <c r="IM142"/>
  <c r="IN142"/>
  <c r="IO142"/>
  <c r="IP142"/>
  <c r="IQ142"/>
  <c r="IR142"/>
  <c r="IS142"/>
  <c r="IT142"/>
  <c r="IU142"/>
  <c r="IV142"/>
  <c r="A141"/>
  <c r="B141"/>
  <c r="C141"/>
  <c r="D141"/>
  <c r="E141"/>
  <c r="F141"/>
  <c r="G141"/>
  <c r="H141"/>
  <c r="I141"/>
  <c r="J141"/>
  <c r="K141"/>
  <c r="L141"/>
  <c r="M141"/>
  <c r="N141"/>
  <c r="O141"/>
  <c r="P141"/>
  <c r="Q141"/>
  <c r="R141"/>
  <c r="S141"/>
  <c r="T141"/>
  <c r="U141"/>
  <c r="V141"/>
  <c r="W141"/>
  <c r="X141"/>
  <c r="Y141"/>
  <c r="Z141"/>
  <c r="AA141"/>
  <c r="AB141"/>
  <c r="AC141"/>
  <c r="AD141"/>
  <c r="AE141"/>
  <c r="AF141"/>
  <c r="AG141"/>
  <c r="AH141"/>
  <c r="AI141"/>
  <c r="AJ141"/>
  <c r="AK141"/>
  <c r="AL141"/>
  <c r="AM141"/>
  <c r="AN141"/>
  <c r="AO141"/>
  <c r="AP141"/>
  <c r="AQ141"/>
  <c r="AR141"/>
  <c r="AS141"/>
  <c r="AT141"/>
  <c r="AU141"/>
  <c r="AV141"/>
  <c r="AW141"/>
  <c r="AX141"/>
  <c r="AY141"/>
  <c r="AZ141"/>
  <c r="BA141"/>
  <c r="BB141"/>
  <c r="BC141"/>
  <c r="BD141"/>
  <c r="BE141"/>
  <c r="BF141"/>
  <c r="BG141"/>
  <c r="BH141"/>
  <c r="BI141"/>
  <c r="BJ141"/>
  <c r="BK141"/>
  <c r="BL141"/>
  <c r="BM141"/>
  <c r="BN141"/>
  <c r="BO141"/>
  <c r="BP141"/>
  <c r="BQ141"/>
  <c r="BR141"/>
  <c r="BS141"/>
  <c r="BT141"/>
  <c r="BU141"/>
  <c r="BV141"/>
  <c r="BW141"/>
  <c r="BX141"/>
  <c r="BY141"/>
  <c r="BZ141"/>
  <c r="CA141"/>
  <c r="CB141"/>
  <c r="CC141"/>
  <c r="CD141"/>
  <c r="CE141"/>
  <c r="CF141"/>
  <c r="CG141"/>
  <c r="CH141"/>
  <c r="CI141"/>
  <c r="CJ141"/>
  <c r="CK141"/>
  <c r="CL141"/>
  <c r="CM141"/>
  <c r="CN141"/>
  <c r="CO141"/>
  <c r="CP141"/>
  <c r="CQ141"/>
  <c r="CR141"/>
  <c r="CS141"/>
  <c r="CT141"/>
  <c r="CU141"/>
  <c r="CV141"/>
  <c r="CW141"/>
  <c r="CX141"/>
  <c r="CY141"/>
  <c r="CZ141"/>
  <c r="DA141"/>
  <c r="DB141"/>
  <c r="DC141"/>
  <c r="DD141"/>
  <c r="DE141"/>
  <c r="DF141"/>
  <c r="DG141"/>
  <c r="DH141"/>
  <c r="DI141"/>
  <c r="DJ141"/>
  <c r="DK141"/>
  <c r="DL141"/>
  <c r="DM141"/>
  <c r="DN141"/>
  <c r="DO141"/>
  <c r="DP141"/>
  <c r="DQ141"/>
  <c r="DR141"/>
  <c r="DS141"/>
  <c r="DT141"/>
  <c r="DU141"/>
  <c r="DV141"/>
  <c r="DW141"/>
  <c r="DX141"/>
  <c r="DY141"/>
  <c r="DZ141"/>
  <c r="EA141"/>
  <c r="EB141"/>
  <c r="EC141"/>
  <c r="ED141"/>
  <c r="EE141"/>
  <c r="EF141"/>
  <c r="EG141"/>
  <c r="EH141"/>
  <c r="EI141"/>
  <c r="EJ141"/>
  <c r="EK141"/>
  <c r="EL141"/>
  <c r="EM141"/>
  <c r="EN141"/>
  <c r="EO141"/>
  <c r="EP141"/>
  <c r="EQ141"/>
  <c r="ER141"/>
  <c r="ES141"/>
  <c r="ET141"/>
  <c r="EU141"/>
  <c r="EV141"/>
  <c r="EW141"/>
  <c r="EX141"/>
  <c r="EY141"/>
  <c r="EZ141"/>
  <c r="FA141"/>
  <c r="FB141"/>
  <c r="FC141"/>
  <c r="FD141"/>
  <c r="FE141"/>
  <c r="FF141"/>
  <c r="FG141"/>
  <c r="FH141"/>
  <c r="FI141"/>
  <c r="FJ141"/>
  <c r="FK141"/>
  <c r="FL141"/>
  <c r="FM141"/>
  <c r="FN141"/>
  <c r="FO141"/>
  <c r="FP141"/>
  <c r="FQ141"/>
  <c r="FR141"/>
  <c r="FS141"/>
  <c r="FT141"/>
  <c r="FU141"/>
  <c r="FV141"/>
  <c r="FW141"/>
  <c r="FX141"/>
  <c r="FY141"/>
  <c r="FZ141"/>
  <c r="GA141"/>
  <c r="GB141"/>
  <c r="GC141"/>
  <c r="GD141"/>
  <c r="GE141"/>
  <c r="GF141"/>
  <c r="GG141"/>
  <c r="GH141"/>
  <c r="GI141"/>
  <c r="GJ141"/>
  <c r="GK141"/>
  <c r="GL141"/>
  <c r="GM141"/>
  <c r="GN141"/>
  <c r="GO141"/>
  <c r="GP141"/>
  <c r="GQ141"/>
  <c r="GR141"/>
  <c r="GS141"/>
  <c r="GT141"/>
  <c r="GU141"/>
  <c r="GV141"/>
  <c r="GW141"/>
  <c r="GX141"/>
  <c r="GY141"/>
  <c r="GZ141"/>
  <c r="HA141"/>
  <c r="HB141"/>
  <c r="HC141"/>
  <c r="HD141"/>
  <c r="HE141"/>
  <c r="HF141"/>
  <c r="HG141"/>
  <c r="HH141"/>
  <c r="HI141"/>
  <c r="HJ141"/>
  <c r="HK141"/>
  <c r="HL141"/>
  <c r="HM141"/>
  <c r="HN141"/>
  <c r="HO141"/>
  <c r="HP141"/>
  <c r="HQ141"/>
  <c r="HR141"/>
  <c r="HS141"/>
  <c r="HT141"/>
  <c r="HU141"/>
  <c r="HV141"/>
  <c r="HW141"/>
  <c r="HX141"/>
  <c r="HY141"/>
  <c r="HZ141"/>
  <c r="IA141"/>
  <c r="IB141"/>
  <c r="IC141"/>
  <c r="ID141"/>
  <c r="IE141"/>
  <c r="IF141"/>
  <c r="IG141"/>
  <c r="IH141"/>
  <c r="II141"/>
  <c r="IJ141"/>
  <c r="IK141"/>
  <c r="IL141"/>
  <c r="IM141"/>
  <c r="IN141"/>
  <c r="IO141"/>
  <c r="IP141"/>
  <c r="IQ141"/>
  <c r="IR141"/>
  <c r="IS141"/>
  <c r="IT141"/>
  <c r="IU141"/>
  <c r="IV141"/>
  <c r="A140"/>
  <c r="B140"/>
  <c r="C140"/>
  <c r="D140"/>
  <c r="E140"/>
  <c r="F140"/>
  <c r="G140"/>
  <c r="H140"/>
  <c r="I140"/>
  <c r="J140"/>
  <c r="K140"/>
  <c r="L140"/>
  <c r="M140"/>
  <c r="N140"/>
  <c r="O140"/>
  <c r="P140"/>
  <c r="Q140"/>
  <c r="R140"/>
  <c r="S140"/>
  <c r="T140"/>
  <c r="U140"/>
  <c r="V140"/>
  <c r="W140"/>
  <c r="X140"/>
  <c r="Y140"/>
  <c r="Z140"/>
  <c r="AA140"/>
  <c r="AB140"/>
  <c r="AC140"/>
  <c r="AD140"/>
  <c r="AE140"/>
  <c r="AF140"/>
  <c r="AG140"/>
  <c r="AH140"/>
  <c r="AI140"/>
  <c r="AJ140"/>
  <c r="AK140"/>
  <c r="AL140"/>
  <c r="AM140"/>
  <c r="AN140"/>
  <c r="AO140"/>
  <c r="AP140"/>
  <c r="AQ140"/>
  <c r="AR140"/>
  <c r="AS140"/>
  <c r="AT140"/>
  <c r="AU140"/>
  <c r="AV140"/>
  <c r="AW140"/>
  <c r="AX140"/>
  <c r="AY140"/>
  <c r="AZ140"/>
  <c r="BA140"/>
  <c r="BB140"/>
  <c r="BC140"/>
  <c r="BD140"/>
  <c r="BE140"/>
  <c r="BF140"/>
  <c r="BG140"/>
  <c r="BH140"/>
  <c r="BI140"/>
  <c r="BJ140"/>
  <c r="BK140"/>
  <c r="BL140"/>
  <c r="BM140"/>
  <c r="BN140"/>
  <c r="BO140"/>
  <c r="BP140"/>
  <c r="BQ140"/>
  <c r="BR140"/>
  <c r="BS140"/>
  <c r="BT140"/>
  <c r="BU140"/>
  <c r="BV140"/>
  <c r="BW140"/>
  <c r="BX140"/>
  <c r="BY140"/>
  <c r="BZ140"/>
  <c r="CA140"/>
  <c r="CB140"/>
  <c r="CC140"/>
  <c r="CD140"/>
  <c r="CE140"/>
  <c r="CF140"/>
  <c r="CG140"/>
  <c r="CH140"/>
  <c r="CI140"/>
  <c r="CJ140"/>
  <c r="CK140"/>
  <c r="CL140"/>
  <c r="CM140"/>
  <c r="CN140"/>
  <c r="CO140"/>
  <c r="CP140"/>
  <c r="CQ140"/>
  <c r="CR140"/>
  <c r="CS140"/>
  <c r="CT140"/>
  <c r="CU140"/>
  <c r="CV140"/>
  <c r="CW140"/>
  <c r="CX140"/>
  <c r="CY140"/>
  <c r="CZ140"/>
  <c r="DA140"/>
  <c r="DB140"/>
  <c r="DC140"/>
  <c r="DD140"/>
  <c r="DE140"/>
  <c r="DF140"/>
  <c r="DG140"/>
  <c r="DH140"/>
  <c r="DI140"/>
  <c r="DJ140"/>
  <c r="DK140"/>
  <c r="DL140"/>
  <c r="DM140"/>
  <c r="DN140"/>
  <c r="DO140"/>
  <c r="DP140"/>
  <c r="DQ140"/>
  <c r="DR140"/>
  <c r="DS140"/>
  <c r="DT140"/>
  <c r="DU140"/>
  <c r="DV140"/>
  <c r="DW140"/>
  <c r="DX140"/>
  <c r="DY140"/>
  <c r="DZ140"/>
  <c r="EA140"/>
  <c r="EB140"/>
  <c r="EC140"/>
  <c r="ED140"/>
  <c r="EE140"/>
  <c r="EF140"/>
  <c r="EG140"/>
  <c r="EH140"/>
  <c r="EI140"/>
  <c r="EJ140"/>
  <c r="EK140"/>
  <c r="EL140"/>
  <c r="EM140"/>
  <c r="EN140"/>
  <c r="EO140"/>
  <c r="EP140"/>
  <c r="EQ140"/>
  <c r="ER140"/>
  <c r="ES140"/>
  <c r="ET140"/>
  <c r="EU140"/>
  <c r="EV140"/>
  <c r="EW140"/>
  <c r="EX140"/>
  <c r="EY140"/>
  <c r="EZ140"/>
  <c r="FA140"/>
  <c r="FB140"/>
  <c r="FC140"/>
  <c r="FD140"/>
  <c r="FE140"/>
  <c r="FF140"/>
  <c r="FG140"/>
  <c r="FH140"/>
  <c r="FI140"/>
  <c r="FJ140"/>
  <c r="FK140"/>
  <c r="FL140"/>
  <c r="FM140"/>
  <c r="FN140"/>
  <c r="FO140"/>
  <c r="FP140"/>
  <c r="FQ140"/>
  <c r="FR140"/>
  <c r="FS140"/>
  <c r="FT140"/>
  <c r="FU140"/>
  <c r="FV140"/>
  <c r="FW140"/>
  <c r="FX140"/>
  <c r="FY140"/>
  <c r="FZ140"/>
  <c r="GA140"/>
  <c r="GB140"/>
  <c r="GC140"/>
  <c r="GD140"/>
  <c r="GE140"/>
  <c r="GF140"/>
  <c r="GG140"/>
  <c r="GH140"/>
  <c r="GI140"/>
  <c r="GJ140"/>
  <c r="GK140"/>
  <c r="GL140"/>
  <c r="GM140"/>
  <c r="GN140"/>
  <c r="GO140"/>
  <c r="GP140"/>
  <c r="GQ140"/>
  <c r="GR140"/>
  <c r="GS140"/>
  <c r="GT140"/>
  <c r="GU140"/>
  <c r="GV140"/>
  <c r="GW140"/>
  <c r="GX140"/>
  <c r="GY140"/>
  <c r="GZ140"/>
  <c r="HA140"/>
  <c r="HB140"/>
  <c r="HC140"/>
  <c r="HD140"/>
  <c r="HE140"/>
  <c r="HF140"/>
  <c r="HG140"/>
  <c r="HH140"/>
  <c r="HI140"/>
  <c r="HJ140"/>
  <c r="HK140"/>
  <c r="HL140"/>
  <c r="HM140"/>
  <c r="HN140"/>
  <c r="HO140"/>
  <c r="HP140"/>
  <c r="HQ140"/>
  <c r="HR140"/>
  <c r="HS140"/>
  <c r="HT140"/>
  <c r="HU140"/>
  <c r="HV140"/>
  <c r="HW140"/>
  <c r="HX140"/>
  <c r="HY140"/>
  <c r="HZ140"/>
  <c r="IA140"/>
  <c r="IB140"/>
  <c r="IC140"/>
  <c r="ID140"/>
  <c r="IE140"/>
  <c r="IF140"/>
  <c r="IG140"/>
  <c r="IH140"/>
  <c r="II140"/>
  <c r="IJ140"/>
  <c r="IK140"/>
  <c r="IL140"/>
  <c r="IM140"/>
  <c r="IN140"/>
  <c r="IO140"/>
  <c r="IP140"/>
  <c r="IQ140"/>
  <c r="IR140"/>
  <c r="IS140"/>
  <c r="IT140"/>
  <c r="IU140"/>
  <c r="IV140"/>
  <c r="A139"/>
  <c r="B139"/>
  <c r="C139"/>
  <c r="D139"/>
  <c r="E139"/>
  <c r="F139"/>
  <c r="G139"/>
  <c r="H139"/>
  <c r="I139"/>
  <c r="J139"/>
  <c r="K139"/>
  <c r="L139"/>
  <c r="M139"/>
  <c r="N139"/>
  <c r="O139"/>
  <c r="P139"/>
  <c r="Q139"/>
  <c r="R139"/>
  <c r="S139"/>
  <c r="T139"/>
  <c r="U139"/>
  <c r="V139"/>
  <c r="W139"/>
  <c r="X139"/>
  <c r="Y139"/>
  <c r="Z139"/>
  <c r="AA139"/>
  <c r="AB139"/>
  <c r="AC139"/>
  <c r="AD139"/>
  <c r="AE139"/>
  <c r="AF139"/>
  <c r="AG139"/>
  <c r="AH139"/>
  <c r="AI139"/>
  <c r="AJ139"/>
  <c r="AK139"/>
  <c r="AL139"/>
  <c r="AM139"/>
  <c r="AN139"/>
  <c r="AO139"/>
  <c r="AP139"/>
  <c r="AQ139"/>
  <c r="AR139"/>
  <c r="AS139"/>
  <c r="AT139"/>
  <c r="AU139"/>
  <c r="AV139"/>
  <c r="AW139"/>
  <c r="AX139"/>
  <c r="AY139"/>
  <c r="AZ139"/>
  <c r="BA139"/>
  <c r="BB139"/>
  <c r="BC139"/>
  <c r="BD139"/>
  <c r="BE139"/>
  <c r="BF139"/>
  <c r="BG139"/>
  <c r="BH139"/>
  <c r="BI139"/>
  <c r="BJ139"/>
  <c r="BK139"/>
  <c r="BL139"/>
  <c r="BM139"/>
  <c r="BN139"/>
  <c r="BO139"/>
  <c r="BP139"/>
  <c r="BQ139"/>
  <c r="BR139"/>
  <c r="BS139"/>
  <c r="BT139"/>
  <c r="BU139"/>
  <c r="BV139"/>
  <c r="BW139"/>
  <c r="BX139"/>
  <c r="BY139"/>
  <c r="BZ139"/>
  <c r="CA139"/>
  <c r="CB139"/>
  <c r="CC139"/>
  <c r="CD139"/>
  <c r="CE139"/>
  <c r="CF139"/>
  <c r="CG139"/>
  <c r="CH139"/>
  <c r="CI139"/>
  <c r="CJ139"/>
  <c r="CK139"/>
  <c r="CL139"/>
  <c r="CM139"/>
  <c r="CN139"/>
  <c r="CO139"/>
  <c r="CP139"/>
  <c r="CQ139"/>
  <c r="CR139"/>
  <c r="CS139"/>
  <c r="CT139"/>
  <c r="CU139"/>
  <c r="CV139"/>
  <c r="CW139"/>
  <c r="CX139"/>
  <c r="CY139"/>
  <c r="CZ139"/>
  <c r="DA139"/>
  <c r="DB139"/>
  <c r="DC139"/>
  <c r="DD139"/>
  <c r="DE139"/>
  <c r="DF139"/>
  <c r="DG139"/>
  <c r="DH139"/>
  <c r="DI139"/>
  <c r="DJ139"/>
  <c r="DK139"/>
  <c r="DL139"/>
  <c r="DM139"/>
  <c r="DN139"/>
  <c r="DO139"/>
  <c r="DP139"/>
  <c r="DQ139"/>
  <c r="DR139"/>
  <c r="DS139"/>
  <c r="DT139"/>
  <c r="DU139"/>
  <c r="DV139"/>
  <c r="DW139"/>
  <c r="DX139"/>
  <c r="DY139"/>
  <c r="DZ139"/>
  <c r="EA139"/>
  <c r="EB139"/>
  <c r="EC139"/>
  <c r="ED139"/>
  <c r="EE139"/>
  <c r="EF139"/>
  <c r="EG139"/>
  <c r="EH139"/>
  <c r="EI139"/>
  <c r="EJ139"/>
  <c r="EK139"/>
  <c r="EL139"/>
  <c r="EM139"/>
  <c r="EN139"/>
  <c r="EO139"/>
  <c r="EP139"/>
  <c r="EQ139"/>
  <c r="ER139"/>
  <c r="ES139"/>
  <c r="ET139"/>
  <c r="EU139"/>
  <c r="EV139"/>
  <c r="EW139"/>
  <c r="EX139"/>
  <c r="EY139"/>
  <c r="EZ139"/>
  <c r="FA139"/>
  <c r="FB139"/>
  <c r="FC139"/>
  <c r="FD139"/>
  <c r="FE139"/>
  <c r="FF139"/>
  <c r="FG139"/>
  <c r="FH139"/>
  <c r="FI139"/>
  <c r="FJ139"/>
  <c r="FK139"/>
  <c r="FL139"/>
  <c r="FM139"/>
  <c r="FN139"/>
  <c r="FO139"/>
  <c r="FP139"/>
  <c r="FQ139"/>
  <c r="FR139"/>
  <c r="FS139"/>
  <c r="FT139"/>
  <c r="FU139"/>
  <c r="FV139"/>
  <c r="FW139"/>
  <c r="FX139"/>
  <c r="FY139"/>
  <c r="FZ139"/>
  <c r="GA139"/>
  <c r="GB139"/>
  <c r="GC139"/>
  <c r="GD139"/>
  <c r="GE139"/>
  <c r="GF139"/>
  <c r="GG139"/>
  <c r="GH139"/>
  <c r="GI139"/>
  <c r="GJ139"/>
  <c r="GK139"/>
  <c r="GL139"/>
  <c r="GM139"/>
  <c r="GN139"/>
  <c r="GO139"/>
  <c r="GP139"/>
  <c r="GQ139"/>
  <c r="GR139"/>
  <c r="GS139"/>
  <c r="GT139"/>
  <c r="GU139"/>
  <c r="GV139"/>
  <c r="GW139"/>
  <c r="GX139"/>
  <c r="GY139"/>
  <c r="GZ139"/>
  <c r="HA139"/>
  <c r="HB139"/>
  <c r="HC139"/>
  <c r="HD139"/>
  <c r="HE139"/>
  <c r="HF139"/>
  <c r="HG139"/>
  <c r="HH139"/>
  <c r="HI139"/>
  <c r="HJ139"/>
  <c r="HK139"/>
  <c r="HL139"/>
  <c r="HM139"/>
  <c r="HN139"/>
  <c r="HO139"/>
  <c r="HP139"/>
  <c r="HQ139"/>
  <c r="HR139"/>
  <c r="HS139"/>
  <c r="HT139"/>
  <c r="HU139"/>
  <c r="HV139"/>
  <c r="HW139"/>
  <c r="HX139"/>
  <c r="HY139"/>
  <c r="HZ139"/>
  <c r="IA139"/>
  <c r="IB139"/>
  <c r="IC139"/>
  <c r="ID139"/>
  <c r="IE139"/>
  <c r="IF139"/>
  <c r="IG139"/>
  <c r="IH139"/>
  <c r="II139"/>
  <c r="IJ139"/>
  <c r="IK139"/>
  <c r="IL139"/>
  <c r="IM139"/>
  <c r="IN139"/>
  <c r="IO139"/>
  <c r="IP139"/>
  <c r="IQ139"/>
  <c r="IR139"/>
  <c r="IS139"/>
  <c r="IT139"/>
  <c r="IU139"/>
  <c r="IV139"/>
  <c r="A138"/>
  <c r="B138"/>
  <c r="C138"/>
  <c r="D138"/>
  <c r="E138"/>
  <c r="F138"/>
  <c r="G138"/>
  <c r="H138"/>
  <c r="I138"/>
  <c r="J138"/>
  <c r="K138"/>
  <c r="L138"/>
  <c r="M138"/>
  <c r="N138"/>
  <c r="O138"/>
  <c r="P138"/>
  <c r="Q138"/>
  <c r="R138"/>
  <c r="S138"/>
  <c r="T138"/>
  <c r="U138"/>
  <c r="V138"/>
  <c r="W138"/>
  <c r="X138"/>
  <c r="Y138"/>
  <c r="Z138"/>
  <c r="AA138"/>
  <c r="AB138"/>
  <c r="AC138"/>
  <c r="AD138"/>
  <c r="AE138"/>
  <c r="AF138"/>
  <c r="AG138"/>
  <c r="AH138"/>
  <c r="AI138"/>
  <c r="AJ138"/>
  <c r="AK138"/>
  <c r="AL138"/>
  <c r="AM138"/>
  <c r="AN138"/>
  <c r="AO138"/>
  <c r="AP138"/>
  <c r="AQ138"/>
  <c r="AR138"/>
  <c r="AS138"/>
  <c r="AT138"/>
  <c r="AU138"/>
  <c r="AV138"/>
  <c r="AW138"/>
  <c r="AX138"/>
  <c r="AY138"/>
  <c r="AZ138"/>
  <c r="BA138"/>
  <c r="BB138"/>
  <c r="BC138"/>
  <c r="BD138"/>
  <c r="BE138"/>
  <c r="BF138"/>
  <c r="BG138"/>
  <c r="BH138"/>
  <c r="BI138"/>
  <c r="BJ138"/>
  <c r="BK138"/>
  <c r="BL138"/>
  <c r="BM138"/>
  <c r="BN138"/>
  <c r="BO138"/>
  <c r="BP138"/>
  <c r="BQ138"/>
  <c r="BR138"/>
  <c r="BS138"/>
  <c r="BT138"/>
  <c r="BU138"/>
  <c r="BV138"/>
  <c r="BW138"/>
  <c r="BX138"/>
  <c r="BY138"/>
  <c r="BZ138"/>
  <c r="CA138"/>
  <c r="CB138"/>
  <c r="CC138"/>
  <c r="CD138"/>
  <c r="CE138"/>
  <c r="CF138"/>
  <c r="CG138"/>
  <c r="CH138"/>
  <c r="CI138"/>
  <c r="CJ138"/>
  <c r="CK138"/>
  <c r="CL138"/>
  <c r="CM138"/>
  <c r="CN138"/>
  <c r="CO138"/>
  <c r="CP138"/>
  <c r="CQ138"/>
  <c r="CR138"/>
  <c r="CS138"/>
  <c r="CT138"/>
  <c r="CU138"/>
  <c r="CV138"/>
  <c r="CW138"/>
  <c r="CX138"/>
  <c r="CY138"/>
  <c r="CZ138"/>
  <c r="DA138"/>
  <c r="DB138"/>
  <c r="DC138"/>
  <c r="DD138"/>
  <c r="DE138"/>
  <c r="DF138"/>
  <c r="DG138"/>
  <c r="DH138"/>
  <c r="DI138"/>
  <c r="DJ138"/>
  <c r="DK138"/>
  <c r="DL138"/>
  <c r="DM138"/>
  <c r="DN138"/>
  <c r="DO138"/>
  <c r="DP138"/>
  <c r="DQ138"/>
  <c r="DR138"/>
  <c r="DS138"/>
  <c r="DT138"/>
  <c r="DU138"/>
  <c r="DV138"/>
  <c r="DW138"/>
  <c r="DX138"/>
  <c r="DY138"/>
  <c r="DZ138"/>
  <c r="EA138"/>
  <c r="EB138"/>
  <c r="EC138"/>
  <c r="ED138"/>
  <c r="EE138"/>
  <c r="EF138"/>
  <c r="EG138"/>
  <c r="EH138"/>
  <c r="EI138"/>
  <c r="EJ138"/>
  <c r="EK138"/>
  <c r="EL138"/>
  <c r="EM138"/>
  <c r="EN138"/>
  <c r="EO138"/>
  <c r="EP138"/>
  <c r="EQ138"/>
  <c r="ER138"/>
  <c r="ES138"/>
  <c r="ET138"/>
  <c r="EU138"/>
  <c r="EV138"/>
  <c r="EW138"/>
  <c r="EX138"/>
  <c r="EY138"/>
  <c r="EZ138"/>
  <c r="FA138"/>
  <c r="FB138"/>
  <c r="FC138"/>
  <c r="FD138"/>
  <c r="FE138"/>
  <c r="FF138"/>
  <c r="FG138"/>
  <c r="FH138"/>
  <c r="FI138"/>
  <c r="FJ138"/>
  <c r="FK138"/>
  <c r="FL138"/>
  <c r="FM138"/>
  <c r="FN138"/>
  <c r="FO138"/>
  <c r="FP138"/>
  <c r="FQ138"/>
  <c r="FR138"/>
  <c r="FS138"/>
  <c r="FT138"/>
  <c r="FU138"/>
  <c r="FV138"/>
  <c r="FW138"/>
  <c r="FX138"/>
  <c r="FY138"/>
  <c r="FZ138"/>
  <c r="GA138"/>
  <c r="GB138"/>
  <c r="GC138"/>
  <c r="GD138"/>
  <c r="GE138"/>
  <c r="GF138"/>
  <c r="GG138"/>
  <c r="GH138"/>
  <c r="GI138"/>
  <c r="GJ138"/>
  <c r="GK138"/>
  <c r="GL138"/>
  <c r="GM138"/>
  <c r="GN138"/>
  <c r="GO138"/>
  <c r="GP138"/>
  <c r="GQ138"/>
  <c r="GR138"/>
  <c r="GS138"/>
  <c r="GT138"/>
  <c r="GU138"/>
  <c r="GV138"/>
  <c r="GW138"/>
  <c r="GX138"/>
  <c r="GY138"/>
  <c r="GZ138"/>
  <c r="HA138"/>
  <c r="HB138"/>
  <c r="HC138"/>
  <c r="HD138"/>
  <c r="HE138"/>
  <c r="HF138"/>
  <c r="HG138"/>
  <c r="HH138"/>
  <c r="HI138"/>
  <c r="HJ138"/>
  <c r="HK138"/>
  <c r="HL138"/>
  <c r="HM138"/>
  <c r="HN138"/>
  <c r="HO138"/>
  <c r="HP138"/>
  <c r="HQ138"/>
  <c r="HR138"/>
  <c r="HS138"/>
  <c r="HT138"/>
  <c r="HU138"/>
  <c r="HV138"/>
  <c r="HW138"/>
  <c r="HX138"/>
  <c r="HY138"/>
  <c r="HZ138"/>
  <c r="IA138"/>
  <c r="IB138"/>
  <c r="IC138"/>
  <c r="ID138"/>
  <c r="IE138"/>
  <c r="IF138"/>
  <c r="IG138"/>
  <c r="IH138"/>
  <c r="II138"/>
  <c r="IJ138"/>
  <c r="IK138"/>
  <c r="IL138"/>
  <c r="IM138"/>
  <c r="IN138"/>
  <c r="IO138"/>
  <c r="IP138"/>
  <c r="IQ138"/>
  <c r="IR138"/>
  <c r="IS138"/>
  <c r="IT138"/>
  <c r="IU138"/>
  <c r="IV138"/>
  <c r="A137"/>
  <c r="B137"/>
  <c r="C137"/>
  <c r="D137"/>
  <c r="E137"/>
  <c r="F137"/>
  <c r="G137"/>
  <c r="H137"/>
  <c r="I137"/>
  <c r="J137"/>
  <c r="K137"/>
  <c r="L137"/>
  <c r="M137"/>
  <c r="N137"/>
  <c r="O137"/>
  <c r="P137"/>
  <c r="Q137"/>
  <c r="R137"/>
  <c r="S137"/>
  <c r="T137"/>
  <c r="U137"/>
  <c r="V137"/>
  <c r="W137"/>
  <c r="X137"/>
  <c r="Y137"/>
  <c r="Z137"/>
  <c r="AA137"/>
  <c r="AB137"/>
  <c r="AC137"/>
  <c r="AD137"/>
  <c r="AE137"/>
  <c r="AF137"/>
  <c r="AG137"/>
  <c r="AH137"/>
  <c r="AI137"/>
  <c r="AJ137"/>
  <c r="AK137"/>
  <c r="AL137"/>
  <c r="AM137"/>
  <c r="AN137"/>
  <c r="AO137"/>
  <c r="AP137"/>
  <c r="AQ137"/>
  <c r="AR137"/>
  <c r="AS137"/>
  <c r="AT137"/>
  <c r="AU137"/>
  <c r="AV137"/>
  <c r="AW137"/>
  <c r="AX137"/>
  <c r="AY137"/>
  <c r="AZ137"/>
  <c r="BA137"/>
  <c r="BB137"/>
  <c r="BC137"/>
  <c r="BD137"/>
  <c r="BE137"/>
  <c r="BF137"/>
  <c r="BG137"/>
  <c r="BH137"/>
  <c r="BI137"/>
  <c r="BJ137"/>
  <c r="BK137"/>
  <c r="BL137"/>
  <c r="BM137"/>
  <c r="BN137"/>
  <c r="BO137"/>
  <c r="BP137"/>
  <c r="BQ137"/>
  <c r="BR137"/>
  <c r="BS137"/>
  <c r="BT137"/>
  <c r="BU137"/>
  <c r="BV137"/>
  <c r="BW137"/>
  <c r="BX137"/>
  <c r="BY137"/>
  <c r="BZ137"/>
  <c r="CA137"/>
  <c r="CB137"/>
  <c r="CC137"/>
  <c r="CD137"/>
  <c r="CE137"/>
  <c r="CF137"/>
  <c r="CG137"/>
  <c r="CH137"/>
  <c r="CI137"/>
  <c r="CJ137"/>
  <c r="CK137"/>
  <c r="CL137"/>
  <c r="CM137"/>
  <c r="CN137"/>
  <c r="CO137"/>
  <c r="CP137"/>
  <c r="CQ137"/>
  <c r="CR137"/>
  <c r="CS137"/>
  <c r="CT137"/>
  <c r="CU137"/>
  <c r="CV137"/>
  <c r="CW137"/>
  <c r="CX137"/>
  <c r="CY137"/>
  <c r="CZ137"/>
  <c r="DA137"/>
  <c r="DB137"/>
  <c r="DC137"/>
  <c r="DD137"/>
  <c r="DE137"/>
  <c r="DF137"/>
  <c r="DG137"/>
  <c r="DH137"/>
  <c r="DI137"/>
  <c r="DJ137"/>
  <c r="DK137"/>
  <c r="DL137"/>
  <c r="DM137"/>
  <c r="DN137"/>
  <c r="DO137"/>
  <c r="DP137"/>
  <c r="DQ137"/>
  <c r="DR137"/>
  <c r="DS137"/>
  <c r="DT137"/>
  <c r="DU137"/>
  <c r="DV137"/>
  <c r="DW137"/>
  <c r="DX137"/>
  <c r="DY137"/>
  <c r="DZ137"/>
  <c r="EA137"/>
  <c r="EB137"/>
  <c r="EC137"/>
  <c r="ED137"/>
  <c r="EE137"/>
  <c r="EF137"/>
  <c r="EG137"/>
  <c r="EH137"/>
  <c r="EI137"/>
  <c r="EJ137"/>
  <c r="EK137"/>
  <c r="EL137"/>
  <c r="EM137"/>
  <c r="EN137"/>
  <c r="EO137"/>
  <c r="EP137"/>
  <c r="EQ137"/>
  <c r="ER137"/>
  <c r="ES137"/>
  <c r="ET137"/>
  <c r="EU137"/>
  <c r="EV137"/>
  <c r="EW137"/>
  <c r="EX137"/>
  <c r="EY137"/>
  <c r="EZ137"/>
  <c r="FA137"/>
  <c r="FB137"/>
  <c r="FC137"/>
  <c r="FD137"/>
  <c r="FE137"/>
  <c r="FF137"/>
  <c r="FG137"/>
  <c r="FH137"/>
  <c r="FI137"/>
  <c r="FJ137"/>
  <c r="FK137"/>
  <c r="FL137"/>
  <c r="FM137"/>
  <c r="FN137"/>
  <c r="FO137"/>
  <c r="FP137"/>
  <c r="FQ137"/>
  <c r="FR137"/>
  <c r="FS137"/>
  <c r="FT137"/>
  <c r="FU137"/>
  <c r="FV137"/>
  <c r="FW137"/>
  <c r="FX137"/>
  <c r="FY137"/>
  <c r="FZ137"/>
  <c r="GA137"/>
  <c r="GB137"/>
  <c r="GC137"/>
  <c r="GD137"/>
  <c r="GE137"/>
  <c r="GF137"/>
  <c r="GG137"/>
  <c r="GH137"/>
  <c r="GI137"/>
  <c r="GJ137"/>
  <c r="GK137"/>
  <c r="GL137"/>
  <c r="GM137"/>
  <c r="GN137"/>
  <c r="GO137"/>
  <c r="GP137"/>
  <c r="GQ137"/>
  <c r="GR137"/>
  <c r="GS137"/>
  <c r="GT137"/>
  <c r="GU137"/>
  <c r="GV137"/>
  <c r="GW137"/>
  <c r="GX137"/>
  <c r="GY137"/>
  <c r="GZ137"/>
  <c r="HA137"/>
  <c r="HB137"/>
  <c r="HC137"/>
  <c r="HD137"/>
  <c r="HE137"/>
  <c r="HF137"/>
  <c r="HG137"/>
  <c r="HH137"/>
  <c r="HI137"/>
  <c r="HJ137"/>
  <c r="HK137"/>
  <c r="HL137"/>
  <c r="HM137"/>
  <c r="HN137"/>
  <c r="HO137"/>
  <c r="HP137"/>
  <c r="HQ137"/>
  <c r="HR137"/>
  <c r="HS137"/>
  <c r="HT137"/>
  <c r="HU137"/>
  <c r="HV137"/>
  <c r="HW137"/>
  <c r="HX137"/>
  <c r="HY137"/>
  <c r="HZ137"/>
  <c r="IA137"/>
  <c r="IB137"/>
  <c r="IC137"/>
  <c r="ID137"/>
  <c r="IE137"/>
  <c r="IF137"/>
  <c r="IG137"/>
  <c r="IH137"/>
  <c r="II137"/>
  <c r="IJ137"/>
  <c r="IK137"/>
  <c r="IL137"/>
  <c r="IM137"/>
  <c r="IN137"/>
  <c r="IO137"/>
  <c r="IP137"/>
  <c r="IQ137"/>
  <c r="IR137"/>
  <c r="IS137"/>
  <c r="IT137"/>
  <c r="IU137"/>
  <c r="IV137"/>
  <c r="A136"/>
  <c r="B136"/>
  <c r="C136"/>
  <c r="D136"/>
  <c r="E136"/>
  <c r="F136"/>
  <c r="G136"/>
  <c r="H136"/>
  <c r="I136"/>
  <c r="J136"/>
  <c r="K136"/>
  <c r="L136"/>
  <c r="M136"/>
  <c r="N136"/>
  <c r="O136"/>
  <c r="P136"/>
  <c r="Q136"/>
  <c r="R136"/>
  <c r="S136"/>
  <c r="T136"/>
  <c r="U136"/>
  <c r="V136"/>
  <c r="W136"/>
  <c r="X136"/>
  <c r="Y136"/>
  <c r="Z136"/>
  <c r="AA136"/>
  <c r="AB136"/>
  <c r="AC136"/>
  <c r="AD136"/>
  <c r="AE136"/>
  <c r="AF136"/>
  <c r="AG136"/>
  <c r="AH136"/>
  <c r="AI136"/>
  <c r="AJ136"/>
  <c r="AK136"/>
  <c r="AL136"/>
  <c r="AM136"/>
  <c r="AN136"/>
  <c r="AO136"/>
  <c r="AP136"/>
  <c r="AQ136"/>
  <c r="AR136"/>
  <c r="AS136"/>
  <c r="AT136"/>
  <c r="AU136"/>
  <c r="AV136"/>
  <c r="AW136"/>
  <c r="AX136"/>
  <c r="AY136"/>
  <c r="AZ136"/>
  <c r="BA136"/>
  <c r="BB136"/>
  <c r="BC136"/>
  <c r="BD136"/>
  <c r="BE136"/>
  <c r="BF136"/>
  <c r="BG136"/>
  <c r="BH136"/>
  <c r="BI136"/>
  <c r="BJ136"/>
  <c r="BK136"/>
  <c r="BL136"/>
  <c r="BM136"/>
  <c r="BN136"/>
  <c r="BO136"/>
  <c r="BP136"/>
  <c r="BQ136"/>
  <c r="BR136"/>
  <c r="BS136"/>
  <c r="BT136"/>
  <c r="BU136"/>
  <c r="BV136"/>
  <c r="BW136"/>
  <c r="BX136"/>
  <c r="BY136"/>
  <c r="BZ136"/>
  <c r="CA136"/>
  <c r="CB136"/>
  <c r="CC136"/>
  <c r="CD136"/>
  <c r="CE136"/>
  <c r="CF136"/>
  <c r="CG136"/>
  <c r="CH136"/>
  <c r="CI136"/>
  <c r="CJ136"/>
  <c r="CK136"/>
  <c r="CL136"/>
  <c r="CM136"/>
  <c r="CN136"/>
  <c r="CO136"/>
  <c r="CP136"/>
  <c r="CQ136"/>
  <c r="CR136"/>
  <c r="CS136"/>
  <c r="CT136"/>
  <c r="CU136"/>
  <c r="CV136"/>
  <c r="CW136"/>
  <c r="CX136"/>
  <c r="CY136"/>
  <c r="CZ136"/>
  <c r="DA136"/>
  <c r="DB136"/>
  <c r="DC136"/>
  <c r="DD136"/>
  <c r="DE136"/>
  <c r="DF136"/>
  <c r="DG136"/>
  <c r="DH136"/>
  <c r="DI136"/>
  <c r="DJ136"/>
  <c r="DK136"/>
  <c r="DL136"/>
  <c r="DM136"/>
  <c r="DN136"/>
  <c r="DO136"/>
  <c r="DP136"/>
  <c r="DQ136"/>
  <c r="DR136"/>
  <c r="DS136"/>
  <c r="DT136"/>
  <c r="DU136"/>
  <c r="DV136"/>
  <c r="DW136"/>
  <c r="DX136"/>
  <c r="DY136"/>
  <c r="DZ136"/>
  <c r="EA136"/>
  <c r="EB136"/>
  <c r="EC136"/>
  <c r="ED136"/>
  <c r="EE136"/>
  <c r="EF136"/>
  <c r="EG136"/>
  <c r="EH136"/>
  <c r="EI136"/>
  <c r="EJ136"/>
  <c r="EK136"/>
  <c r="EL136"/>
  <c r="EM136"/>
  <c r="EN136"/>
  <c r="EO136"/>
  <c r="EP136"/>
  <c r="EQ136"/>
  <c r="ER136"/>
  <c r="ES136"/>
  <c r="ET136"/>
  <c r="EU136"/>
  <c r="EV136"/>
  <c r="EW136"/>
  <c r="EX136"/>
  <c r="EY136"/>
  <c r="EZ136"/>
  <c r="FA136"/>
  <c r="FB136"/>
  <c r="FC136"/>
  <c r="FD136"/>
  <c r="FE136"/>
  <c r="FF136"/>
  <c r="FG136"/>
  <c r="FH136"/>
  <c r="FI136"/>
  <c r="FJ136"/>
  <c r="FK136"/>
  <c r="FL136"/>
  <c r="FM136"/>
  <c r="FN136"/>
  <c r="FO136"/>
  <c r="FP136"/>
  <c r="FQ136"/>
  <c r="FR136"/>
  <c r="FS136"/>
  <c r="FT136"/>
  <c r="FU136"/>
  <c r="FV136"/>
  <c r="FW136"/>
  <c r="FX136"/>
  <c r="FY136"/>
  <c r="FZ136"/>
  <c r="GA136"/>
  <c r="GB136"/>
  <c r="GC136"/>
  <c r="GD136"/>
  <c r="GE136"/>
  <c r="GF136"/>
  <c r="GG136"/>
  <c r="GH136"/>
  <c r="GI136"/>
  <c r="GJ136"/>
  <c r="GK136"/>
  <c r="GL136"/>
  <c r="GM136"/>
  <c r="GN136"/>
  <c r="GO136"/>
  <c r="GP136"/>
  <c r="GQ136"/>
  <c r="GR136"/>
  <c r="GS136"/>
  <c r="GT136"/>
  <c r="GU136"/>
  <c r="GV136"/>
  <c r="GW136"/>
  <c r="GX136"/>
  <c r="GY136"/>
  <c r="GZ136"/>
  <c r="HA136"/>
  <c r="HB136"/>
  <c r="HC136"/>
  <c r="HD136"/>
  <c r="HE136"/>
  <c r="HF136"/>
  <c r="HG136"/>
  <c r="HH136"/>
  <c r="HI136"/>
  <c r="HJ136"/>
  <c r="HK136"/>
  <c r="HL136"/>
  <c r="HM136"/>
  <c r="HN136"/>
  <c r="HO136"/>
  <c r="HP136"/>
  <c r="HQ136"/>
  <c r="HR136"/>
  <c r="HS136"/>
  <c r="HT136"/>
  <c r="HU136"/>
  <c r="HV136"/>
  <c r="HW136"/>
  <c r="HX136"/>
  <c r="HY136"/>
  <c r="HZ136"/>
  <c r="IA136"/>
  <c r="IB136"/>
  <c r="IC136"/>
  <c r="ID136"/>
  <c r="IE136"/>
  <c r="IF136"/>
  <c r="IG136"/>
  <c r="IH136"/>
  <c r="II136"/>
  <c r="IJ136"/>
  <c r="IK136"/>
  <c r="IL136"/>
  <c r="IM136"/>
  <c r="IN136"/>
  <c r="IO136"/>
  <c r="IP136"/>
  <c r="IQ136"/>
  <c r="IR136"/>
  <c r="IS136"/>
  <c r="IT136"/>
  <c r="IU136"/>
  <c r="IV136"/>
  <c r="A135"/>
  <c r="B135"/>
  <c r="C135"/>
  <c r="D135"/>
  <c r="E135"/>
  <c r="F135"/>
  <c r="G135"/>
  <c r="H135"/>
  <c r="I135"/>
  <c r="J135"/>
  <c r="K135"/>
  <c r="L135"/>
  <c r="M135"/>
  <c r="N135"/>
  <c r="O135"/>
  <c r="P135"/>
  <c r="Q135"/>
  <c r="R135"/>
  <c r="S135"/>
  <c r="T135"/>
  <c r="U135"/>
  <c r="V135"/>
  <c r="W135"/>
  <c r="X135"/>
  <c r="Y135"/>
  <c r="Z135"/>
  <c r="AA135"/>
  <c r="AB135"/>
  <c r="AC135"/>
  <c r="AD135"/>
  <c r="AE135"/>
  <c r="AF135"/>
  <c r="AG135"/>
  <c r="AH135"/>
  <c r="AI135"/>
  <c r="AJ135"/>
  <c r="AK135"/>
  <c r="AL135"/>
  <c r="AM135"/>
  <c r="AN135"/>
  <c r="AO135"/>
  <c r="AP135"/>
  <c r="AQ135"/>
  <c r="AR135"/>
  <c r="AS135"/>
  <c r="AT135"/>
  <c r="AU135"/>
  <c r="AV135"/>
  <c r="AW135"/>
  <c r="AX135"/>
  <c r="AY135"/>
  <c r="AZ135"/>
  <c r="BA135"/>
  <c r="BB135"/>
  <c r="BC135"/>
  <c r="BD135"/>
  <c r="BE135"/>
  <c r="BF135"/>
  <c r="BG135"/>
  <c r="BH135"/>
  <c r="BI135"/>
  <c r="BJ135"/>
  <c r="BK135"/>
  <c r="BL135"/>
  <c r="BM135"/>
  <c r="BN135"/>
  <c r="BO135"/>
  <c r="BP135"/>
  <c r="BQ135"/>
  <c r="BR135"/>
  <c r="BS135"/>
  <c r="BT135"/>
  <c r="BU135"/>
  <c r="BV135"/>
  <c r="BW135"/>
  <c r="BX135"/>
  <c r="BY135"/>
  <c r="BZ135"/>
  <c r="CA135"/>
  <c r="CB135"/>
  <c r="CC135"/>
  <c r="CD135"/>
  <c r="CE135"/>
  <c r="CF135"/>
  <c r="CG135"/>
  <c r="CH135"/>
  <c r="CI135"/>
  <c r="CJ135"/>
  <c r="CK135"/>
  <c r="CL135"/>
  <c r="CM135"/>
  <c r="CN135"/>
  <c r="CO135"/>
  <c r="CP135"/>
  <c r="CQ135"/>
  <c r="CR135"/>
  <c r="CS135"/>
  <c r="CT135"/>
  <c r="CU135"/>
  <c r="CV135"/>
  <c r="CW135"/>
  <c r="CX135"/>
  <c r="CY135"/>
  <c r="CZ135"/>
  <c r="DA135"/>
  <c r="DB135"/>
  <c r="DC135"/>
  <c r="DD135"/>
  <c r="DE135"/>
  <c r="DF135"/>
  <c r="DG135"/>
  <c r="DH135"/>
  <c r="DI135"/>
  <c r="DJ135"/>
  <c r="DK135"/>
  <c r="DL135"/>
  <c r="DM135"/>
  <c r="DN135"/>
  <c r="DO135"/>
  <c r="DP135"/>
  <c r="DQ135"/>
  <c r="DR135"/>
  <c r="DS135"/>
  <c r="DT135"/>
  <c r="DU135"/>
  <c r="DV135"/>
  <c r="DW135"/>
  <c r="DX135"/>
  <c r="DY135"/>
  <c r="DZ135"/>
  <c r="EA135"/>
  <c r="EB135"/>
  <c r="EC135"/>
  <c r="ED135"/>
  <c r="EE135"/>
  <c r="EF135"/>
  <c r="EG135"/>
  <c r="EH135"/>
  <c r="EI135"/>
  <c r="EJ135"/>
  <c r="EK135"/>
  <c r="EL135"/>
  <c r="EM135"/>
  <c r="EN135"/>
  <c r="EO135"/>
  <c r="EP135"/>
  <c r="EQ135"/>
  <c r="ER135"/>
  <c r="ES135"/>
  <c r="ET135"/>
  <c r="EU135"/>
  <c r="EV135"/>
  <c r="EW135"/>
  <c r="EX135"/>
  <c r="EY135"/>
  <c r="EZ135"/>
  <c r="FA135"/>
  <c r="FB135"/>
  <c r="FC135"/>
  <c r="FD135"/>
  <c r="FE135"/>
  <c r="FF135"/>
  <c r="FG135"/>
  <c r="FH135"/>
  <c r="FI135"/>
  <c r="FJ135"/>
  <c r="FK135"/>
  <c r="FL135"/>
  <c r="FM135"/>
  <c r="FN135"/>
  <c r="FO135"/>
  <c r="FP135"/>
  <c r="FQ135"/>
  <c r="FR135"/>
  <c r="FS135"/>
  <c r="FT135"/>
  <c r="FU135"/>
  <c r="FV135"/>
  <c r="FW135"/>
  <c r="FX135"/>
  <c r="FY135"/>
  <c r="FZ135"/>
  <c r="GA135"/>
  <c r="GB135"/>
  <c r="GC135"/>
  <c r="GD135"/>
  <c r="GE135"/>
  <c r="GF135"/>
  <c r="GG135"/>
  <c r="GH135"/>
  <c r="GI135"/>
  <c r="GJ135"/>
  <c r="GK135"/>
  <c r="GL135"/>
  <c r="GM135"/>
  <c r="GN135"/>
  <c r="GO135"/>
  <c r="GP135"/>
  <c r="GQ135"/>
  <c r="GR135"/>
  <c r="GS135"/>
  <c r="GT135"/>
  <c r="GU135"/>
  <c r="GV135"/>
  <c r="GW135"/>
  <c r="GX135"/>
  <c r="GY135"/>
  <c r="GZ135"/>
  <c r="HA135"/>
  <c r="HB135"/>
  <c r="HC135"/>
  <c r="HD135"/>
  <c r="HE135"/>
  <c r="HF135"/>
  <c r="HG135"/>
  <c r="HH135"/>
  <c r="HI135"/>
  <c r="HJ135"/>
  <c r="HK135"/>
  <c r="HL135"/>
  <c r="HM135"/>
  <c r="HN135"/>
  <c r="HO135"/>
  <c r="HP135"/>
  <c r="HQ135"/>
  <c r="HR135"/>
  <c r="HS135"/>
  <c r="HT135"/>
  <c r="HU135"/>
  <c r="HV135"/>
  <c r="HW135"/>
  <c r="HX135"/>
  <c r="HY135"/>
  <c r="HZ135"/>
  <c r="IA135"/>
  <c r="IB135"/>
  <c r="IC135"/>
  <c r="ID135"/>
  <c r="IE135"/>
  <c r="IF135"/>
  <c r="IG135"/>
  <c r="IH135"/>
  <c r="II135"/>
  <c r="IJ135"/>
  <c r="IK135"/>
  <c r="IL135"/>
  <c r="IM135"/>
  <c r="IN135"/>
  <c r="IO135"/>
  <c r="IP135"/>
  <c r="IQ135"/>
  <c r="IR135"/>
  <c r="IS135"/>
  <c r="IT135"/>
  <c r="IU135"/>
  <c r="IV135"/>
  <c r="A134"/>
  <c r="B134"/>
  <c r="C134"/>
  <c r="D134"/>
  <c r="E134"/>
  <c r="F134"/>
  <c r="G134"/>
  <c r="H134"/>
  <c r="I134"/>
  <c r="J134"/>
  <c r="K134"/>
  <c r="L134"/>
  <c r="M134"/>
  <c r="N134"/>
  <c r="O134"/>
  <c r="P134"/>
  <c r="Q134"/>
  <c r="R134"/>
  <c r="S134"/>
  <c r="T134"/>
  <c r="U134"/>
  <c r="V134"/>
  <c r="W134"/>
  <c r="X134"/>
  <c r="Y134"/>
  <c r="Z134"/>
  <c r="AA134"/>
  <c r="AB134"/>
  <c r="AC134"/>
  <c r="AD134"/>
  <c r="AE134"/>
  <c r="AF134"/>
  <c r="AG134"/>
  <c r="AH134"/>
  <c r="AI134"/>
  <c r="AJ134"/>
  <c r="AK134"/>
  <c r="AL134"/>
  <c r="AM134"/>
  <c r="AN134"/>
  <c r="AO134"/>
  <c r="AP134"/>
  <c r="AQ134"/>
  <c r="AR134"/>
  <c r="AS134"/>
  <c r="AT134"/>
  <c r="AU134"/>
  <c r="AV134"/>
  <c r="AW134"/>
  <c r="AX134"/>
  <c r="AY134"/>
  <c r="AZ134"/>
  <c r="BA134"/>
  <c r="BB134"/>
  <c r="BC134"/>
  <c r="BD134"/>
  <c r="BE134"/>
  <c r="BF134"/>
  <c r="BG134"/>
  <c r="BH134"/>
  <c r="BI134"/>
  <c r="BJ134"/>
  <c r="BK134"/>
  <c r="BL134"/>
  <c r="BM134"/>
  <c r="BN134"/>
  <c r="BO134"/>
  <c r="BP134"/>
  <c r="BQ134"/>
  <c r="BR134"/>
  <c r="BS134"/>
  <c r="BT134"/>
  <c r="BU134"/>
  <c r="BV134"/>
  <c r="BW134"/>
  <c r="BX134"/>
  <c r="BY134"/>
  <c r="BZ134"/>
  <c r="CA134"/>
  <c r="CB134"/>
  <c r="CC134"/>
  <c r="CD134"/>
  <c r="CE134"/>
  <c r="CF134"/>
  <c r="CG134"/>
  <c r="CH134"/>
  <c r="CI134"/>
  <c r="CJ134"/>
  <c r="CK134"/>
  <c r="CL134"/>
  <c r="CM134"/>
  <c r="CN134"/>
  <c r="CO134"/>
  <c r="CP134"/>
  <c r="CQ134"/>
  <c r="CR134"/>
  <c r="CS134"/>
  <c r="CT134"/>
  <c r="CU134"/>
  <c r="CV134"/>
  <c r="CW134"/>
  <c r="CX134"/>
  <c r="CY134"/>
  <c r="CZ134"/>
  <c r="DA134"/>
  <c r="DB134"/>
  <c r="DC134"/>
  <c r="DD134"/>
  <c r="DE134"/>
  <c r="DF134"/>
  <c r="DG134"/>
  <c r="DH134"/>
  <c r="DI134"/>
  <c r="DJ134"/>
  <c r="DK134"/>
  <c r="DL134"/>
  <c r="DM134"/>
  <c r="DN134"/>
  <c r="DO134"/>
  <c r="DP134"/>
  <c r="DQ134"/>
  <c r="DR134"/>
  <c r="DS134"/>
  <c r="DT134"/>
  <c r="DU134"/>
  <c r="DV134"/>
  <c r="DW134"/>
  <c r="DX134"/>
  <c r="DY134"/>
  <c r="DZ134"/>
  <c r="EA134"/>
  <c r="EB134"/>
  <c r="EC134"/>
  <c r="ED134"/>
  <c r="EE134"/>
  <c r="EF134"/>
  <c r="EG134"/>
  <c r="EH134"/>
  <c r="EI134"/>
  <c r="EJ134"/>
  <c r="EK134"/>
  <c r="EL134"/>
  <c r="EM134"/>
  <c r="EN134"/>
  <c r="EO134"/>
  <c r="EP134"/>
  <c r="EQ134"/>
  <c r="ER134"/>
  <c r="ES134"/>
  <c r="ET134"/>
  <c r="EU134"/>
  <c r="EV134"/>
  <c r="EW134"/>
  <c r="EX134"/>
  <c r="EY134"/>
  <c r="EZ134"/>
  <c r="FA134"/>
  <c r="FB134"/>
  <c r="FC134"/>
  <c r="FD134"/>
  <c r="FE134"/>
  <c r="FF134"/>
  <c r="FG134"/>
  <c r="FH134"/>
  <c r="FI134"/>
  <c r="FJ134"/>
  <c r="FK134"/>
  <c r="FL134"/>
  <c r="FM134"/>
  <c r="FN134"/>
  <c r="FO134"/>
  <c r="FP134"/>
  <c r="FQ134"/>
  <c r="FR134"/>
  <c r="FS134"/>
  <c r="FT134"/>
  <c r="FU134"/>
  <c r="FV134"/>
  <c r="FW134"/>
  <c r="FX134"/>
  <c r="FY134"/>
  <c r="FZ134"/>
  <c r="GA134"/>
  <c r="GB134"/>
  <c r="GC134"/>
  <c r="GD134"/>
  <c r="GE134"/>
  <c r="GF134"/>
  <c r="GG134"/>
  <c r="GH134"/>
  <c r="GI134"/>
  <c r="GJ134"/>
  <c r="GK134"/>
  <c r="GL134"/>
  <c r="GM134"/>
  <c r="GN134"/>
  <c r="GO134"/>
  <c r="GP134"/>
  <c r="GQ134"/>
  <c r="GR134"/>
  <c r="GS134"/>
  <c r="GT134"/>
  <c r="GU134"/>
  <c r="GV134"/>
  <c r="GW134"/>
  <c r="GX134"/>
  <c r="GY134"/>
  <c r="GZ134"/>
  <c r="HA134"/>
  <c r="HB134"/>
  <c r="HC134"/>
  <c r="HD134"/>
  <c r="HE134"/>
  <c r="HF134"/>
  <c r="HG134"/>
  <c r="HH134"/>
  <c r="HI134"/>
  <c r="HJ134"/>
  <c r="HK134"/>
  <c r="HL134"/>
  <c r="HM134"/>
  <c r="HN134"/>
  <c r="HO134"/>
  <c r="HP134"/>
  <c r="HQ134"/>
  <c r="HR134"/>
  <c r="HS134"/>
  <c r="HT134"/>
  <c r="HU134"/>
  <c r="HV134"/>
  <c r="HW134"/>
  <c r="HX134"/>
  <c r="HY134"/>
  <c r="HZ134"/>
  <c r="IA134"/>
  <c r="IB134"/>
  <c r="IC134"/>
  <c r="ID134"/>
  <c r="IE134"/>
  <c r="IF134"/>
  <c r="IG134"/>
  <c r="IH134"/>
  <c r="II134"/>
  <c r="IJ134"/>
  <c r="IK134"/>
  <c r="IL134"/>
  <c r="IM134"/>
  <c r="IN134"/>
  <c r="IO134"/>
  <c r="IP134"/>
  <c r="IQ134"/>
  <c r="IR134"/>
  <c r="IS134"/>
  <c r="IT134"/>
  <c r="IU134"/>
  <c r="IV134"/>
  <c r="A133"/>
  <c r="B133"/>
  <c r="C133"/>
  <c r="D133"/>
  <c r="E133"/>
  <c r="F133"/>
  <c r="G133"/>
  <c r="H133"/>
  <c r="I133"/>
  <c r="J133"/>
  <c r="K133"/>
  <c r="L133"/>
  <c r="M133"/>
  <c r="N133"/>
  <c r="O133"/>
  <c r="P133"/>
  <c r="Q133"/>
  <c r="R133"/>
  <c r="S133"/>
  <c r="T133"/>
  <c r="U133"/>
  <c r="V133"/>
  <c r="W133"/>
  <c r="X133"/>
  <c r="Y133"/>
  <c r="Z133"/>
  <c r="AA133"/>
  <c r="AB133"/>
  <c r="AC133"/>
  <c r="AD133"/>
  <c r="AE133"/>
  <c r="AF133"/>
  <c r="AG133"/>
  <c r="AH133"/>
  <c r="AI133"/>
  <c r="AJ133"/>
  <c r="AK133"/>
  <c r="AL133"/>
  <c r="AM133"/>
  <c r="AN133"/>
  <c r="AO133"/>
  <c r="AP133"/>
  <c r="AQ133"/>
  <c r="AR133"/>
  <c r="AS133"/>
  <c r="AT133"/>
  <c r="AU133"/>
  <c r="AV133"/>
  <c r="AW133"/>
  <c r="AX133"/>
  <c r="AY133"/>
  <c r="AZ133"/>
  <c r="BA133"/>
  <c r="BB133"/>
  <c r="BC133"/>
  <c r="BD133"/>
  <c r="BE133"/>
  <c r="BF133"/>
  <c r="BG133"/>
  <c r="BH133"/>
  <c r="BI133"/>
  <c r="BJ133"/>
  <c r="BK133"/>
  <c r="BL133"/>
  <c r="BM133"/>
  <c r="BN133"/>
  <c r="BO133"/>
  <c r="BP133"/>
  <c r="BQ133"/>
  <c r="BR133"/>
  <c r="BS133"/>
  <c r="BT133"/>
  <c r="BU133"/>
  <c r="BV133"/>
  <c r="BW133"/>
  <c r="BX133"/>
  <c r="BY133"/>
  <c r="BZ133"/>
  <c r="CA133"/>
  <c r="CB133"/>
  <c r="CC133"/>
  <c r="CD133"/>
  <c r="CE133"/>
  <c r="CF133"/>
  <c r="CG133"/>
  <c r="CH133"/>
  <c r="CI133"/>
  <c r="CJ133"/>
  <c r="CK133"/>
  <c r="CL133"/>
  <c r="CM133"/>
  <c r="CN133"/>
  <c r="CO133"/>
  <c r="CP133"/>
  <c r="CQ133"/>
  <c r="CR133"/>
  <c r="CS133"/>
  <c r="CT133"/>
  <c r="CU133"/>
  <c r="CV133"/>
  <c r="CW133"/>
  <c r="CX133"/>
  <c r="CY133"/>
  <c r="CZ133"/>
  <c r="DA133"/>
  <c r="DB133"/>
  <c r="DC133"/>
  <c r="DD133"/>
  <c r="DE133"/>
  <c r="DF133"/>
  <c r="DG133"/>
  <c r="DH133"/>
  <c r="DI133"/>
  <c r="DJ133"/>
  <c r="DK133"/>
  <c r="DL133"/>
  <c r="DM133"/>
  <c r="DN133"/>
  <c r="DO133"/>
  <c r="DP133"/>
  <c r="DQ133"/>
  <c r="DR133"/>
  <c r="DS133"/>
  <c r="DT133"/>
  <c r="DU133"/>
  <c r="DV133"/>
  <c r="DW133"/>
  <c r="DX133"/>
  <c r="DY133"/>
  <c r="DZ133"/>
  <c r="EA133"/>
  <c r="EB133"/>
  <c r="EC133"/>
  <c r="ED133"/>
  <c r="EE133"/>
  <c r="EF133"/>
  <c r="EG133"/>
  <c r="EH133"/>
  <c r="EI133"/>
  <c r="EJ133"/>
  <c r="EK133"/>
  <c r="EL133"/>
  <c r="EM133"/>
  <c r="EN133"/>
  <c r="EO133"/>
  <c r="EP133"/>
  <c r="EQ133"/>
  <c r="ER133"/>
  <c r="ES133"/>
  <c r="ET133"/>
  <c r="EU133"/>
  <c r="EV133"/>
  <c r="EW133"/>
  <c r="EX133"/>
  <c r="EY133"/>
  <c r="EZ133"/>
  <c r="FA133"/>
  <c r="FB133"/>
  <c r="FC133"/>
  <c r="FD133"/>
  <c r="FE133"/>
  <c r="FF133"/>
  <c r="FG133"/>
  <c r="FH133"/>
  <c r="FI133"/>
  <c r="FJ133"/>
  <c r="FK133"/>
  <c r="FL133"/>
  <c r="FM133"/>
  <c r="FN133"/>
  <c r="FO133"/>
  <c r="FP133"/>
  <c r="FQ133"/>
  <c r="FR133"/>
  <c r="FS133"/>
  <c r="FT133"/>
  <c r="FU133"/>
  <c r="FV133"/>
  <c r="FW133"/>
  <c r="FX133"/>
  <c r="FY133"/>
  <c r="FZ133"/>
  <c r="GA133"/>
  <c r="GB133"/>
  <c r="GC133"/>
  <c r="GD133"/>
  <c r="GE133"/>
  <c r="GF133"/>
  <c r="GG133"/>
  <c r="GH133"/>
  <c r="GI133"/>
  <c r="GJ133"/>
  <c r="GK133"/>
  <c r="GL133"/>
  <c r="GM133"/>
  <c r="GN133"/>
  <c r="GO133"/>
  <c r="GP133"/>
  <c r="GQ133"/>
  <c r="GR133"/>
  <c r="GS133"/>
  <c r="GT133"/>
  <c r="GU133"/>
  <c r="GV133"/>
  <c r="GW133"/>
  <c r="GX133"/>
  <c r="GY133"/>
  <c r="GZ133"/>
  <c r="HA133"/>
  <c r="HB133"/>
  <c r="HC133"/>
  <c r="HD133"/>
  <c r="HE133"/>
  <c r="HF133"/>
  <c r="HG133"/>
  <c r="HH133"/>
  <c r="HI133"/>
  <c r="HJ133"/>
  <c r="HK133"/>
  <c r="HL133"/>
  <c r="HM133"/>
  <c r="HN133"/>
  <c r="HO133"/>
  <c r="HP133"/>
  <c r="HQ133"/>
  <c r="HR133"/>
  <c r="HS133"/>
  <c r="HT133"/>
  <c r="HU133"/>
  <c r="HV133"/>
  <c r="HW133"/>
  <c r="HX133"/>
  <c r="HY133"/>
  <c r="HZ133"/>
  <c r="IA133"/>
  <c r="IB133"/>
  <c r="IC133"/>
  <c r="ID133"/>
  <c r="IE133"/>
  <c r="IF133"/>
  <c r="IG133"/>
  <c r="IH133"/>
  <c r="II133"/>
  <c r="IJ133"/>
  <c r="IK133"/>
  <c r="IL133"/>
  <c r="IM133"/>
  <c r="IN133"/>
  <c r="IO133"/>
  <c r="IP133"/>
  <c r="IQ133"/>
  <c r="IR133"/>
  <c r="IS133"/>
  <c r="IT133"/>
  <c r="IU133"/>
  <c r="IV133"/>
  <c r="A132"/>
  <c r="B132"/>
  <c r="C132"/>
  <c r="D132"/>
  <c r="E132"/>
  <c r="F132"/>
  <c r="G132"/>
  <c r="H132"/>
  <c r="I132"/>
  <c r="J132"/>
  <c r="K132"/>
  <c r="L132"/>
  <c r="M132"/>
  <c r="N132"/>
  <c r="O132"/>
  <c r="P132"/>
  <c r="Q132"/>
  <c r="R132"/>
  <c r="S132"/>
  <c r="T132"/>
  <c r="U132"/>
  <c r="V132"/>
  <c r="W132"/>
  <c r="X132"/>
  <c r="Y132"/>
  <c r="Z132"/>
  <c r="AA132"/>
  <c r="AB132"/>
  <c r="AC132"/>
  <c r="AD132"/>
  <c r="AE132"/>
  <c r="AF132"/>
  <c r="AG132"/>
  <c r="AH132"/>
  <c r="AI132"/>
  <c r="AJ132"/>
  <c r="AK132"/>
  <c r="AL132"/>
  <c r="AM132"/>
  <c r="AN132"/>
  <c r="AO132"/>
  <c r="AP132"/>
  <c r="AQ132"/>
  <c r="AR132"/>
  <c r="AS132"/>
  <c r="AT132"/>
  <c r="AU132"/>
  <c r="AV132"/>
  <c r="AW132"/>
  <c r="AX132"/>
  <c r="AY132"/>
  <c r="AZ132"/>
  <c r="BA132"/>
  <c r="BB132"/>
  <c r="BC132"/>
  <c r="BD132"/>
  <c r="BE132"/>
  <c r="BF132"/>
  <c r="BG132"/>
  <c r="BH132"/>
  <c r="BI132"/>
  <c r="BJ132"/>
  <c r="BK132"/>
  <c r="BL132"/>
  <c r="BM132"/>
  <c r="BN132"/>
  <c r="BO132"/>
  <c r="BP132"/>
  <c r="BQ132"/>
  <c r="BR132"/>
  <c r="BS132"/>
  <c r="BT132"/>
  <c r="BU132"/>
  <c r="BV132"/>
  <c r="BW132"/>
  <c r="BX132"/>
  <c r="BY132"/>
  <c r="BZ132"/>
  <c r="CA132"/>
  <c r="CB132"/>
  <c r="CC132"/>
  <c r="CD132"/>
  <c r="CE132"/>
  <c r="CF132"/>
  <c r="CG132"/>
  <c r="CH132"/>
  <c r="CI132"/>
  <c r="CJ132"/>
  <c r="CK132"/>
  <c r="CL132"/>
  <c r="CM132"/>
  <c r="CN132"/>
  <c r="CO132"/>
  <c r="CP132"/>
  <c r="CQ132"/>
  <c r="CR132"/>
  <c r="CS132"/>
  <c r="CT132"/>
  <c r="CU132"/>
  <c r="CV132"/>
  <c r="CW132"/>
  <c r="CX132"/>
  <c r="CY132"/>
  <c r="CZ132"/>
  <c r="DA132"/>
  <c r="DB132"/>
  <c r="DC132"/>
  <c r="DD132"/>
  <c r="DE132"/>
  <c r="DF132"/>
  <c r="DG132"/>
  <c r="DH132"/>
  <c r="DI132"/>
  <c r="DJ132"/>
  <c r="DK132"/>
  <c r="DL132"/>
  <c r="DM132"/>
  <c r="DN132"/>
  <c r="DO132"/>
  <c r="DP132"/>
  <c r="DQ132"/>
  <c r="DR132"/>
  <c r="DS132"/>
  <c r="DT132"/>
  <c r="DU132"/>
  <c r="DV132"/>
  <c r="DW132"/>
  <c r="DX132"/>
  <c r="DY132"/>
  <c r="DZ132"/>
  <c r="EA132"/>
  <c r="EB132"/>
  <c r="EC132"/>
  <c r="ED132"/>
  <c r="EE132"/>
  <c r="EF132"/>
  <c r="EG132"/>
  <c r="EH132"/>
  <c r="EI132"/>
  <c r="EJ132"/>
  <c r="EK132"/>
  <c r="EL132"/>
  <c r="EM132"/>
  <c r="EN132"/>
  <c r="EO132"/>
  <c r="EP132"/>
  <c r="EQ132"/>
  <c r="ER132"/>
  <c r="ES132"/>
  <c r="ET132"/>
  <c r="EU132"/>
  <c r="EV132"/>
  <c r="EW132"/>
  <c r="EX132"/>
  <c r="EY132"/>
  <c r="EZ132"/>
  <c r="FA132"/>
  <c r="FB132"/>
  <c r="FC132"/>
  <c r="FD132"/>
  <c r="FE132"/>
  <c r="FF132"/>
  <c r="FG132"/>
  <c r="FH132"/>
  <c r="FI132"/>
  <c r="FJ132"/>
  <c r="FK132"/>
  <c r="FL132"/>
  <c r="FM132"/>
  <c r="FN132"/>
  <c r="FO132"/>
  <c r="FP132"/>
  <c r="FQ132"/>
  <c r="FR132"/>
  <c r="FS132"/>
  <c r="FT132"/>
  <c r="FU132"/>
  <c r="FV132"/>
  <c r="FW132"/>
  <c r="FX132"/>
  <c r="FY132"/>
  <c r="FZ132"/>
  <c r="GA132"/>
  <c r="GB132"/>
  <c r="GC132"/>
  <c r="GD132"/>
  <c r="GE132"/>
  <c r="GF132"/>
  <c r="GG132"/>
  <c r="GH132"/>
  <c r="GI132"/>
  <c r="GJ132"/>
  <c r="GK132"/>
  <c r="GL132"/>
  <c r="GM132"/>
  <c r="GN132"/>
  <c r="GO132"/>
  <c r="GP132"/>
  <c r="GQ132"/>
  <c r="GR132"/>
  <c r="GS132"/>
  <c r="GT132"/>
  <c r="GU132"/>
  <c r="GV132"/>
  <c r="GW132"/>
  <c r="GX132"/>
  <c r="GY132"/>
  <c r="GZ132"/>
  <c r="HA132"/>
  <c r="HB132"/>
  <c r="HC132"/>
  <c r="HD132"/>
  <c r="HE132"/>
  <c r="HF132"/>
  <c r="HG132"/>
  <c r="HH132"/>
  <c r="HI132"/>
  <c r="HJ132"/>
  <c r="HK132"/>
  <c r="HL132"/>
  <c r="HM132"/>
  <c r="HN132"/>
  <c r="HO132"/>
  <c r="HP132"/>
  <c r="HQ132"/>
  <c r="HR132"/>
  <c r="HS132"/>
  <c r="HT132"/>
  <c r="HU132"/>
  <c r="HV132"/>
  <c r="HW132"/>
  <c r="HX132"/>
  <c r="HY132"/>
  <c r="HZ132"/>
  <c r="IA132"/>
  <c r="IB132"/>
  <c r="IC132"/>
  <c r="ID132"/>
  <c r="IE132"/>
  <c r="IF132"/>
  <c r="IG132"/>
  <c r="IH132"/>
  <c r="II132"/>
  <c r="IJ132"/>
  <c r="IK132"/>
  <c r="IL132"/>
  <c r="IM132"/>
  <c r="IN132"/>
  <c r="IO132"/>
  <c r="IP132"/>
  <c r="IQ132"/>
  <c r="IR132"/>
  <c r="IS132"/>
  <c r="IT132"/>
  <c r="IU132"/>
  <c r="IV132"/>
  <c r="A131"/>
  <c r="B131"/>
  <c r="C131"/>
  <c r="D131"/>
  <c r="E131"/>
  <c r="F131"/>
  <c r="G131"/>
  <c r="H131"/>
  <c r="I131"/>
  <c r="J131"/>
  <c r="K131"/>
  <c r="L131"/>
  <c r="M131"/>
  <c r="N131"/>
  <c r="O131"/>
  <c r="P131"/>
  <c r="Q131"/>
  <c r="R131"/>
  <c r="S131"/>
  <c r="T131"/>
  <c r="U131"/>
  <c r="V131"/>
  <c r="W131"/>
  <c r="X131"/>
  <c r="Y131"/>
  <c r="Z131"/>
  <c r="AA131"/>
  <c r="AB131"/>
  <c r="AC131"/>
  <c r="AD131"/>
  <c r="AE131"/>
  <c r="AF131"/>
  <c r="AG131"/>
  <c r="AH131"/>
  <c r="AI131"/>
  <c r="AJ131"/>
  <c r="AK131"/>
  <c r="AL131"/>
  <c r="AM131"/>
  <c r="AN131"/>
  <c r="AO131"/>
  <c r="AP131"/>
  <c r="AQ131"/>
  <c r="AR131"/>
  <c r="AS131"/>
  <c r="AT131"/>
  <c r="AU131"/>
  <c r="AV131"/>
  <c r="AW131"/>
  <c r="AX131"/>
  <c r="AY131"/>
  <c r="AZ131"/>
  <c r="BA131"/>
  <c r="BB131"/>
  <c r="BC131"/>
  <c r="BD131"/>
  <c r="BE131"/>
  <c r="BF131"/>
  <c r="BG131"/>
  <c r="BH131"/>
  <c r="BI131"/>
  <c r="BJ131"/>
  <c r="BK131"/>
  <c r="BL131"/>
  <c r="BM131"/>
  <c r="BN131"/>
  <c r="BO131"/>
  <c r="BP131"/>
  <c r="BQ131"/>
  <c r="BR131"/>
  <c r="BS131"/>
  <c r="BT131"/>
  <c r="BU131"/>
  <c r="BV131"/>
  <c r="BW131"/>
  <c r="BX131"/>
  <c r="BY131"/>
  <c r="BZ131"/>
  <c r="CA131"/>
  <c r="CB131"/>
  <c r="CC131"/>
  <c r="CD131"/>
  <c r="CE131"/>
  <c r="CF131"/>
  <c r="CG131"/>
  <c r="CH131"/>
  <c r="CI131"/>
  <c r="CJ131"/>
  <c r="CK131"/>
  <c r="CL131"/>
  <c r="CM131"/>
  <c r="CN131"/>
  <c r="CO131"/>
  <c r="CP131"/>
  <c r="CQ131"/>
  <c r="CR131"/>
  <c r="CS131"/>
  <c r="CT131"/>
  <c r="CU131"/>
  <c r="CV131"/>
  <c r="CW131"/>
  <c r="CX131"/>
  <c r="CY131"/>
  <c r="CZ131"/>
  <c r="DA131"/>
  <c r="DB131"/>
  <c r="DC131"/>
  <c r="DD131"/>
  <c r="DE131"/>
  <c r="DF131"/>
  <c r="DG131"/>
  <c r="DH131"/>
  <c r="DI131"/>
  <c r="DJ131"/>
  <c r="DK131"/>
  <c r="DL131"/>
  <c r="DM131"/>
  <c r="DN131"/>
  <c r="DO131"/>
  <c r="DP131"/>
  <c r="DQ131"/>
  <c r="DR131"/>
  <c r="DS131"/>
  <c r="DT131"/>
  <c r="DU131"/>
  <c r="DV131"/>
  <c r="DW131"/>
  <c r="DX131"/>
  <c r="DY131"/>
  <c r="DZ131"/>
  <c r="EA131"/>
  <c r="EB131"/>
  <c r="EC131"/>
  <c r="ED131"/>
  <c r="EE131"/>
  <c r="EF131"/>
  <c r="EG131"/>
  <c r="EH131"/>
  <c r="EI131"/>
  <c r="EJ131"/>
  <c r="EK131"/>
  <c r="EL131"/>
  <c r="EM131"/>
  <c r="EN131"/>
  <c r="EO131"/>
  <c r="EP131"/>
  <c r="EQ131"/>
  <c r="ER131"/>
  <c r="ES131"/>
  <c r="ET131"/>
  <c r="EU131"/>
  <c r="EV131"/>
  <c r="EW131"/>
  <c r="EX131"/>
  <c r="EY131"/>
  <c r="EZ131"/>
  <c r="FA131"/>
  <c r="FB131"/>
  <c r="FC131"/>
  <c r="FD131"/>
  <c r="FE131"/>
  <c r="FF131"/>
  <c r="FG131"/>
  <c r="FH131"/>
  <c r="FI131"/>
  <c r="FJ131"/>
  <c r="FK131"/>
  <c r="FL131"/>
  <c r="FM131"/>
  <c r="FN131"/>
  <c r="FO131"/>
  <c r="FP131"/>
  <c r="FQ131"/>
  <c r="FR131"/>
  <c r="FS131"/>
  <c r="FT131"/>
  <c r="FU131"/>
  <c r="FV131"/>
  <c r="FW131"/>
  <c r="FX131"/>
  <c r="FY131"/>
  <c r="FZ131"/>
  <c r="GA131"/>
  <c r="GB131"/>
  <c r="GC131"/>
  <c r="GD131"/>
  <c r="GE131"/>
  <c r="GF131"/>
  <c r="GG131"/>
  <c r="GH131"/>
  <c r="GI131"/>
  <c r="GJ131"/>
  <c r="GK131"/>
  <c r="GL131"/>
  <c r="GM131"/>
  <c r="GN131"/>
  <c r="GO131"/>
  <c r="GP131"/>
  <c r="GQ131"/>
  <c r="GR131"/>
  <c r="GS131"/>
  <c r="GT131"/>
  <c r="GU131"/>
  <c r="GV131"/>
  <c r="GW131"/>
  <c r="GX131"/>
  <c r="GY131"/>
  <c r="GZ131"/>
  <c r="HA131"/>
  <c r="HB131"/>
  <c r="HC131"/>
  <c r="HD131"/>
  <c r="HE131"/>
  <c r="HF131"/>
  <c r="HG131"/>
  <c r="HH131"/>
  <c r="HI131"/>
  <c r="HJ131"/>
  <c r="HK131"/>
  <c r="HL131"/>
  <c r="HM131"/>
  <c r="HN131"/>
  <c r="HO131"/>
  <c r="HP131"/>
  <c r="HQ131"/>
  <c r="HR131"/>
  <c r="HS131"/>
  <c r="HT131"/>
  <c r="HU131"/>
  <c r="HV131"/>
  <c r="HW131"/>
  <c r="HX131"/>
  <c r="HY131"/>
  <c r="HZ131"/>
  <c r="IA131"/>
  <c r="IB131"/>
  <c r="IC131"/>
  <c r="ID131"/>
  <c r="IE131"/>
  <c r="IF131"/>
  <c r="IG131"/>
  <c r="IH131"/>
  <c r="II131"/>
  <c r="IJ131"/>
  <c r="IK131"/>
  <c r="IL131"/>
  <c r="IM131"/>
  <c r="IN131"/>
  <c r="IO131"/>
  <c r="IP131"/>
  <c r="IQ131"/>
  <c r="IR131"/>
  <c r="IS131"/>
  <c r="IT131"/>
  <c r="IU131"/>
  <c r="IV131"/>
  <c r="A130"/>
  <c r="B130"/>
  <c r="C130"/>
  <c r="D130"/>
  <c r="E130"/>
  <c r="F130"/>
  <c r="G130"/>
  <c r="H130"/>
  <c r="I130"/>
  <c r="J130"/>
  <c r="K130"/>
  <c r="L130"/>
  <c r="M130"/>
  <c r="N130"/>
  <c r="O130"/>
  <c r="P130"/>
  <c r="Q130"/>
  <c r="R130"/>
  <c r="S130"/>
  <c r="T130"/>
  <c r="U130"/>
  <c r="V130"/>
  <c r="W130"/>
  <c r="X130"/>
  <c r="Y130"/>
  <c r="Z130"/>
  <c r="AA130"/>
  <c r="AB130"/>
  <c r="AC130"/>
  <c r="AD130"/>
  <c r="AE130"/>
  <c r="AF130"/>
  <c r="AG130"/>
  <c r="AH130"/>
  <c r="AI130"/>
  <c r="AJ130"/>
  <c r="AK130"/>
  <c r="AL130"/>
  <c r="AM130"/>
  <c r="AN130"/>
  <c r="AO130"/>
  <c r="AP130"/>
  <c r="AQ130"/>
  <c r="AR130"/>
  <c r="AS130"/>
  <c r="AT130"/>
  <c r="AU130"/>
  <c r="AV130"/>
  <c r="AW130"/>
  <c r="AX130"/>
  <c r="AY130"/>
  <c r="AZ130"/>
  <c r="BA130"/>
  <c r="BB130"/>
  <c r="BC130"/>
  <c r="BD130"/>
  <c r="BE130"/>
  <c r="BF130"/>
  <c r="BG130"/>
  <c r="BH130"/>
  <c r="BI130"/>
  <c r="BJ130"/>
  <c r="BK130"/>
  <c r="BL130"/>
  <c r="BM130"/>
  <c r="BN130"/>
  <c r="BO130"/>
  <c r="BP130"/>
  <c r="BQ130"/>
  <c r="BR130"/>
  <c r="BS130"/>
  <c r="BT130"/>
  <c r="BU130"/>
  <c r="BV130"/>
  <c r="BW130"/>
  <c r="BX130"/>
  <c r="BY130"/>
  <c r="BZ130"/>
  <c r="CA130"/>
  <c r="CB130"/>
  <c r="CC130"/>
  <c r="CD130"/>
  <c r="CE130"/>
  <c r="CF130"/>
  <c r="CG130"/>
  <c r="CH130"/>
  <c r="CI130"/>
  <c r="CJ130"/>
  <c r="CK130"/>
  <c r="CL130"/>
  <c r="CM130"/>
  <c r="CN130"/>
  <c r="CO130"/>
  <c r="CP130"/>
  <c r="CQ130"/>
  <c r="CR130"/>
  <c r="CS130"/>
  <c r="CT130"/>
  <c r="CU130"/>
  <c r="CV130"/>
  <c r="CW130"/>
  <c r="CX130"/>
  <c r="CY130"/>
  <c r="CZ130"/>
  <c r="DA130"/>
  <c r="DB130"/>
  <c r="DC130"/>
  <c r="DD130"/>
  <c r="DE130"/>
  <c r="DF130"/>
  <c r="DG130"/>
  <c r="DH130"/>
  <c r="DI130"/>
  <c r="DJ130"/>
  <c r="DK130"/>
  <c r="DL130"/>
  <c r="DM130"/>
  <c r="DN130"/>
  <c r="DO130"/>
  <c r="DP130"/>
  <c r="DQ130"/>
  <c r="DR130"/>
  <c r="DS130"/>
  <c r="DT130"/>
  <c r="DU130"/>
  <c r="DV130"/>
  <c r="DW130"/>
  <c r="DX130"/>
  <c r="DY130"/>
  <c r="DZ130"/>
  <c r="EA130"/>
  <c r="EB130"/>
  <c r="EC130"/>
  <c r="ED130"/>
  <c r="EE130"/>
  <c r="EF130"/>
  <c r="EG130"/>
  <c r="EH130"/>
  <c r="EI130"/>
  <c r="EJ130"/>
  <c r="EK130"/>
  <c r="EL130"/>
  <c r="EM130"/>
  <c r="EN130"/>
  <c r="EO130"/>
  <c r="EP130"/>
  <c r="EQ130"/>
  <c r="ER130"/>
  <c r="ES130"/>
  <c r="ET130"/>
  <c r="EU130"/>
  <c r="EV130"/>
  <c r="EW130"/>
  <c r="EX130"/>
  <c r="EY130"/>
  <c r="EZ130"/>
  <c r="FA130"/>
  <c r="FB130"/>
  <c r="FC130"/>
  <c r="FD130"/>
  <c r="FE130"/>
  <c r="FF130"/>
  <c r="FG130"/>
  <c r="FH130"/>
  <c r="FI130"/>
  <c r="FJ130"/>
  <c r="FK130"/>
  <c r="FL130"/>
  <c r="FM130"/>
  <c r="FN130"/>
  <c r="FO130"/>
  <c r="FP130"/>
  <c r="FQ130"/>
  <c r="FR130"/>
  <c r="FS130"/>
  <c r="FT130"/>
  <c r="FU130"/>
  <c r="FV130"/>
  <c r="FW130"/>
  <c r="FX130"/>
  <c r="FY130"/>
  <c r="FZ130"/>
  <c r="GA130"/>
  <c r="GB130"/>
  <c r="GC130"/>
  <c r="GD130"/>
  <c r="GE130"/>
  <c r="GF130"/>
  <c r="GG130"/>
  <c r="GH130"/>
  <c r="GI130"/>
  <c r="GJ130"/>
  <c r="GK130"/>
  <c r="GL130"/>
  <c r="GM130"/>
  <c r="GN130"/>
  <c r="GO130"/>
  <c r="GP130"/>
  <c r="GQ130"/>
  <c r="GR130"/>
  <c r="GS130"/>
  <c r="GT130"/>
  <c r="GU130"/>
  <c r="GV130"/>
  <c r="GW130"/>
  <c r="GX130"/>
  <c r="GY130"/>
  <c r="GZ130"/>
  <c r="HA130"/>
  <c r="HB130"/>
  <c r="HC130"/>
  <c r="HD130"/>
  <c r="HE130"/>
  <c r="HF130"/>
  <c r="HG130"/>
  <c r="HH130"/>
  <c r="HI130"/>
  <c r="HJ130"/>
  <c r="HK130"/>
  <c r="HL130"/>
  <c r="HM130"/>
  <c r="HN130"/>
  <c r="HO130"/>
  <c r="HP130"/>
  <c r="HQ130"/>
  <c r="HR130"/>
  <c r="HS130"/>
  <c r="HT130"/>
  <c r="HU130"/>
  <c r="HV130"/>
  <c r="HW130"/>
  <c r="HX130"/>
  <c r="HY130"/>
  <c r="HZ130"/>
  <c r="IA130"/>
  <c r="IB130"/>
  <c r="IC130"/>
  <c r="ID130"/>
  <c r="IE130"/>
  <c r="IF130"/>
  <c r="IG130"/>
  <c r="IH130"/>
  <c r="II130"/>
  <c r="IJ130"/>
  <c r="IK130"/>
  <c r="IL130"/>
  <c r="IM130"/>
  <c r="IN130"/>
  <c r="IO130"/>
  <c r="IP130"/>
  <c r="IQ130"/>
  <c r="IR130"/>
  <c r="IS130"/>
  <c r="IT130"/>
  <c r="IU130"/>
  <c r="IV130"/>
  <c r="A129"/>
  <c r="B129"/>
  <c r="C129"/>
  <c r="D129"/>
  <c r="E129"/>
  <c r="F129"/>
  <c r="G129"/>
  <c r="H129"/>
  <c r="I129"/>
  <c r="J129"/>
  <c r="K129"/>
  <c r="L129"/>
  <c r="M129"/>
  <c r="N129"/>
  <c r="O129"/>
  <c r="P129"/>
  <c r="Q129"/>
  <c r="R129"/>
  <c r="S129"/>
  <c r="T129"/>
  <c r="U129"/>
  <c r="V129"/>
  <c r="W129"/>
  <c r="X129"/>
  <c r="Y129"/>
  <c r="Z129"/>
  <c r="AA129"/>
  <c r="AB129"/>
  <c r="AC129"/>
  <c r="AD129"/>
  <c r="AE129"/>
  <c r="AF129"/>
  <c r="AG129"/>
  <c r="AH129"/>
  <c r="AI129"/>
  <c r="AJ129"/>
  <c r="AK129"/>
  <c r="AL129"/>
  <c r="AM129"/>
  <c r="AN129"/>
  <c r="AO129"/>
  <c r="AP129"/>
  <c r="AQ129"/>
  <c r="AR129"/>
  <c r="AS129"/>
  <c r="AT129"/>
  <c r="AU129"/>
  <c r="AV129"/>
  <c r="AW129"/>
  <c r="AX129"/>
  <c r="AY129"/>
  <c r="AZ129"/>
  <c r="BA129"/>
  <c r="BB129"/>
  <c r="BC129"/>
  <c r="BD129"/>
  <c r="BE129"/>
  <c r="BF129"/>
  <c r="BG129"/>
  <c r="BH129"/>
  <c r="BI129"/>
  <c r="BJ129"/>
  <c r="BK129"/>
  <c r="BL129"/>
  <c r="BM129"/>
  <c r="BN129"/>
  <c r="BO129"/>
  <c r="BP129"/>
  <c r="BQ129"/>
  <c r="BR129"/>
  <c r="BS129"/>
  <c r="BT129"/>
  <c r="BU129"/>
  <c r="BV129"/>
  <c r="BW129"/>
  <c r="BX129"/>
  <c r="BY129"/>
  <c r="BZ129"/>
  <c r="CA129"/>
  <c r="CB129"/>
  <c r="CC129"/>
  <c r="CD129"/>
  <c r="CE129"/>
  <c r="CF129"/>
  <c r="CG129"/>
  <c r="CH129"/>
  <c r="CI129"/>
  <c r="CJ129"/>
  <c r="CK129"/>
  <c r="CL129"/>
  <c r="CM129"/>
  <c r="CN129"/>
  <c r="CO129"/>
  <c r="CP129"/>
  <c r="CQ129"/>
  <c r="CR129"/>
  <c r="CS129"/>
  <c r="CT129"/>
  <c r="CU129"/>
  <c r="CV129"/>
  <c r="CW129"/>
  <c r="CX129"/>
  <c r="CY129"/>
  <c r="CZ129"/>
  <c r="DA129"/>
  <c r="DB129"/>
  <c r="DC129"/>
  <c r="DD129"/>
  <c r="DE129"/>
  <c r="DF129"/>
  <c r="DG129"/>
  <c r="DH129"/>
  <c r="DI129"/>
  <c r="DJ129"/>
  <c r="DK129"/>
  <c r="DL129"/>
  <c r="DM129"/>
  <c r="DN129"/>
  <c r="DO129"/>
  <c r="DP129"/>
  <c r="DQ129"/>
  <c r="DR129"/>
  <c r="DS129"/>
  <c r="DT129"/>
  <c r="DU129"/>
  <c r="DV129"/>
  <c r="DW129"/>
  <c r="DX129"/>
  <c r="DY129"/>
  <c r="DZ129"/>
  <c r="EA129"/>
  <c r="EB129"/>
  <c r="EC129"/>
  <c r="ED129"/>
  <c r="EE129"/>
  <c r="EF129"/>
  <c r="EG129"/>
  <c r="EH129"/>
  <c r="EI129"/>
  <c r="EJ129"/>
  <c r="EK129"/>
  <c r="EL129"/>
  <c r="EM129"/>
  <c r="EN129"/>
  <c r="EO129"/>
  <c r="EP129"/>
  <c r="EQ129"/>
  <c r="ER129"/>
  <c r="ES129"/>
  <c r="ET129"/>
  <c r="EU129"/>
  <c r="EV129"/>
  <c r="EW129"/>
  <c r="EX129"/>
  <c r="EY129"/>
  <c r="EZ129"/>
  <c r="FA129"/>
  <c r="FB129"/>
  <c r="FC129"/>
  <c r="FD129"/>
  <c r="FE129"/>
  <c r="FF129"/>
  <c r="FG129"/>
  <c r="FH129"/>
  <c r="FI129"/>
  <c r="FJ129"/>
  <c r="FK129"/>
  <c r="FL129"/>
  <c r="FM129"/>
  <c r="FN129"/>
  <c r="FO129"/>
  <c r="FP129"/>
  <c r="FQ129"/>
  <c r="FR129"/>
  <c r="FS129"/>
  <c r="FT129"/>
  <c r="FU129"/>
  <c r="FV129"/>
  <c r="FW129"/>
  <c r="FX129"/>
  <c r="FY129"/>
  <c r="FZ129"/>
  <c r="GA129"/>
  <c r="GB129"/>
  <c r="GC129"/>
  <c r="GD129"/>
  <c r="GE129"/>
  <c r="GF129"/>
  <c r="GG129"/>
  <c r="GH129"/>
  <c r="GI129"/>
  <c r="GJ129"/>
  <c r="GK129"/>
  <c r="GL129"/>
  <c r="GM129"/>
  <c r="GN129"/>
  <c r="GO129"/>
  <c r="GP129"/>
  <c r="GQ129"/>
  <c r="GR129"/>
  <c r="GS129"/>
  <c r="GT129"/>
  <c r="GU129"/>
  <c r="GV129"/>
  <c r="GW129"/>
  <c r="GX129"/>
  <c r="GY129"/>
  <c r="GZ129"/>
  <c r="HA129"/>
  <c r="HB129"/>
  <c r="HC129"/>
  <c r="HD129"/>
  <c r="HE129"/>
  <c r="HF129"/>
  <c r="HG129"/>
  <c r="HH129"/>
  <c r="HI129"/>
  <c r="HJ129"/>
  <c r="HK129"/>
  <c r="HL129"/>
  <c r="HM129"/>
  <c r="HN129"/>
  <c r="HO129"/>
  <c r="HP129"/>
  <c r="HQ129"/>
  <c r="HR129"/>
  <c r="HS129"/>
  <c r="HT129"/>
  <c r="HU129"/>
  <c r="HV129"/>
  <c r="HW129"/>
  <c r="HX129"/>
  <c r="HY129"/>
  <c r="HZ129"/>
  <c r="IA129"/>
  <c r="IB129"/>
  <c r="IC129"/>
  <c r="ID129"/>
  <c r="IE129"/>
  <c r="IF129"/>
  <c r="IG129"/>
  <c r="IH129"/>
  <c r="II129"/>
  <c r="IJ129"/>
  <c r="IK129"/>
  <c r="IL129"/>
  <c r="IM129"/>
  <c r="IN129"/>
  <c r="IO129"/>
  <c r="IP129"/>
  <c r="IQ129"/>
  <c r="IR129"/>
  <c r="IS129"/>
  <c r="IT129"/>
  <c r="IU129"/>
  <c r="IV129"/>
  <c r="A128"/>
  <c r="B128"/>
  <c r="C128"/>
  <c r="D128"/>
  <c r="E128"/>
  <c r="F128"/>
  <c r="G128"/>
  <c r="H128"/>
  <c r="I128"/>
  <c r="J128"/>
  <c r="K128"/>
  <c r="L128"/>
  <c r="M128"/>
  <c r="N128"/>
  <c r="O128"/>
  <c r="P128"/>
  <c r="Q128"/>
  <c r="R128"/>
  <c r="S128"/>
  <c r="T128"/>
  <c r="U128"/>
  <c r="V128"/>
  <c r="W128"/>
  <c r="X128"/>
  <c r="Y128"/>
  <c r="Z128"/>
  <c r="AA128"/>
  <c r="AB128"/>
  <c r="AC128"/>
  <c r="AD128"/>
  <c r="AE128"/>
  <c r="AF128"/>
  <c r="AG128"/>
  <c r="AH128"/>
  <c r="AI128"/>
  <c r="AJ128"/>
  <c r="AK128"/>
  <c r="AL128"/>
  <c r="AM128"/>
  <c r="AN128"/>
  <c r="AO128"/>
  <c r="AP128"/>
  <c r="AQ128"/>
  <c r="AR128"/>
  <c r="AS128"/>
  <c r="AT128"/>
  <c r="AU128"/>
  <c r="AV128"/>
  <c r="AW128"/>
  <c r="AX128"/>
  <c r="AY128"/>
  <c r="AZ128"/>
  <c r="BA128"/>
  <c r="BB128"/>
  <c r="BC128"/>
  <c r="BD128"/>
  <c r="BE128"/>
  <c r="BF128"/>
  <c r="BG128"/>
  <c r="BH128"/>
  <c r="BI128"/>
  <c r="BJ128"/>
  <c r="BK128"/>
  <c r="BL128"/>
  <c r="BM128"/>
  <c r="BN128"/>
  <c r="BO128"/>
  <c r="BP128"/>
  <c r="BQ128"/>
  <c r="BR128"/>
  <c r="BS128"/>
  <c r="BT128"/>
  <c r="BU128"/>
  <c r="BV128"/>
  <c r="BW128"/>
  <c r="BX128"/>
  <c r="BY128"/>
  <c r="BZ128"/>
  <c r="CA128"/>
  <c r="CB128"/>
  <c r="CC128"/>
  <c r="CD128"/>
  <c r="CE128"/>
  <c r="CF128"/>
  <c r="CG128"/>
  <c r="CH128"/>
  <c r="CI128"/>
  <c r="CJ128"/>
  <c r="CK128"/>
  <c r="CL128"/>
  <c r="CM128"/>
  <c r="CN128"/>
  <c r="CO128"/>
  <c r="CP128"/>
  <c r="CQ128"/>
  <c r="CR128"/>
  <c r="CS128"/>
  <c r="CT128"/>
  <c r="CU128"/>
  <c r="CV128"/>
  <c r="CW128"/>
  <c r="CX128"/>
  <c r="CY128"/>
  <c r="CZ128"/>
  <c r="DA128"/>
  <c r="DB128"/>
  <c r="DC128"/>
  <c r="DD128"/>
  <c r="DE128"/>
  <c r="DF128"/>
  <c r="DG128"/>
  <c r="DH128"/>
  <c r="DI128"/>
  <c r="DJ128"/>
  <c r="DK128"/>
  <c r="DL128"/>
  <c r="DM128"/>
  <c r="DN128"/>
  <c r="DO128"/>
  <c r="DP128"/>
  <c r="DQ128"/>
  <c r="DR128"/>
  <c r="DS128"/>
  <c r="DT128"/>
  <c r="DU128"/>
  <c r="DV128"/>
  <c r="DW128"/>
  <c r="DX128"/>
  <c r="DY128"/>
  <c r="DZ128"/>
  <c r="EA128"/>
  <c r="EB128"/>
  <c r="EC128"/>
  <c r="ED128"/>
  <c r="EE128"/>
  <c r="EF128"/>
  <c r="EG128"/>
  <c r="EH128"/>
  <c r="EI128"/>
  <c r="EJ128"/>
  <c r="EK128"/>
  <c r="EL128"/>
  <c r="EM128"/>
  <c r="EN128"/>
  <c r="EO128"/>
  <c r="EP128"/>
  <c r="EQ128"/>
  <c r="ER128"/>
  <c r="ES128"/>
  <c r="ET128"/>
  <c r="EU128"/>
  <c r="EV128"/>
  <c r="EW128"/>
  <c r="EX128"/>
  <c r="EY128"/>
  <c r="EZ128"/>
  <c r="FA128"/>
  <c r="FB128"/>
  <c r="FC128"/>
  <c r="FD128"/>
  <c r="FE128"/>
  <c r="FF128"/>
  <c r="FG128"/>
  <c r="FH128"/>
  <c r="FI128"/>
  <c r="FJ128"/>
  <c r="FK128"/>
  <c r="FL128"/>
  <c r="FM128"/>
  <c r="FN128"/>
  <c r="FO128"/>
  <c r="FP128"/>
  <c r="FQ128"/>
  <c r="FR128"/>
  <c r="FS128"/>
  <c r="FT128"/>
  <c r="FU128"/>
  <c r="FV128"/>
  <c r="FW128"/>
  <c r="FX128"/>
  <c r="FY128"/>
  <c r="FZ128"/>
  <c r="GA128"/>
  <c r="GB128"/>
  <c r="GC128"/>
  <c r="GD128"/>
  <c r="GE128"/>
  <c r="GF128"/>
  <c r="GG128"/>
  <c r="GH128"/>
  <c r="GI128"/>
  <c r="GJ128"/>
  <c r="GK128"/>
  <c r="GL128"/>
  <c r="GM128"/>
  <c r="GN128"/>
  <c r="GO128"/>
  <c r="GP128"/>
  <c r="GQ128"/>
  <c r="GR128"/>
  <c r="GS128"/>
  <c r="GT128"/>
  <c r="GU128"/>
  <c r="GV128"/>
  <c r="GW128"/>
  <c r="GX128"/>
  <c r="GY128"/>
  <c r="GZ128"/>
  <c r="HA128"/>
  <c r="HB128"/>
  <c r="HC128"/>
  <c r="HD128"/>
  <c r="HE128"/>
  <c r="HF128"/>
  <c r="HG128"/>
  <c r="HH128"/>
  <c r="HI128"/>
  <c r="HJ128"/>
  <c r="HK128"/>
  <c r="HL128"/>
  <c r="HM128"/>
  <c r="HN128"/>
  <c r="HO128"/>
  <c r="HP128"/>
  <c r="HQ128"/>
  <c r="HR128"/>
  <c r="HS128"/>
  <c r="HT128"/>
  <c r="HU128"/>
  <c r="HV128"/>
  <c r="HW128"/>
  <c r="HX128"/>
  <c r="HY128"/>
  <c r="HZ128"/>
  <c r="IA128"/>
  <c r="IB128"/>
  <c r="IC128"/>
  <c r="ID128"/>
  <c r="IE128"/>
  <c r="IF128"/>
  <c r="IG128"/>
  <c r="IH128"/>
  <c r="II128"/>
  <c r="IJ128"/>
  <c r="IK128"/>
  <c r="IL128"/>
  <c r="IM128"/>
  <c r="IN128"/>
  <c r="IO128"/>
  <c r="IP128"/>
  <c r="IQ128"/>
  <c r="IR128"/>
  <c r="IS128"/>
  <c r="IT128"/>
  <c r="IU128"/>
  <c r="IV128"/>
  <c r="A127"/>
  <c r="B127"/>
  <c r="C127"/>
  <c r="D127"/>
  <c r="E127"/>
  <c r="F127"/>
  <c r="G127"/>
  <c r="H127"/>
  <c r="I127"/>
  <c r="J127"/>
  <c r="K127"/>
  <c r="L127"/>
  <c r="M127"/>
  <c r="N127"/>
  <c r="O127"/>
  <c r="P127"/>
  <c r="Q127"/>
  <c r="R127"/>
  <c r="S127"/>
  <c r="T127"/>
  <c r="U127"/>
  <c r="V127"/>
  <c r="W127"/>
  <c r="X127"/>
  <c r="Y127"/>
  <c r="Z127"/>
  <c r="AA127"/>
  <c r="AB127"/>
  <c r="AC127"/>
  <c r="AD127"/>
  <c r="AE127"/>
  <c r="AF127"/>
  <c r="AG127"/>
  <c r="AH127"/>
  <c r="AI127"/>
  <c r="AJ127"/>
  <c r="AK127"/>
  <c r="AL127"/>
  <c r="AM127"/>
  <c r="AN127"/>
  <c r="AO127"/>
  <c r="AP127"/>
  <c r="AQ127"/>
  <c r="AR127"/>
  <c r="AS127"/>
  <c r="AT127"/>
  <c r="AU127"/>
  <c r="AV127"/>
  <c r="AW127"/>
  <c r="AX127"/>
  <c r="AY127"/>
  <c r="AZ127"/>
  <c r="BA127"/>
  <c r="BB127"/>
  <c r="BC127"/>
  <c r="BD127"/>
  <c r="BE127"/>
  <c r="BF127"/>
  <c r="BG127"/>
  <c r="BH127"/>
  <c r="BI127"/>
  <c r="BJ127"/>
  <c r="BK127"/>
  <c r="BL127"/>
  <c r="BM127"/>
  <c r="BN127"/>
  <c r="BO127"/>
  <c r="BP127"/>
  <c r="BQ127"/>
  <c r="BR127"/>
  <c r="BS127"/>
  <c r="BT127"/>
  <c r="BU127"/>
  <c r="BV127"/>
  <c r="BW127"/>
  <c r="BX127"/>
  <c r="BY127"/>
  <c r="BZ127"/>
  <c r="CA127"/>
  <c r="CB127"/>
  <c r="CC127"/>
  <c r="CD127"/>
  <c r="CE127"/>
  <c r="CF127"/>
  <c r="CG127"/>
  <c r="CH127"/>
  <c r="CI127"/>
  <c r="CJ127"/>
  <c r="CK127"/>
  <c r="CL127"/>
  <c r="CM127"/>
  <c r="CN127"/>
  <c r="CO127"/>
  <c r="CP127"/>
  <c r="CQ127"/>
  <c r="CR127"/>
  <c r="CS127"/>
  <c r="CT127"/>
  <c r="CU127"/>
  <c r="CV127"/>
  <c r="CW127"/>
  <c r="CX127"/>
  <c r="CY127"/>
  <c r="CZ127"/>
  <c r="DA127"/>
  <c r="DB127"/>
  <c r="DC127"/>
  <c r="DD127"/>
  <c r="DE127"/>
  <c r="DF127"/>
  <c r="DG127"/>
  <c r="DH127"/>
  <c r="DI127"/>
  <c r="DJ127"/>
  <c r="DK127"/>
  <c r="DL127"/>
  <c r="DM127"/>
  <c r="DN127"/>
  <c r="DO127"/>
  <c r="DP127"/>
  <c r="DQ127"/>
  <c r="DR127"/>
  <c r="DS127"/>
  <c r="DT127"/>
  <c r="DU127"/>
  <c r="DV127"/>
  <c r="DW127"/>
  <c r="DX127"/>
  <c r="DY127"/>
  <c r="DZ127"/>
  <c r="EA127"/>
  <c r="EB127"/>
  <c r="EC127"/>
  <c r="ED127"/>
  <c r="EE127"/>
  <c r="EF127"/>
  <c r="EG127"/>
  <c r="EH127"/>
  <c r="EI127"/>
  <c r="EJ127"/>
  <c r="EK127"/>
  <c r="EL127"/>
  <c r="EM127"/>
  <c r="EN127"/>
  <c r="EO127"/>
  <c r="EP127"/>
  <c r="EQ127"/>
  <c r="ER127"/>
  <c r="ES127"/>
  <c r="ET127"/>
  <c r="EU127"/>
  <c r="EV127"/>
  <c r="EW127"/>
  <c r="EX127"/>
  <c r="EY127"/>
  <c r="EZ127"/>
  <c r="FA127"/>
  <c r="FB127"/>
  <c r="FC127"/>
  <c r="FD127"/>
  <c r="FE127"/>
  <c r="FF127"/>
  <c r="FG127"/>
  <c r="FH127"/>
  <c r="FI127"/>
  <c r="FJ127"/>
  <c r="FK127"/>
  <c r="FL127"/>
  <c r="FM127"/>
  <c r="FN127"/>
  <c r="FO127"/>
  <c r="FP127"/>
  <c r="FQ127"/>
  <c r="FR127"/>
  <c r="FS127"/>
  <c r="FT127"/>
  <c r="FU127"/>
  <c r="FV127"/>
  <c r="FW127"/>
  <c r="FX127"/>
  <c r="FY127"/>
  <c r="FZ127"/>
  <c r="GA127"/>
  <c r="GB127"/>
  <c r="GC127"/>
  <c r="GD127"/>
  <c r="GE127"/>
  <c r="GF127"/>
  <c r="GG127"/>
  <c r="GH127"/>
  <c r="GI127"/>
  <c r="GJ127"/>
  <c r="GK127"/>
  <c r="GL127"/>
  <c r="GM127"/>
  <c r="GN127"/>
  <c r="GO127"/>
  <c r="GP127"/>
  <c r="GQ127"/>
  <c r="GR127"/>
  <c r="GS127"/>
  <c r="GT127"/>
  <c r="GU127"/>
  <c r="GV127"/>
  <c r="GW127"/>
  <c r="GX127"/>
  <c r="GY127"/>
  <c r="GZ127"/>
  <c r="HA127"/>
  <c r="HB127"/>
  <c r="HC127"/>
  <c r="HD127"/>
  <c r="HE127"/>
  <c r="HF127"/>
  <c r="HG127"/>
  <c r="HH127"/>
  <c r="HI127"/>
  <c r="HJ127"/>
  <c r="HK127"/>
  <c r="HL127"/>
  <c r="HM127"/>
  <c r="HN127"/>
  <c r="HO127"/>
  <c r="HP127"/>
  <c r="HQ127"/>
  <c r="HR127"/>
  <c r="HS127"/>
  <c r="HT127"/>
  <c r="HU127"/>
  <c r="HV127"/>
  <c r="HW127"/>
  <c r="HX127"/>
  <c r="HY127"/>
  <c r="HZ127"/>
  <c r="IA127"/>
  <c r="IB127"/>
  <c r="IC127"/>
  <c r="ID127"/>
  <c r="IE127"/>
  <c r="IF127"/>
  <c r="IG127"/>
  <c r="IH127"/>
  <c r="II127"/>
  <c r="IJ127"/>
  <c r="IK127"/>
  <c r="IL127"/>
  <c r="IM127"/>
  <c r="IN127"/>
  <c r="IO127"/>
  <c r="IP127"/>
  <c r="IQ127"/>
  <c r="IR127"/>
  <c r="IS127"/>
  <c r="IT127"/>
  <c r="IU127"/>
  <c r="IV127"/>
  <c r="A126"/>
  <c r="B126"/>
  <c r="C126"/>
  <c r="D126"/>
  <c r="E126"/>
  <c r="F126"/>
  <c r="G126"/>
  <c r="H126"/>
  <c r="I126"/>
  <c r="J126"/>
  <c r="K126"/>
  <c r="L126"/>
  <c r="M126"/>
  <c r="N126"/>
  <c r="O126"/>
  <c r="P126"/>
  <c r="Q126"/>
  <c r="R126"/>
  <c r="S126"/>
  <c r="T126"/>
  <c r="U126"/>
  <c r="V126"/>
  <c r="W126"/>
  <c r="X126"/>
  <c r="Y126"/>
  <c r="Z126"/>
  <c r="AA126"/>
  <c r="AB126"/>
  <c r="AC126"/>
  <c r="AD126"/>
  <c r="AE126"/>
  <c r="AF126"/>
  <c r="AG126"/>
  <c r="AH126"/>
  <c r="AI126"/>
  <c r="AJ126"/>
  <c r="AK126"/>
  <c r="AL126"/>
  <c r="AM126"/>
  <c r="AN126"/>
  <c r="AO126"/>
  <c r="AP126"/>
  <c r="AQ126"/>
  <c r="AR126"/>
  <c r="AS126"/>
  <c r="AT126"/>
  <c r="AU126"/>
  <c r="AV126"/>
  <c r="AW126"/>
  <c r="AX126"/>
  <c r="AY126"/>
  <c r="AZ126"/>
  <c r="BA126"/>
  <c r="BB126"/>
  <c r="BC126"/>
  <c r="BD126"/>
  <c r="BE126"/>
  <c r="BF126"/>
  <c r="BG126"/>
  <c r="BH126"/>
  <c r="BI126"/>
  <c r="BJ126"/>
  <c r="BK126"/>
  <c r="BL126"/>
  <c r="BM126"/>
  <c r="BN126"/>
  <c r="BO126"/>
  <c r="BP126"/>
  <c r="BQ126"/>
  <c r="BR126"/>
  <c r="BS126"/>
  <c r="BT126"/>
  <c r="BU126"/>
  <c r="BV126"/>
  <c r="BW126"/>
  <c r="BX126"/>
  <c r="BY126"/>
  <c r="BZ126"/>
  <c r="CA126"/>
  <c r="CB126"/>
  <c r="CC126"/>
  <c r="CD126"/>
  <c r="CE126"/>
  <c r="CF126"/>
  <c r="CG126"/>
  <c r="CH126"/>
  <c r="CI126"/>
  <c r="CJ126"/>
  <c r="CK126"/>
  <c r="CL126"/>
  <c r="CM126"/>
  <c r="CN126"/>
  <c r="CO126"/>
  <c r="CP126"/>
  <c r="CQ126"/>
  <c r="CR126"/>
  <c r="CS126"/>
  <c r="CT126"/>
  <c r="CU126"/>
  <c r="CV126"/>
  <c r="CW126"/>
  <c r="CX126"/>
  <c r="CY126"/>
  <c r="CZ126"/>
  <c r="DA126"/>
  <c r="DB126"/>
  <c r="DC126"/>
  <c r="DD126"/>
  <c r="DE126"/>
  <c r="DF126"/>
  <c r="DG126"/>
  <c r="DH126"/>
  <c r="DI126"/>
  <c r="DJ126"/>
  <c r="DK126"/>
  <c r="DL126"/>
  <c r="DM126"/>
  <c r="DN126"/>
  <c r="DO126"/>
  <c r="DP126"/>
  <c r="DQ126"/>
  <c r="DR126"/>
  <c r="DS126"/>
  <c r="DT126"/>
  <c r="DU126"/>
  <c r="DV126"/>
  <c r="DW126"/>
  <c r="DX126"/>
  <c r="DY126"/>
  <c r="DZ126"/>
  <c r="EA126"/>
  <c r="EB126"/>
  <c r="EC126"/>
  <c r="ED126"/>
  <c r="EE126"/>
  <c r="EF126"/>
  <c r="EG126"/>
  <c r="EH126"/>
  <c r="EI126"/>
  <c r="EJ126"/>
  <c r="EK126"/>
  <c r="EL126"/>
  <c r="EM126"/>
  <c r="EN126"/>
  <c r="EO126"/>
  <c r="EP126"/>
  <c r="EQ126"/>
  <c r="ER126"/>
  <c r="ES126"/>
  <c r="ET126"/>
  <c r="EU126"/>
  <c r="EV126"/>
  <c r="EW126"/>
  <c r="EX126"/>
  <c r="EY126"/>
  <c r="EZ126"/>
  <c r="FA126"/>
  <c r="FB126"/>
  <c r="FC126"/>
  <c r="FD126"/>
  <c r="FE126"/>
  <c r="FF126"/>
  <c r="FG126"/>
  <c r="FH126"/>
  <c r="FI126"/>
  <c r="FJ126"/>
  <c r="FK126"/>
  <c r="FL126"/>
  <c r="FM126"/>
  <c r="FN126"/>
  <c r="FO126"/>
  <c r="FP126"/>
  <c r="FQ126"/>
  <c r="FR126"/>
  <c r="FS126"/>
  <c r="FT126"/>
  <c r="FU126"/>
  <c r="FV126"/>
  <c r="FW126"/>
  <c r="FX126"/>
  <c r="FY126"/>
  <c r="FZ126"/>
  <c r="GA126"/>
  <c r="GB126"/>
  <c r="GC126"/>
  <c r="GD126"/>
  <c r="GE126"/>
  <c r="GF126"/>
  <c r="GG126"/>
  <c r="GH126"/>
  <c r="GI126"/>
  <c r="GJ126"/>
  <c r="GK126"/>
  <c r="GL126"/>
  <c r="GM126"/>
  <c r="GN126"/>
  <c r="GO126"/>
  <c r="GP126"/>
  <c r="GQ126"/>
  <c r="GR126"/>
  <c r="GS126"/>
  <c r="GT126"/>
  <c r="GU126"/>
  <c r="GV126"/>
  <c r="GW126"/>
  <c r="GX126"/>
  <c r="GY126"/>
  <c r="GZ126"/>
  <c r="HA126"/>
  <c r="HB126"/>
  <c r="HC126"/>
  <c r="HD126"/>
  <c r="HE126"/>
  <c r="HF126"/>
  <c r="HG126"/>
  <c r="HH126"/>
  <c r="HI126"/>
  <c r="HJ126"/>
  <c r="HK126"/>
  <c r="HL126"/>
  <c r="HM126"/>
  <c r="HN126"/>
  <c r="HO126"/>
  <c r="HP126"/>
  <c r="HQ126"/>
  <c r="HR126"/>
  <c r="HS126"/>
  <c r="HT126"/>
  <c r="HU126"/>
  <c r="HV126"/>
  <c r="HW126"/>
  <c r="HX126"/>
  <c r="HY126"/>
  <c r="HZ126"/>
  <c r="IA126"/>
  <c r="IB126"/>
  <c r="IC126"/>
  <c r="ID126"/>
  <c r="IE126"/>
  <c r="IF126"/>
  <c r="IG126"/>
  <c r="IH126"/>
  <c r="II126"/>
  <c r="IJ126"/>
  <c r="IK126"/>
  <c r="IL126"/>
  <c r="IM126"/>
  <c r="IN126"/>
  <c r="IO126"/>
  <c r="IP126"/>
  <c r="IQ126"/>
  <c r="IR126"/>
  <c r="IS126"/>
  <c r="IT126"/>
  <c r="IU126"/>
  <c r="IV126"/>
  <c r="A125"/>
  <c r="B125"/>
  <c r="C125"/>
  <c r="D125"/>
  <c r="E125"/>
  <c r="F125"/>
  <c r="G125"/>
  <c r="H125"/>
  <c r="I125"/>
  <c r="J125"/>
  <c r="K125"/>
  <c r="L125"/>
  <c r="M125"/>
  <c r="N125"/>
  <c r="O125"/>
  <c r="P125"/>
  <c r="Q125"/>
  <c r="R125"/>
  <c r="S125"/>
  <c r="T125"/>
  <c r="U125"/>
  <c r="V125"/>
  <c r="W125"/>
  <c r="X125"/>
  <c r="Y125"/>
  <c r="Z125"/>
  <c r="AA125"/>
  <c r="AB125"/>
  <c r="AC125"/>
  <c r="AD125"/>
  <c r="AE125"/>
  <c r="AF125"/>
  <c r="AG125"/>
  <c r="AH125"/>
  <c r="AI125"/>
  <c r="AJ125"/>
  <c r="AK125"/>
  <c r="AL125"/>
  <c r="AM125"/>
  <c r="AN125"/>
  <c r="AO125"/>
  <c r="AP125"/>
  <c r="AQ125"/>
  <c r="AR125"/>
  <c r="AS125"/>
  <c r="AT125"/>
  <c r="AU125"/>
  <c r="AV125"/>
  <c r="AW125"/>
  <c r="AX125"/>
  <c r="AY125"/>
  <c r="AZ125"/>
  <c r="BA125"/>
  <c r="BB125"/>
  <c r="BC125"/>
  <c r="BD125"/>
  <c r="BE125"/>
  <c r="BF125"/>
  <c r="BG125"/>
  <c r="BH125"/>
  <c r="BI125"/>
  <c r="BJ125"/>
  <c r="BK125"/>
  <c r="BL125"/>
  <c r="BM125"/>
  <c r="BN125"/>
  <c r="BO125"/>
  <c r="BP125"/>
  <c r="BQ125"/>
  <c r="BR125"/>
  <c r="BS125"/>
  <c r="BT125"/>
  <c r="BU125"/>
  <c r="BV125"/>
  <c r="BW125"/>
  <c r="BX125"/>
  <c r="BY125"/>
  <c r="BZ125"/>
  <c r="CA125"/>
  <c r="CB125"/>
  <c r="CC125"/>
  <c r="CD125"/>
  <c r="CE125"/>
  <c r="CF125"/>
  <c r="CG125"/>
  <c r="CH125"/>
  <c r="CI125"/>
  <c r="CJ125"/>
  <c r="CK125"/>
  <c r="CL125"/>
  <c r="CM125"/>
  <c r="CN125"/>
  <c r="CO125"/>
  <c r="CP125"/>
  <c r="CQ125"/>
  <c r="CR125"/>
  <c r="CS125"/>
  <c r="CT125"/>
  <c r="CU125"/>
  <c r="CV125"/>
  <c r="CW125"/>
  <c r="CX125"/>
  <c r="CY125"/>
  <c r="CZ125"/>
  <c r="DA125"/>
  <c r="DB125"/>
  <c r="DC125"/>
  <c r="DD125"/>
  <c r="DE125"/>
  <c r="DF125"/>
  <c r="DG125"/>
  <c r="DH125"/>
  <c r="DI125"/>
  <c r="DJ125"/>
  <c r="DK125"/>
  <c r="DL125"/>
  <c r="DM125"/>
  <c r="DN125"/>
  <c r="DO125"/>
  <c r="DP125"/>
  <c r="DQ125"/>
  <c r="DR125"/>
  <c r="DS125"/>
  <c r="DT125"/>
  <c r="DU125"/>
  <c r="DV125"/>
  <c r="DW125"/>
  <c r="DX125"/>
  <c r="DY125"/>
  <c r="DZ125"/>
  <c r="EA125"/>
  <c r="EB125"/>
  <c r="EC125"/>
  <c r="ED125"/>
  <c r="EE125"/>
  <c r="EF125"/>
  <c r="EG125"/>
  <c r="EH125"/>
  <c r="EI125"/>
  <c r="EJ125"/>
  <c r="EK125"/>
  <c r="EL125"/>
  <c r="EM125"/>
  <c r="EN125"/>
  <c r="EO125"/>
  <c r="EP125"/>
  <c r="EQ125"/>
  <c r="ER125"/>
  <c r="ES125"/>
  <c r="ET125"/>
  <c r="EU125"/>
  <c r="EV125"/>
  <c r="EW125"/>
  <c r="EX125"/>
  <c r="EY125"/>
  <c r="EZ125"/>
  <c r="FA125"/>
  <c r="FB125"/>
  <c r="FC125"/>
  <c r="FD125"/>
  <c r="FE125"/>
  <c r="FF125"/>
  <c r="FG125"/>
  <c r="FH125"/>
  <c r="FI125"/>
  <c r="FJ125"/>
  <c r="FK125"/>
  <c r="FL125"/>
  <c r="FM125"/>
  <c r="FN125"/>
  <c r="FO125"/>
  <c r="FP125"/>
  <c r="FQ125"/>
  <c r="FR125"/>
  <c r="FS125"/>
  <c r="FT125"/>
  <c r="FU125"/>
  <c r="FV125"/>
  <c r="FW125"/>
  <c r="FX125"/>
  <c r="FY125"/>
  <c r="FZ125"/>
  <c r="GA125"/>
  <c r="GB125"/>
  <c r="GC125"/>
  <c r="GD125"/>
  <c r="GE125"/>
  <c r="GF125"/>
  <c r="GG125"/>
  <c r="GH125"/>
  <c r="GI125"/>
  <c r="GJ125"/>
  <c r="GK125"/>
  <c r="GL125"/>
  <c r="GM125"/>
  <c r="GN125"/>
  <c r="GO125"/>
  <c r="GP125"/>
  <c r="GQ125"/>
  <c r="GR125"/>
  <c r="GS125"/>
  <c r="GT125"/>
  <c r="GU125"/>
  <c r="GV125"/>
  <c r="GW125"/>
  <c r="GX125"/>
  <c r="GY125"/>
  <c r="GZ125"/>
  <c r="HA125"/>
  <c r="HB125"/>
  <c r="HC125"/>
  <c r="HD125"/>
  <c r="HE125"/>
  <c r="HF125"/>
  <c r="HG125"/>
  <c r="HH125"/>
  <c r="HI125"/>
  <c r="HJ125"/>
  <c r="HK125"/>
  <c r="HL125"/>
  <c r="HM125"/>
  <c r="HN125"/>
  <c r="HO125"/>
  <c r="HP125"/>
  <c r="HQ125"/>
  <c r="HR125"/>
  <c r="HS125"/>
  <c r="HT125"/>
  <c r="HU125"/>
  <c r="HV125"/>
  <c r="HW125"/>
  <c r="HX125"/>
  <c r="HY125"/>
  <c r="HZ125"/>
  <c r="IA125"/>
  <c r="IB125"/>
  <c r="IC125"/>
  <c r="ID125"/>
  <c r="IE125"/>
  <c r="IF125"/>
  <c r="IG125"/>
  <c r="IH125"/>
  <c r="II125"/>
  <c r="IJ125"/>
  <c r="IK125"/>
  <c r="IL125"/>
  <c r="IM125"/>
  <c r="IN125"/>
  <c r="IO125"/>
  <c r="IP125"/>
  <c r="IQ125"/>
  <c r="IR125"/>
  <c r="IS125"/>
  <c r="IT125"/>
  <c r="IU125"/>
  <c r="IV125"/>
  <c r="A124"/>
  <c r="B124"/>
  <c r="C124"/>
  <c r="D124"/>
  <c r="E124"/>
  <c r="F124"/>
  <c r="G124"/>
  <c r="H124"/>
  <c r="I124"/>
  <c r="J124"/>
  <c r="K124"/>
  <c r="L124"/>
  <c r="M124"/>
  <c r="N124"/>
  <c r="O124"/>
  <c r="P124"/>
  <c r="Q124"/>
  <c r="R124"/>
  <c r="S124"/>
  <c r="T124"/>
  <c r="U124"/>
  <c r="V124"/>
  <c r="W124"/>
  <c r="X124"/>
  <c r="Y124"/>
  <c r="Z124"/>
  <c r="AA124"/>
  <c r="AB124"/>
  <c r="AC124"/>
  <c r="AD124"/>
  <c r="AE124"/>
  <c r="AF124"/>
  <c r="AG124"/>
  <c r="AH124"/>
  <c r="AI124"/>
  <c r="AJ124"/>
  <c r="AK124"/>
  <c r="AL124"/>
  <c r="AM124"/>
  <c r="AN124"/>
  <c r="AO124"/>
  <c r="AP124"/>
  <c r="AQ124"/>
  <c r="AR124"/>
  <c r="AS124"/>
  <c r="AT124"/>
  <c r="AU124"/>
  <c r="AV124"/>
  <c r="AW124"/>
  <c r="AX124"/>
  <c r="AY124"/>
  <c r="AZ124"/>
  <c r="BA124"/>
  <c r="BB124"/>
  <c r="BC124"/>
  <c r="BD124"/>
  <c r="BE124"/>
  <c r="BF124"/>
  <c r="BG124"/>
  <c r="BH124"/>
  <c r="BI124"/>
  <c r="BJ124"/>
  <c r="BK124"/>
  <c r="BL124"/>
  <c r="BM124"/>
  <c r="BN124"/>
  <c r="BO124"/>
  <c r="BP124"/>
  <c r="BQ124"/>
  <c r="BR124"/>
  <c r="BS124"/>
  <c r="BT124"/>
  <c r="BU124"/>
  <c r="BV124"/>
  <c r="BW124"/>
  <c r="BX124"/>
  <c r="BY124"/>
  <c r="BZ124"/>
  <c r="CA124"/>
  <c r="CB124"/>
  <c r="CC124"/>
  <c r="CD124"/>
  <c r="CE124"/>
  <c r="CF124"/>
  <c r="CG124"/>
  <c r="CH124"/>
  <c r="CI124"/>
  <c r="CJ124"/>
  <c r="CK124"/>
  <c r="CL124"/>
  <c r="CM124"/>
  <c r="CN124"/>
  <c r="CO124"/>
  <c r="CP124"/>
  <c r="CQ124"/>
  <c r="CR124"/>
  <c r="CS124"/>
  <c r="CT124"/>
  <c r="CU124"/>
  <c r="CV124"/>
  <c r="CW124"/>
  <c r="CX124"/>
  <c r="CY124"/>
  <c r="CZ124"/>
  <c r="DA124"/>
  <c r="DB124"/>
  <c r="DC124"/>
  <c r="DD124"/>
  <c r="DE124"/>
  <c r="DF124"/>
  <c r="DG124"/>
  <c r="DH124"/>
  <c r="DI124"/>
  <c r="DJ124"/>
  <c r="DK124"/>
  <c r="DL124"/>
  <c r="DM124"/>
  <c r="DN124"/>
  <c r="DO124"/>
  <c r="DP124"/>
  <c r="DQ124"/>
  <c r="DR124"/>
  <c r="DS124"/>
  <c r="DT124"/>
  <c r="DU124"/>
  <c r="DV124"/>
  <c r="DW124"/>
  <c r="DX124"/>
  <c r="DY124"/>
  <c r="DZ124"/>
  <c r="EA124"/>
  <c r="EB124"/>
  <c r="EC124"/>
  <c r="ED124"/>
  <c r="EE124"/>
  <c r="EF124"/>
  <c r="EG124"/>
  <c r="EH124"/>
  <c r="EI124"/>
  <c r="EJ124"/>
  <c r="EK124"/>
  <c r="EL124"/>
  <c r="EM124"/>
  <c r="EN124"/>
  <c r="EO124"/>
  <c r="EP124"/>
  <c r="EQ124"/>
  <c r="ER124"/>
  <c r="ES124"/>
  <c r="ET124"/>
  <c r="EU124"/>
  <c r="EV124"/>
  <c r="EW124"/>
  <c r="EX124"/>
  <c r="EY124"/>
  <c r="EZ124"/>
  <c r="FA124"/>
  <c r="FB124"/>
  <c r="FC124"/>
  <c r="FD124"/>
  <c r="FE124"/>
  <c r="FF124"/>
  <c r="FG124"/>
  <c r="FH124"/>
  <c r="FI124"/>
  <c r="FJ124"/>
  <c r="FK124"/>
  <c r="FL124"/>
  <c r="FM124"/>
  <c r="FN124"/>
  <c r="FO124"/>
  <c r="FP124"/>
  <c r="FQ124"/>
  <c r="FR124"/>
  <c r="FS124"/>
  <c r="FT124"/>
  <c r="FU124"/>
  <c r="FV124"/>
  <c r="FW124"/>
  <c r="FX124"/>
  <c r="FY124"/>
  <c r="FZ124"/>
  <c r="GA124"/>
  <c r="GB124"/>
  <c r="GC124"/>
  <c r="GD124"/>
  <c r="GE124"/>
  <c r="GF124"/>
  <c r="GG124"/>
  <c r="GH124"/>
  <c r="GI124"/>
  <c r="GJ124"/>
  <c r="GK124"/>
  <c r="GL124"/>
  <c r="GM124"/>
  <c r="GN124"/>
  <c r="GO124"/>
  <c r="GP124"/>
  <c r="GQ124"/>
  <c r="GR124"/>
  <c r="GS124"/>
  <c r="GT124"/>
  <c r="GU124"/>
  <c r="GV124"/>
  <c r="GW124"/>
  <c r="GX124"/>
  <c r="GY124"/>
  <c r="GZ124"/>
  <c r="HA124"/>
  <c r="HB124"/>
  <c r="HC124"/>
  <c r="HD124"/>
  <c r="HE124"/>
  <c r="HF124"/>
  <c r="HG124"/>
  <c r="HH124"/>
  <c r="HI124"/>
  <c r="HJ124"/>
  <c r="HK124"/>
  <c r="HL124"/>
  <c r="HM124"/>
  <c r="HN124"/>
  <c r="HO124"/>
  <c r="HP124"/>
  <c r="HQ124"/>
  <c r="HR124"/>
  <c r="HS124"/>
  <c r="HT124"/>
  <c r="HU124"/>
  <c r="HV124"/>
  <c r="HW124"/>
  <c r="HX124"/>
  <c r="HY124"/>
  <c r="HZ124"/>
  <c r="IA124"/>
  <c r="IB124"/>
  <c r="IC124"/>
  <c r="ID124"/>
  <c r="IE124"/>
  <c r="IF124"/>
  <c r="IG124"/>
  <c r="IH124"/>
  <c r="II124"/>
  <c r="IJ124"/>
  <c r="IK124"/>
  <c r="IL124"/>
  <c r="IM124"/>
  <c r="IN124"/>
  <c r="IO124"/>
  <c r="IP124"/>
  <c r="IQ124"/>
  <c r="IR124"/>
  <c r="IS124"/>
  <c r="IT124"/>
  <c r="IU124"/>
  <c r="IV124"/>
  <c r="A123"/>
  <c r="B123"/>
  <c r="C123"/>
  <c r="D123"/>
  <c r="E123"/>
  <c r="F123"/>
  <c r="G123"/>
  <c r="H123"/>
  <c r="I123"/>
  <c r="J123"/>
  <c r="K123"/>
  <c r="L123"/>
  <c r="M123"/>
  <c r="N123"/>
  <c r="O123"/>
  <c r="P123"/>
  <c r="Q123"/>
  <c r="R123"/>
  <c r="S123"/>
  <c r="T123"/>
  <c r="U123"/>
  <c r="V123"/>
  <c r="W123"/>
  <c r="X123"/>
  <c r="Y123"/>
  <c r="Z123"/>
  <c r="AA123"/>
  <c r="AB123"/>
  <c r="AC123"/>
  <c r="AD123"/>
  <c r="AE123"/>
  <c r="AF123"/>
  <c r="AG123"/>
  <c r="AH123"/>
  <c r="AI123"/>
  <c r="AJ123"/>
  <c r="AK123"/>
  <c r="AL123"/>
  <c r="AM123"/>
  <c r="AN123"/>
  <c r="AO123"/>
  <c r="AP123"/>
  <c r="AQ123"/>
  <c r="AR123"/>
  <c r="AS123"/>
  <c r="AT123"/>
  <c r="AU123"/>
  <c r="AV123"/>
  <c r="AW123"/>
  <c r="AX123"/>
  <c r="AY123"/>
  <c r="AZ123"/>
  <c r="BA123"/>
  <c r="BB123"/>
  <c r="BC123"/>
  <c r="BD123"/>
  <c r="BE123"/>
  <c r="BF123"/>
  <c r="BG123"/>
  <c r="BH123"/>
  <c r="BI123"/>
  <c r="BJ123"/>
  <c r="BK123"/>
  <c r="BL123"/>
  <c r="BM123"/>
  <c r="BN123"/>
  <c r="BO123"/>
  <c r="BP123"/>
  <c r="BQ123"/>
  <c r="BR123"/>
  <c r="BS123"/>
  <c r="BT123"/>
  <c r="BU123"/>
  <c r="BV123"/>
  <c r="BW123"/>
  <c r="BX123"/>
  <c r="BY123"/>
  <c r="BZ123"/>
  <c r="CA123"/>
  <c r="CB123"/>
  <c r="CC123"/>
  <c r="CD123"/>
  <c r="CE123"/>
  <c r="CF123"/>
  <c r="CG123"/>
  <c r="CH123"/>
  <c r="CI123"/>
  <c r="CJ123"/>
  <c r="CK123"/>
  <c r="CL123"/>
  <c r="CM123"/>
  <c r="CN123"/>
  <c r="CO123"/>
  <c r="CP123"/>
  <c r="CQ123"/>
  <c r="CR123"/>
  <c r="CS123"/>
  <c r="CT123"/>
  <c r="CU123"/>
  <c r="CV123"/>
  <c r="CW123"/>
  <c r="CX123"/>
  <c r="CY123"/>
  <c r="CZ123"/>
  <c r="DA123"/>
  <c r="DB123"/>
  <c r="DC123"/>
  <c r="DD123"/>
  <c r="DE123"/>
  <c r="DF123"/>
  <c r="DG123"/>
  <c r="DH123"/>
  <c r="DI123"/>
  <c r="DJ123"/>
  <c r="DK123"/>
  <c r="DL123"/>
  <c r="DM123"/>
  <c r="DN123"/>
  <c r="DO123"/>
  <c r="DP123"/>
  <c r="DQ123"/>
  <c r="DR123"/>
  <c r="DS123"/>
  <c r="DT123"/>
  <c r="DU123"/>
  <c r="DV123"/>
  <c r="DW123"/>
  <c r="DX123"/>
  <c r="DY123"/>
  <c r="DZ123"/>
  <c r="EA123"/>
  <c r="EB123"/>
  <c r="EC123"/>
  <c r="ED123"/>
  <c r="EE123"/>
  <c r="EF123"/>
  <c r="EG123"/>
  <c r="EH123"/>
  <c r="EI123"/>
  <c r="EJ123"/>
  <c r="EK123"/>
  <c r="EL123"/>
  <c r="EM123"/>
  <c r="EN123"/>
  <c r="EO123"/>
  <c r="EP123"/>
  <c r="EQ123"/>
  <c r="ER123"/>
  <c r="ES123"/>
  <c r="ET123"/>
  <c r="EU123"/>
  <c r="EV123"/>
  <c r="EW123"/>
  <c r="EX123"/>
  <c r="EY123"/>
  <c r="EZ123"/>
  <c r="FA123"/>
  <c r="FB123"/>
  <c r="FC123"/>
  <c r="FD123"/>
  <c r="FE123"/>
  <c r="FF123"/>
  <c r="FG123"/>
  <c r="FH123"/>
  <c r="FI123"/>
  <c r="FJ123"/>
  <c r="FK123"/>
  <c r="FL123"/>
  <c r="FM123"/>
  <c r="FN123"/>
  <c r="FO123"/>
  <c r="FP123"/>
  <c r="FQ123"/>
  <c r="FR123"/>
  <c r="FS123"/>
  <c r="FT123"/>
  <c r="FU123"/>
  <c r="FV123"/>
  <c r="FW123"/>
  <c r="FX123"/>
  <c r="FY123"/>
  <c r="FZ123"/>
  <c r="GA123"/>
  <c r="GB123"/>
  <c r="GC123"/>
  <c r="GD123"/>
  <c r="GE123"/>
  <c r="GF123"/>
  <c r="GG123"/>
  <c r="GH123"/>
  <c r="GI123"/>
  <c r="GJ123"/>
  <c r="GK123"/>
  <c r="GL123"/>
  <c r="GM123"/>
  <c r="GN123"/>
  <c r="GO123"/>
  <c r="GP123"/>
  <c r="GQ123"/>
  <c r="GR123"/>
  <c r="GS123"/>
  <c r="GT123"/>
  <c r="GU123"/>
  <c r="GV123"/>
  <c r="GW123"/>
  <c r="GX123"/>
  <c r="GY123"/>
  <c r="GZ123"/>
  <c r="HA123"/>
  <c r="HB123"/>
  <c r="HC123"/>
  <c r="HD123"/>
  <c r="HE123"/>
  <c r="HF123"/>
  <c r="HG123"/>
  <c r="HH123"/>
  <c r="HI123"/>
  <c r="HJ123"/>
  <c r="HK123"/>
  <c r="HL123"/>
  <c r="HM123"/>
  <c r="HN123"/>
  <c r="HO123"/>
  <c r="HP123"/>
  <c r="HQ123"/>
  <c r="HR123"/>
  <c r="HS123"/>
  <c r="HT123"/>
  <c r="HU123"/>
  <c r="HV123"/>
  <c r="HW123"/>
  <c r="HX123"/>
  <c r="HY123"/>
  <c r="HZ123"/>
  <c r="IA123"/>
  <c r="IB123"/>
  <c r="IC123"/>
  <c r="ID123"/>
  <c r="IE123"/>
  <c r="IF123"/>
  <c r="IG123"/>
  <c r="IH123"/>
  <c r="II123"/>
  <c r="IJ123"/>
  <c r="IK123"/>
  <c r="IL123"/>
  <c r="IM123"/>
  <c r="IN123"/>
  <c r="IO123"/>
  <c r="IP123"/>
  <c r="IQ123"/>
  <c r="IR123"/>
  <c r="IS123"/>
  <c r="IT123"/>
  <c r="IU123"/>
  <c r="IV123"/>
  <c r="A122"/>
  <c r="B122"/>
  <c r="C122"/>
  <c r="D122"/>
  <c r="E122"/>
  <c r="F122"/>
  <c r="G122"/>
  <c r="H122"/>
  <c r="I122"/>
  <c r="J122"/>
  <c r="K122"/>
  <c r="L122"/>
  <c r="M122"/>
  <c r="N122"/>
  <c r="O122"/>
  <c r="P122"/>
  <c r="Q122"/>
  <c r="R122"/>
  <c r="S122"/>
  <c r="T122"/>
  <c r="U122"/>
  <c r="V122"/>
  <c r="W122"/>
  <c r="X122"/>
  <c r="Y122"/>
  <c r="Z122"/>
  <c r="AA122"/>
  <c r="AB122"/>
  <c r="AC122"/>
  <c r="AD122"/>
  <c r="AE122"/>
  <c r="AF122"/>
  <c r="AG122"/>
  <c r="AH122"/>
  <c r="AI122"/>
  <c r="AJ122"/>
  <c r="AK122"/>
  <c r="AL122"/>
  <c r="AM122"/>
  <c r="AN122"/>
  <c r="AO122"/>
  <c r="AP122"/>
  <c r="AQ122"/>
  <c r="AR122"/>
  <c r="AS122"/>
  <c r="AT122"/>
  <c r="AU122"/>
  <c r="AV122"/>
  <c r="AW122"/>
  <c r="AX122"/>
  <c r="AY122"/>
  <c r="AZ122"/>
  <c r="BA122"/>
  <c r="BB122"/>
  <c r="BC122"/>
  <c r="BD122"/>
  <c r="BE122"/>
  <c r="BF122"/>
  <c r="BG122"/>
  <c r="BH122"/>
  <c r="BI122"/>
  <c r="BJ122"/>
  <c r="BK122"/>
  <c r="BL122"/>
  <c r="BM122"/>
  <c r="BN122"/>
  <c r="BO122"/>
  <c r="BP122"/>
  <c r="BQ122"/>
  <c r="BR122"/>
  <c r="BS122"/>
  <c r="BT122"/>
  <c r="BU122"/>
  <c r="BV122"/>
  <c r="BW122"/>
  <c r="BX122"/>
  <c r="BY122"/>
  <c r="BZ122"/>
  <c r="CA122"/>
  <c r="CB122"/>
  <c r="CC122"/>
  <c r="CD122"/>
  <c r="CE122"/>
  <c r="CF122"/>
  <c r="CG122"/>
  <c r="CH122"/>
  <c r="CI122"/>
  <c r="CJ122"/>
  <c r="CK122"/>
  <c r="CL122"/>
  <c r="CM122"/>
  <c r="CN122"/>
  <c r="CO122"/>
  <c r="CP122"/>
  <c r="CQ122"/>
  <c r="CR122"/>
  <c r="CS122"/>
  <c r="CT122"/>
  <c r="CU122"/>
  <c r="CV122"/>
  <c r="CW122"/>
  <c r="CX122"/>
  <c r="CY122"/>
  <c r="CZ122"/>
  <c r="DA122"/>
  <c r="DB122"/>
  <c r="DC122"/>
  <c r="DD122"/>
  <c r="DE122"/>
  <c r="DF122"/>
  <c r="DG122"/>
  <c r="DH122"/>
  <c r="DI122"/>
  <c r="DJ122"/>
  <c r="DK122"/>
  <c r="DL122"/>
  <c r="DM122"/>
  <c r="DN122"/>
  <c r="DO122"/>
  <c r="DP122"/>
  <c r="DQ122"/>
  <c r="DR122"/>
  <c r="DS122"/>
  <c r="DT122"/>
  <c r="DU122"/>
  <c r="DV122"/>
  <c r="DW122"/>
  <c r="DX122"/>
  <c r="DY122"/>
  <c r="DZ122"/>
  <c r="EA122"/>
  <c r="EB122"/>
  <c r="EC122"/>
  <c r="ED122"/>
  <c r="EE122"/>
  <c r="EF122"/>
  <c r="EG122"/>
  <c r="EH122"/>
  <c r="EI122"/>
  <c r="EJ122"/>
  <c r="EK122"/>
  <c r="EL122"/>
  <c r="EM122"/>
  <c r="EN122"/>
  <c r="EO122"/>
  <c r="EP122"/>
  <c r="EQ122"/>
  <c r="ER122"/>
  <c r="ES122"/>
  <c r="ET122"/>
  <c r="EU122"/>
  <c r="EV122"/>
  <c r="EW122"/>
  <c r="EX122"/>
  <c r="EY122"/>
  <c r="EZ122"/>
  <c r="FA122"/>
  <c r="FB122"/>
  <c r="FC122"/>
  <c r="FD122"/>
  <c r="FE122"/>
  <c r="FF122"/>
  <c r="FG122"/>
  <c r="FH122"/>
  <c r="FI122"/>
  <c r="FJ122"/>
  <c r="FK122"/>
  <c r="FL122"/>
  <c r="FM122"/>
  <c r="FN122"/>
  <c r="FO122"/>
  <c r="FP122"/>
  <c r="FQ122"/>
  <c r="FR122"/>
  <c r="FS122"/>
  <c r="FT122"/>
  <c r="FU122"/>
  <c r="FV122"/>
  <c r="FW122"/>
  <c r="FX122"/>
  <c r="FY122"/>
  <c r="FZ122"/>
  <c r="GA122"/>
  <c r="GB122"/>
  <c r="GC122"/>
  <c r="GD122"/>
  <c r="GE122"/>
  <c r="GF122"/>
  <c r="GG122"/>
  <c r="GH122"/>
  <c r="GI122"/>
  <c r="GJ122"/>
  <c r="GK122"/>
  <c r="GL122"/>
  <c r="GM122"/>
  <c r="GN122"/>
  <c r="GO122"/>
  <c r="GP122"/>
  <c r="GQ122"/>
  <c r="GR122"/>
  <c r="GS122"/>
  <c r="GT122"/>
  <c r="GU122"/>
  <c r="GV122"/>
  <c r="GW122"/>
  <c r="GX122"/>
  <c r="GY122"/>
  <c r="GZ122"/>
  <c r="HA122"/>
  <c r="HB122"/>
  <c r="HC122"/>
  <c r="HD122"/>
  <c r="HE122"/>
  <c r="HF122"/>
  <c r="HG122"/>
  <c r="HH122"/>
  <c r="HI122"/>
  <c r="HJ122"/>
  <c r="HK122"/>
  <c r="HL122"/>
  <c r="HM122"/>
  <c r="HN122"/>
  <c r="HO122"/>
  <c r="HP122"/>
  <c r="HQ122"/>
  <c r="HR122"/>
  <c r="HS122"/>
  <c r="HT122"/>
  <c r="HU122"/>
  <c r="HV122"/>
  <c r="HW122"/>
  <c r="HX122"/>
  <c r="HY122"/>
  <c r="HZ122"/>
  <c r="IA122"/>
  <c r="IB122"/>
  <c r="IC122"/>
  <c r="ID122"/>
  <c r="IE122"/>
  <c r="IF122"/>
  <c r="IG122"/>
  <c r="IH122"/>
  <c r="II122"/>
  <c r="IJ122"/>
  <c r="IK122"/>
  <c r="IL122"/>
  <c r="IM122"/>
  <c r="IN122"/>
  <c r="IO122"/>
  <c r="IP122"/>
  <c r="IQ122"/>
  <c r="IR122"/>
  <c r="IS122"/>
  <c r="IT122"/>
  <c r="IU122"/>
  <c r="IV122"/>
  <c r="A121"/>
  <c r="B121"/>
  <c r="C121"/>
  <c r="D121"/>
  <c r="E121"/>
  <c r="F121"/>
  <c r="G121"/>
  <c r="H121"/>
  <c r="I121"/>
  <c r="J121"/>
  <c r="K121"/>
  <c r="L121"/>
  <c r="M121"/>
  <c r="N121"/>
  <c r="O121"/>
  <c r="P121"/>
  <c r="Q121"/>
  <c r="R121"/>
  <c r="S121"/>
  <c r="T121"/>
  <c r="U121"/>
  <c r="V121"/>
  <c r="W121"/>
  <c r="X121"/>
  <c r="Y121"/>
  <c r="Z121"/>
  <c r="AA121"/>
  <c r="AB121"/>
  <c r="AC121"/>
  <c r="AD121"/>
  <c r="AE121"/>
  <c r="AF121"/>
  <c r="AG121"/>
  <c r="AH121"/>
  <c r="AI121"/>
  <c r="AJ121"/>
  <c r="AK121"/>
  <c r="AL121"/>
  <c r="AM121"/>
  <c r="AN121"/>
  <c r="AO121"/>
  <c r="AP121"/>
  <c r="AQ121"/>
  <c r="AR121"/>
  <c r="AS121"/>
  <c r="AT121"/>
  <c r="AU121"/>
  <c r="AV121"/>
  <c r="AW121"/>
  <c r="AX121"/>
  <c r="AY121"/>
  <c r="AZ121"/>
  <c r="BA121"/>
  <c r="BB121"/>
  <c r="BC121"/>
  <c r="BD121"/>
  <c r="BE121"/>
  <c r="BF121"/>
  <c r="BG121"/>
  <c r="BH121"/>
  <c r="BI121"/>
  <c r="BJ121"/>
  <c r="BK121"/>
  <c r="BL121"/>
  <c r="BM121"/>
  <c r="BN121"/>
  <c r="BO121"/>
  <c r="BP121"/>
  <c r="BQ121"/>
  <c r="BR121"/>
  <c r="BS121"/>
  <c r="BT121"/>
  <c r="BU121"/>
  <c r="BV121"/>
  <c r="BW121"/>
  <c r="BX121"/>
  <c r="BY121"/>
  <c r="BZ121"/>
  <c r="CA121"/>
  <c r="CB121"/>
  <c r="CC121"/>
  <c r="CD121"/>
  <c r="CE121"/>
  <c r="CF121"/>
  <c r="CG121"/>
  <c r="CH121"/>
  <c r="CI121"/>
  <c r="CJ121"/>
  <c r="CK121"/>
  <c r="CL121"/>
  <c r="CM121"/>
  <c r="CN121"/>
  <c r="CO121"/>
  <c r="CP121"/>
  <c r="CQ121"/>
  <c r="CR121"/>
  <c r="CS121"/>
  <c r="CT121"/>
  <c r="CU121"/>
  <c r="CV121"/>
  <c r="CW121"/>
  <c r="CX121"/>
  <c r="CY121"/>
  <c r="CZ121"/>
  <c r="DA121"/>
  <c r="DB121"/>
  <c r="DC121"/>
  <c r="DD121"/>
  <c r="DE121"/>
  <c r="DF121"/>
  <c r="DG121"/>
  <c r="DH121"/>
  <c r="DI121"/>
  <c r="DJ121"/>
  <c r="DK121"/>
  <c r="DL121"/>
  <c r="DM121"/>
  <c r="DN121"/>
  <c r="DO121"/>
  <c r="DP121"/>
  <c r="DQ121"/>
  <c r="DR121"/>
  <c r="DS121"/>
  <c r="DT121"/>
  <c r="DU121"/>
  <c r="DV121"/>
  <c r="DW121"/>
  <c r="DX121"/>
  <c r="DY121"/>
  <c r="DZ121"/>
  <c r="EA121"/>
  <c r="EB121"/>
  <c r="EC121"/>
  <c r="ED121"/>
  <c r="EE121"/>
  <c r="EF121"/>
  <c r="EG121"/>
  <c r="EH121"/>
  <c r="EI121"/>
  <c r="EJ121"/>
  <c r="EK121"/>
  <c r="EL121"/>
  <c r="EM121"/>
  <c r="EN121"/>
  <c r="EO121"/>
  <c r="EP121"/>
  <c r="EQ121"/>
  <c r="ER121"/>
  <c r="ES121"/>
  <c r="ET121"/>
  <c r="EU121"/>
  <c r="EV121"/>
  <c r="EW121"/>
  <c r="EX121"/>
  <c r="EY121"/>
  <c r="EZ121"/>
  <c r="FA121"/>
  <c r="FB121"/>
  <c r="FC121"/>
  <c r="FD121"/>
  <c r="FE121"/>
  <c r="FF121"/>
  <c r="FG121"/>
  <c r="FH121"/>
  <c r="FI121"/>
  <c r="FJ121"/>
  <c r="FK121"/>
  <c r="FL121"/>
  <c r="FM121"/>
  <c r="FN121"/>
  <c r="FO121"/>
  <c r="FP121"/>
  <c r="FQ121"/>
  <c r="FR121"/>
  <c r="FS121"/>
  <c r="FT121"/>
  <c r="FU121"/>
  <c r="FV121"/>
  <c r="FW121"/>
  <c r="FX121"/>
  <c r="FY121"/>
  <c r="FZ121"/>
  <c r="GA121"/>
  <c r="GB121"/>
  <c r="GC121"/>
  <c r="GD121"/>
  <c r="GE121"/>
  <c r="GF121"/>
  <c r="GG121"/>
  <c r="GH121"/>
  <c r="GI121"/>
  <c r="GJ121"/>
  <c r="GK121"/>
  <c r="GL121"/>
  <c r="GM121"/>
  <c r="GN121"/>
  <c r="GO121"/>
  <c r="GP121"/>
  <c r="GQ121"/>
  <c r="GR121"/>
  <c r="GS121"/>
  <c r="GT121"/>
  <c r="GU121"/>
  <c r="GV121"/>
  <c r="GW121"/>
  <c r="GX121"/>
  <c r="GY121"/>
  <c r="GZ121"/>
  <c r="HA121"/>
  <c r="HB121"/>
  <c r="HC121"/>
  <c r="HD121"/>
  <c r="HE121"/>
  <c r="HF121"/>
  <c r="HG121"/>
  <c r="HH121"/>
  <c r="HI121"/>
  <c r="HJ121"/>
  <c r="HK121"/>
  <c r="HL121"/>
  <c r="HM121"/>
  <c r="HN121"/>
  <c r="HO121"/>
  <c r="HP121"/>
  <c r="HQ121"/>
  <c r="HR121"/>
  <c r="HS121"/>
  <c r="HT121"/>
  <c r="HU121"/>
  <c r="HV121"/>
  <c r="HW121"/>
  <c r="HX121"/>
  <c r="HY121"/>
  <c r="HZ121"/>
  <c r="IA121"/>
  <c r="IB121"/>
  <c r="IC121"/>
  <c r="ID121"/>
  <c r="IE121"/>
  <c r="IF121"/>
  <c r="IG121"/>
  <c r="IH121"/>
  <c r="II121"/>
  <c r="IJ121"/>
  <c r="IK121"/>
  <c r="IL121"/>
  <c r="IM121"/>
  <c r="IN121"/>
  <c r="IO121"/>
  <c r="IP121"/>
  <c r="IQ121"/>
  <c r="IR121"/>
  <c r="IS121"/>
  <c r="IT121"/>
  <c r="IU121"/>
  <c r="IV121"/>
  <c r="A120"/>
  <c r="B120"/>
  <c r="C120"/>
  <c r="D120"/>
  <c r="E120"/>
  <c r="F120"/>
  <c r="G120"/>
  <c r="H120"/>
  <c r="I120"/>
  <c r="J120"/>
  <c r="K120"/>
  <c r="L120"/>
  <c r="M120"/>
  <c r="N120"/>
  <c r="O120"/>
  <c r="P120"/>
  <c r="Q120"/>
  <c r="R120"/>
  <c r="S120"/>
  <c r="T120"/>
  <c r="U120"/>
  <c r="V120"/>
  <c r="W120"/>
  <c r="X120"/>
  <c r="Y120"/>
  <c r="Z120"/>
  <c r="AA120"/>
  <c r="AB120"/>
  <c r="AC120"/>
  <c r="AD120"/>
  <c r="AE120"/>
  <c r="AF120"/>
  <c r="AG120"/>
  <c r="AH120"/>
  <c r="AI120"/>
  <c r="AJ120"/>
  <c r="AK120"/>
  <c r="AL120"/>
  <c r="AM120"/>
  <c r="AN120"/>
  <c r="AO120"/>
  <c r="AP120"/>
  <c r="AQ120"/>
  <c r="AR120"/>
  <c r="AS120"/>
  <c r="AT120"/>
  <c r="AU120"/>
  <c r="AV120"/>
  <c r="AW120"/>
  <c r="AX120"/>
  <c r="AY120"/>
  <c r="AZ120"/>
  <c r="BA120"/>
  <c r="BB120"/>
  <c r="BC120"/>
  <c r="BD120"/>
  <c r="BE120"/>
  <c r="BF120"/>
  <c r="BG120"/>
  <c r="BH120"/>
  <c r="BI120"/>
  <c r="BJ120"/>
  <c r="BK120"/>
  <c r="BL120"/>
  <c r="BM120"/>
  <c r="BN120"/>
  <c r="BO120"/>
  <c r="BP120"/>
  <c r="BQ120"/>
  <c r="BR120"/>
  <c r="BS120"/>
  <c r="BT120"/>
  <c r="BU120"/>
  <c r="BV120"/>
  <c r="BW120"/>
  <c r="BX120"/>
  <c r="BY120"/>
  <c r="BZ120"/>
  <c r="CA120"/>
  <c r="CB120"/>
  <c r="CC120"/>
  <c r="CD120"/>
  <c r="CE120"/>
  <c r="CF120"/>
  <c r="CG120"/>
  <c r="CH120"/>
  <c r="CI120"/>
  <c r="CJ120"/>
  <c r="CK120"/>
  <c r="CL120"/>
  <c r="CM120"/>
  <c r="CN120"/>
  <c r="CO120"/>
  <c r="CP120"/>
  <c r="CQ120"/>
  <c r="CR120"/>
  <c r="CS120"/>
  <c r="CT120"/>
  <c r="CU120"/>
  <c r="CV120"/>
  <c r="CW120"/>
  <c r="CX120"/>
  <c r="CY120"/>
  <c r="CZ120"/>
  <c r="DA120"/>
  <c r="DB120"/>
  <c r="DC120"/>
  <c r="DD120"/>
  <c r="DE120"/>
  <c r="DF120"/>
  <c r="DG120"/>
  <c r="DH120"/>
  <c r="DI120"/>
  <c r="DJ120"/>
  <c r="DK120"/>
  <c r="DL120"/>
  <c r="DM120"/>
  <c r="DN120"/>
  <c r="DO120"/>
  <c r="DP120"/>
  <c r="DQ120"/>
  <c r="DR120"/>
  <c r="DS120"/>
  <c r="DT120"/>
  <c r="DU120"/>
  <c r="DV120"/>
  <c r="DW120"/>
  <c r="DX120"/>
  <c r="DY120"/>
  <c r="DZ120"/>
  <c r="EA120"/>
  <c r="EB120"/>
  <c r="EC120"/>
  <c r="ED120"/>
  <c r="EE120"/>
  <c r="EF120"/>
  <c r="EG120"/>
  <c r="EH120"/>
  <c r="EI120"/>
  <c r="EJ120"/>
  <c r="EK120"/>
  <c r="EL120"/>
  <c r="EM120"/>
  <c r="EN120"/>
  <c r="EO120"/>
  <c r="EP120"/>
  <c r="EQ120"/>
  <c r="ER120"/>
  <c r="ES120"/>
  <c r="ET120"/>
  <c r="EU120"/>
  <c r="EV120"/>
  <c r="EW120"/>
  <c r="EX120"/>
  <c r="EY120"/>
  <c r="EZ120"/>
  <c r="FA120"/>
  <c r="FB120"/>
  <c r="FC120"/>
  <c r="FD120"/>
  <c r="FE120"/>
  <c r="FF120"/>
  <c r="FG120"/>
  <c r="FH120"/>
  <c r="FI120"/>
  <c r="FJ120"/>
  <c r="FK120"/>
  <c r="FL120"/>
  <c r="FM120"/>
  <c r="FN120"/>
  <c r="FO120"/>
  <c r="FP120"/>
  <c r="FQ120"/>
  <c r="FR120"/>
  <c r="FS120"/>
  <c r="FT120"/>
  <c r="FU120"/>
  <c r="FV120"/>
  <c r="FW120"/>
  <c r="FX120"/>
  <c r="FY120"/>
  <c r="FZ120"/>
  <c r="GA120"/>
  <c r="GB120"/>
  <c r="GC120"/>
  <c r="GD120"/>
  <c r="GE120"/>
  <c r="GF120"/>
  <c r="GG120"/>
  <c r="GH120"/>
  <c r="GI120"/>
  <c r="GJ120"/>
  <c r="GK120"/>
  <c r="GL120"/>
  <c r="GM120"/>
  <c r="GN120"/>
  <c r="GO120"/>
  <c r="GP120"/>
  <c r="GQ120"/>
  <c r="GR120"/>
  <c r="GS120"/>
  <c r="GT120"/>
  <c r="GU120"/>
  <c r="GV120"/>
  <c r="GW120"/>
  <c r="GX120"/>
  <c r="GY120"/>
  <c r="GZ120"/>
  <c r="HA120"/>
  <c r="HB120"/>
  <c r="HC120"/>
  <c r="HD120"/>
  <c r="HE120"/>
  <c r="HF120"/>
  <c r="HG120"/>
  <c r="HH120"/>
  <c r="HI120"/>
  <c r="HJ120"/>
  <c r="HK120"/>
  <c r="HL120"/>
  <c r="HM120"/>
  <c r="HN120"/>
  <c r="HO120"/>
  <c r="HP120"/>
  <c r="HQ120"/>
  <c r="HR120"/>
  <c r="HS120"/>
  <c r="HT120"/>
  <c r="HU120"/>
  <c r="HV120"/>
  <c r="HW120"/>
  <c r="HX120"/>
  <c r="HY120"/>
  <c r="HZ120"/>
  <c r="IA120"/>
  <c r="IB120"/>
  <c r="IC120"/>
  <c r="ID120"/>
  <c r="IE120"/>
  <c r="IF120"/>
  <c r="IG120"/>
  <c r="IH120"/>
  <c r="II120"/>
  <c r="IJ120"/>
  <c r="IK120"/>
  <c r="IL120"/>
  <c r="IM120"/>
  <c r="IN120"/>
  <c r="IO120"/>
  <c r="IP120"/>
  <c r="IQ120"/>
  <c r="IR120"/>
  <c r="IS120"/>
  <c r="IT120"/>
  <c r="IU120"/>
  <c r="IV120"/>
  <c r="A119"/>
  <c r="B119"/>
  <c r="C119"/>
  <c r="D119"/>
  <c r="E119"/>
  <c r="F119"/>
  <c r="G119"/>
  <c r="H119"/>
  <c r="I119"/>
  <c r="J119"/>
  <c r="K119"/>
  <c r="L119"/>
  <c r="M119"/>
  <c r="N119"/>
  <c r="O119"/>
  <c r="P119"/>
  <c r="Q119"/>
  <c r="R119"/>
  <c r="S119"/>
  <c r="T119"/>
  <c r="U119"/>
  <c r="V119"/>
  <c r="W119"/>
  <c r="X119"/>
  <c r="Y119"/>
  <c r="Z119"/>
  <c r="AA119"/>
  <c r="AB119"/>
  <c r="AC119"/>
  <c r="AD119"/>
  <c r="AE119"/>
  <c r="AF119"/>
  <c r="AG119"/>
  <c r="AH119"/>
  <c r="AI119"/>
  <c r="AJ119"/>
  <c r="AK119"/>
  <c r="AL119"/>
  <c r="AM119"/>
  <c r="AN119"/>
  <c r="AO119"/>
  <c r="AP119"/>
  <c r="AQ119"/>
  <c r="AR119"/>
  <c r="AS119"/>
  <c r="AT119"/>
  <c r="AU119"/>
  <c r="AV119"/>
  <c r="AW119"/>
  <c r="AX119"/>
  <c r="AY119"/>
  <c r="AZ119"/>
  <c r="BA119"/>
  <c r="BB119"/>
  <c r="BC119"/>
  <c r="BD119"/>
  <c r="BE119"/>
  <c r="BF119"/>
  <c r="BG119"/>
  <c r="BH119"/>
  <c r="BI119"/>
  <c r="BJ119"/>
  <c r="BK119"/>
  <c r="BL119"/>
  <c r="BM119"/>
  <c r="BN119"/>
  <c r="BO119"/>
  <c r="BP119"/>
  <c r="BQ119"/>
  <c r="BR119"/>
  <c r="BS119"/>
  <c r="BT119"/>
  <c r="BU119"/>
  <c r="BV119"/>
  <c r="BW119"/>
  <c r="BX119"/>
  <c r="BY119"/>
  <c r="BZ119"/>
  <c r="CA119"/>
  <c r="CB119"/>
  <c r="CC119"/>
  <c r="CD119"/>
  <c r="CE119"/>
  <c r="CF119"/>
  <c r="CG119"/>
  <c r="CH119"/>
  <c r="CI119"/>
  <c r="CJ119"/>
  <c r="CK119"/>
  <c r="CL119"/>
  <c r="CM119"/>
  <c r="CN119"/>
  <c r="CO119"/>
  <c r="CP119"/>
  <c r="CQ119"/>
  <c r="CR119"/>
  <c r="CS119"/>
  <c r="CT119"/>
  <c r="CU119"/>
  <c r="CV119"/>
  <c r="CW119"/>
  <c r="CX119"/>
  <c r="CY119"/>
  <c r="CZ119"/>
  <c r="DA119"/>
  <c r="DB119"/>
  <c r="DC119"/>
  <c r="DD119"/>
  <c r="DE119"/>
  <c r="DF119"/>
  <c r="DG119"/>
  <c r="DH119"/>
  <c r="DI119"/>
  <c r="DJ119"/>
  <c r="DK119"/>
  <c r="DL119"/>
  <c r="DM119"/>
  <c r="DN119"/>
  <c r="DO119"/>
  <c r="DP119"/>
  <c r="DQ119"/>
  <c r="DR119"/>
  <c r="DS119"/>
  <c r="DT119"/>
  <c r="DU119"/>
  <c r="DV119"/>
  <c r="DW119"/>
  <c r="DX119"/>
  <c r="DY119"/>
  <c r="DZ119"/>
  <c r="EA119"/>
  <c r="EB119"/>
  <c r="EC119"/>
  <c r="ED119"/>
  <c r="EE119"/>
  <c r="EF119"/>
  <c r="EG119"/>
  <c r="EH119"/>
  <c r="EI119"/>
  <c r="EJ119"/>
  <c r="EK119"/>
  <c r="EL119"/>
  <c r="EM119"/>
  <c r="EN119"/>
  <c r="EO119"/>
  <c r="EP119"/>
  <c r="EQ119"/>
  <c r="ER119"/>
  <c r="ES119"/>
  <c r="ET119"/>
  <c r="EU119"/>
  <c r="EV119"/>
  <c r="EW119"/>
  <c r="EX119"/>
  <c r="EY119"/>
  <c r="EZ119"/>
  <c r="FA119"/>
  <c r="FB119"/>
  <c r="FC119"/>
  <c r="FD119"/>
  <c r="FE119"/>
  <c r="FF119"/>
  <c r="FG119"/>
  <c r="FH119"/>
  <c r="FI119"/>
  <c r="FJ119"/>
  <c r="FK119"/>
  <c r="FL119"/>
  <c r="FM119"/>
  <c r="FN119"/>
  <c r="FO119"/>
  <c r="FP119"/>
  <c r="FQ119"/>
  <c r="FR119"/>
  <c r="FS119"/>
  <c r="FT119"/>
  <c r="FU119"/>
  <c r="FV119"/>
  <c r="FW119"/>
  <c r="FX119"/>
  <c r="FY119"/>
  <c r="FZ119"/>
  <c r="GA119"/>
  <c r="GB119"/>
  <c r="GC119"/>
  <c r="GD119"/>
  <c r="GE119"/>
  <c r="GF119"/>
  <c r="GG119"/>
  <c r="GH119"/>
  <c r="GI119"/>
  <c r="GJ119"/>
  <c r="GK119"/>
  <c r="GL119"/>
  <c r="GM119"/>
  <c r="GN119"/>
  <c r="GO119"/>
  <c r="GP119"/>
  <c r="GQ119"/>
  <c r="GR119"/>
  <c r="GS119"/>
  <c r="GT119"/>
  <c r="GU119"/>
  <c r="GV119"/>
  <c r="GW119"/>
  <c r="GX119"/>
  <c r="GY119"/>
  <c r="GZ119"/>
  <c r="HA119"/>
  <c r="HB119"/>
  <c r="HC119"/>
  <c r="HD119"/>
  <c r="HE119"/>
  <c r="HF119"/>
  <c r="HG119"/>
  <c r="HH119"/>
  <c r="HI119"/>
  <c r="HJ119"/>
  <c r="HK119"/>
  <c r="HL119"/>
  <c r="HM119"/>
  <c r="HN119"/>
  <c r="HO119"/>
  <c r="HP119"/>
  <c r="HQ119"/>
  <c r="HR119"/>
  <c r="HS119"/>
  <c r="HT119"/>
  <c r="HU119"/>
  <c r="HV119"/>
  <c r="HW119"/>
  <c r="HX119"/>
  <c r="HY119"/>
  <c r="HZ119"/>
  <c r="IA119"/>
  <c r="IB119"/>
  <c r="IC119"/>
  <c r="ID119"/>
  <c r="IE119"/>
  <c r="IF119"/>
  <c r="IG119"/>
  <c r="IH119"/>
  <c r="II119"/>
  <c r="IJ119"/>
  <c r="IK119"/>
  <c r="IL119"/>
  <c r="IM119"/>
  <c r="IN119"/>
  <c r="IO119"/>
  <c r="IP119"/>
  <c r="IQ119"/>
  <c r="IR119"/>
  <c r="IS119"/>
  <c r="IT119"/>
  <c r="IU119"/>
  <c r="IV119"/>
  <c r="A118"/>
  <c r="B118"/>
  <c r="C118"/>
  <c r="D118"/>
  <c r="E118"/>
  <c r="F118"/>
  <c r="G118"/>
  <c r="H118"/>
  <c r="I118"/>
  <c r="J118"/>
  <c r="K118"/>
  <c r="L118"/>
  <c r="M118"/>
  <c r="N118"/>
  <c r="O118"/>
  <c r="P118"/>
  <c r="Q118"/>
  <c r="R118"/>
  <c r="S118"/>
  <c r="T118"/>
  <c r="U118"/>
  <c r="V118"/>
  <c r="W118"/>
  <c r="X118"/>
  <c r="Y118"/>
  <c r="Z118"/>
  <c r="AA118"/>
  <c r="AB118"/>
  <c r="AC118"/>
  <c r="AD118"/>
  <c r="AE118"/>
  <c r="AF118"/>
  <c r="AG118"/>
  <c r="AH118"/>
  <c r="AI118"/>
  <c r="AJ118"/>
  <c r="AK118"/>
  <c r="AL118"/>
  <c r="AM118"/>
  <c r="AN118"/>
  <c r="AO118"/>
  <c r="AP118"/>
  <c r="AQ118"/>
  <c r="AR118"/>
  <c r="AS118"/>
  <c r="AT118"/>
  <c r="AU118"/>
  <c r="AV118"/>
  <c r="AW118"/>
  <c r="AX118"/>
  <c r="AY118"/>
  <c r="AZ118"/>
  <c r="BA118"/>
  <c r="BB118"/>
  <c r="BC118"/>
  <c r="BD118"/>
  <c r="BE118"/>
  <c r="BF118"/>
  <c r="BG118"/>
  <c r="BH118"/>
  <c r="BI118"/>
  <c r="BJ118"/>
  <c r="BK118"/>
  <c r="BL118"/>
  <c r="BM118"/>
  <c r="BN118"/>
  <c r="BO118"/>
  <c r="BP118"/>
  <c r="BQ118"/>
  <c r="BR118"/>
  <c r="BS118"/>
  <c r="BT118"/>
  <c r="BU118"/>
  <c r="BV118"/>
  <c r="BW118"/>
  <c r="BX118"/>
  <c r="BY118"/>
  <c r="BZ118"/>
  <c r="CA118"/>
  <c r="CB118"/>
  <c r="CC118"/>
  <c r="CD118"/>
  <c r="CE118"/>
  <c r="CF118"/>
  <c r="CG118"/>
  <c r="CH118"/>
  <c r="CI118"/>
  <c r="CJ118"/>
  <c r="CK118"/>
  <c r="CL118"/>
  <c r="CM118"/>
  <c r="CN118"/>
  <c r="CO118"/>
  <c r="CP118"/>
  <c r="CQ118"/>
  <c r="CR118"/>
  <c r="CS118"/>
  <c r="CT118"/>
  <c r="CU118"/>
  <c r="CV118"/>
  <c r="CW118"/>
  <c r="CX118"/>
  <c r="CY118"/>
  <c r="CZ118"/>
  <c r="DA118"/>
  <c r="DB118"/>
  <c r="DC118"/>
  <c r="DD118"/>
  <c r="DE118"/>
  <c r="DF118"/>
  <c r="DG118"/>
  <c r="DH118"/>
  <c r="DI118"/>
  <c r="DJ118"/>
  <c r="DK118"/>
  <c r="DL118"/>
  <c r="DM118"/>
  <c r="DN118"/>
  <c r="DO118"/>
  <c r="DP118"/>
  <c r="DQ118"/>
  <c r="DR118"/>
  <c r="DS118"/>
  <c r="DT118"/>
  <c r="DU118"/>
  <c r="DV118"/>
  <c r="DW118"/>
  <c r="DX118"/>
  <c r="DY118"/>
  <c r="DZ118"/>
  <c r="EA118"/>
  <c r="EB118"/>
  <c r="EC118"/>
  <c r="ED118"/>
  <c r="EE118"/>
  <c r="EF118"/>
  <c r="EG118"/>
  <c r="EH118"/>
  <c r="EI118"/>
  <c r="EJ118"/>
  <c r="EK118"/>
  <c r="EL118"/>
  <c r="EM118"/>
  <c r="EN118"/>
  <c r="EO118"/>
  <c r="EP118"/>
  <c r="EQ118"/>
  <c r="ER118"/>
  <c r="ES118"/>
  <c r="ET118"/>
  <c r="EU118"/>
  <c r="EV118"/>
  <c r="EW118"/>
  <c r="EX118"/>
  <c r="EY118"/>
  <c r="EZ118"/>
  <c r="FA118"/>
  <c r="FB118"/>
  <c r="FC118"/>
  <c r="FD118"/>
  <c r="FE118"/>
  <c r="FF118"/>
  <c r="FG118"/>
  <c r="FH118"/>
  <c r="FI118"/>
  <c r="FJ118"/>
  <c r="FK118"/>
  <c r="FL118"/>
  <c r="FM118"/>
  <c r="FN118"/>
  <c r="FO118"/>
  <c r="FP118"/>
  <c r="FQ118"/>
  <c r="FR118"/>
  <c r="FS118"/>
  <c r="FT118"/>
  <c r="FU118"/>
  <c r="FV118"/>
  <c r="FW118"/>
  <c r="FX118"/>
  <c r="FY118"/>
  <c r="FZ118"/>
  <c r="GA118"/>
  <c r="GB118"/>
  <c r="GC118"/>
  <c r="GD118"/>
  <c r="GE118"/>
  <c r="GF118"/>
  <c r="GG118"/>
  <c r="GH118"/>
  <c r="GI118"/>
  <c r="GJ118"/>
  <c r="GK118"/>
  <c r="GL118"/>
  <c r="GM118"/>
  <c r="GN118"/>
  <c r="GO118"/>
  <c r="GP118"/>
  <c r="GQ118"/>
  <c r="GR118"/>
  <c r="GS118"/>
  <c r="GT118"/>
  <c r="GU118"/>
  <c r="GV118"/>
  <c r="GW118"/>
  <c r="GX118"/>
  <c r="GY118"/>
  <c r="GZ118"/>
  <c r="HA118"/>
  <c r="HB118"/>
  <c r="HC118"/>
  <c r="HD118"/>
  <c r="HE118"/>
  <c r="HF118"/>
  <c r="HG118"/>
  <c r="HH118"/>
  <c r="HI118"/>
  <c r="HJ118"/>
  <c r="HK118"/>
  <c r="HL118"/>
  <c r="HM118"/>
  <c r="HN118"/>
  <c r="HO118"/>
  <c r="HP118"/>
  <c r="HQ118"/>
  <c r="HR118"/>
  <c r="HS118"/>
  <c r="HT118"/>
  <c r="HU118"/>
  <c r="HV118"/>
  <c r="HW118"/>
  <c r="HX118"/>
  <c r="HY118"/>
  <c r="HZ118"/>
  <c r="IA118"/>
  <c r="IB118"/>
  <c r="IC118"/>
  <c r="ID118"/>
  <c r="IE118"/>
  <c r="IF118"/>
  <c r="IG118"/>
  <c r="IH118"/>
  <c r="II118"/>
  <c r="IJ118"/>
  <c r="IK118"/>
  <c r="IL118"/>
  <c r="IM118"/>
  <c r="IN118"/>
  <c r="IO118"/>
  <c r="IP118"/>
  <c r="IQ118"/>
  <c r="IR118"/>
  <c r="IS118"/>
  <c r="IT118"/>
  <c r="IU118"/>
  <c r="IV118"/>
  <c r="A117"/>
  <c r="B117"/>
  <c r="C117"/>
  <c r="D117"/>
  <c r="E117"/>
  <c r="F117"/>
  <c r="G117"/>
  <c r="H117"/>
  <c r="I117"/>
  <c r="J117"/>
  <c r="K117"/>
  <c r="L117"/>
  <c r="M117"/>
  <c r="N117"/>
  <c r="O117"/>
  <c r="P117"/>
  <c r="Q117"/>
  <c r="R117"/>
  <c r="S117"/>
  <c r="T117"/>
  <c r="U117"/>
  <c r="V117"/>
  <c r="W117"/>
  <c r="X117"/>
  <c r="Y117"/>
  <c r="Z117"/>
  <c r="AA117"/>
  <c r="AB117"/>
  <c r="AC117"/>
  <c r="AD117"/>
  <c r="AE117"/>
  <c r="AF117"/>
  <c r="AG117"/>
  <c r="AH117"/>
  <c r="AI117"/>
  <c r="AJ117"/>
  <c r="AK117"/>
  <c r="AL117"/>
  <c r="AM117"/>
  <c r="AN117"/>
  <c r="AO117"/>
  <c r="AP117"/>
  <c r="AQ117"/>
  <c r="AR117"/>
  <c r="AS117"/>
  <c r="AT117"/>
  <c r="AU117"/>
  <c r="AV117"/>
  <c r="AW117"/>
  <c r="AX117"/>
  <c r="AY117"/>
  <c r="AZ117"/>
  <c r="BA117"/>
  <c r="BB117"/>
  <c r="BC117"/>
  <c r="BD117"/>
  <c r="BE117"/>
  <c r="BF117"/>
  <c r="BG117"/>
  <c r="BH117"/>
  <c r="BI117"/>
  <c r="BJ117"/>
  <c r="BK117"/>
  <c r="BL117"/>
  <c r="BM117"/>
  <c r="BN117"/>
  <c r="BO117"/>
  <c r="BP117"/>
  <c r="BQ117"/>
  <c r="BR117"/>
  <c r="BS117"/>
  <c r="BT117"/>
  <c r="BU117"/>
  <c r="BV117"/>
  <c r="BW117"/>
  <c r="BX117"/>
  <c r="BY117"/>
  <c r="BZ117"/>
  <c r="CA117"/>
  <c r="CB117"/>
  <c r="CC117"/>
  <c r="CD117"/>
  <c r="CE117"/>
  <c r="CF117"/>
  <c r="CG117"/>
  <c r="CH117"/>
  <c r="CI117"/>
  <c r="CJ117"/>
  <c r="CK117"/>
  <c r="CL117"/>
  <c r="CM117"/>
  <c r="CN117"/>
  <c r="CO117"/>
  <c r="CP117"/>
  <c r="CQ117"/>
  <c r="CR117"/>
  <c r="CS117"/>
  <c r="CT117"/>
  <c r="CU117"/>
  <c r="CV117"/>
  <c r="CW117"/>
  <c r="CX117"/>
  <c r="CY117"/>
  <c r="CZ117"/>
  <c r="DA117"/>
  <c r="DB117"/>
  <c r="DC117"/>
  <c r="DD117"/>
  <c r="DE117"/>
  <c r="DF117"/>
  <c r="DG117"/>
  <c r="DH117"/>
  <c r="DI117"/>
  <c r="DJ117"/>
  <c r="DK117"/>
  <c r="DL117"/>
  <c r="DM117"/>
  <c r="DN117"/>
  <c r="DO117"/>
  <c r="DP117"/>
  <c r="DQ117"/>
  <c r="DR117"/>
  <c r="DS117"/>
  <c r="DT117"/>
  <c r="DU117"/>
  <c r="DV117"/>
  <c r="DW117"/>
  <c r="DX117"/>
  <c r="DY117"/>
  <c r="DZ117"/>
  <c r="EA117"/>
  <c r="EB117"/>
  <c r="EC117"/>
  <c r="ED117"/>
  <c r="EE117"/>
  <c r="EF117"/>
  <c r="EG117"/>
  <c r="EH117"/>
  <c r="EI117"/>
  <c r="EJ117"/>
  <c r="EK117"/>
  <c r="EL117"/>
  <c r="EM117"/>
  <c r="EN117"/>
  <c r="EO117"/>
  <c r="EP117"/>
  <c r="EQ117"/>
  <c r="ER117"/>
  <c r="ES117"/>
  <c r="ET117"/>
  <c r="EU117"/>
  <c r="EV117"/>
  <c r="EW117"/>
  <c r="EX117"/>
  <c r="EY117"/>
  <c r="EZ117"/>
  <c r="FA117"/>
  <c r="FB117"/>
  <c r="FC117"/>
  <c r="FD117"/>
  <c r="FE117"/>
  <c r="FF117"/>
  <c r="FG117"/>
  <c r="FH117"/>
  <c r="FI117"/>
  <c r="FJ117"/>
  <c r="FK117"/>
  <c r="FL117"/>
  <c r="FM117"/>
  <c r="FN117"/>
  <c r="FO117"/>
  <c r="FP117"/>
  <c r="FQ117"/>
  <c r="FR117"/>
  <c r="FS117"/>
  <c r="FT117"/>
  <c r="FU117"/>
  <c r="FV117"/>
  <c r="FW117"/>
  <c r="FX117"/>
  <c r="FY117"/>
  <c r="FZ117"/>
  <c r="GA117"/>
  <c r="GB117"/>
  <c r="GC117"/>
  <c r="GD117"/>
  <c r="GE117"/>
  <c r="GF117"/>
  <c r="GG117"/>
  <c r="GH117"/>
  <c r="GI117"/>
  <c r="GJ117"/>
  <c r="GK117"/>
  <c r="GL117"/>
  <c r="GM117"/>
  <c r="GN117"/>
  <c r="GO117"/>
  <c r="GP117"/>
  <c r="GQ117"/>
  <c r="GR117"/>
  <c r="GS117"/>
  <c r="GT117"/>
  <c r="GU117"/>
  <c r="GV117"/>
  <c r="GW117"/>
  <c r="GX117"/>
  <c r="GY117"/>
  <c r="GZ117"/>
  <c r="HA117"/>
  <c r="HB117"/>
  <c r="HC117"/>
  <c r="HD117"/>
  <c r="HE117"/>
  <c r="HF117"/>
  <c r="HG117"/>
  <c r="HH117"/>
  <c r="HI117"/>
  <c r="HJ117"/>
  <c r="HK117"/>
  <c r="HL117"/>
  <c r="HM117"/>
  <c r="HN117"/>
  <c r="HO117"/>
  <c r="HP117"/>
  <c r="HQ117"/>
  <c r="HR117"/>
  <c r="HS117"/>
  <c r="HT117"/>
  <c r="HU117"/>
  <c r="HV117"/>
  <c r="HW117"/>
  <c r="HX117"/>
  <c r="HY117"/>
  <c r="HZ117"/>
  <c r="IA117"/>
  <c r="IB117"/>
  <c r="IC117"/>
  <c r="ID117"/>
  <c r="IE117"/>
  <c r="IF117"/>
  <c r="IG117"/>
  <c r="IH117"/>
  <c r="II117"/>
  <c r="IJ117"/>
  <c r="IK117"/>
  <c r="IL117"/>
  <c r="IM117"/>
  <c r="IN117"/>
  <c r="IO117"/>
  <c r="IP117"/>
  <c r="IQ117"/>
  <c r="IR117"/>
  <c r="IS117"/>
  <c r="IT117"/>
  <c r="IU117"/>
  <c r="IV117"/>
  <c r="A116"/>
  <c r="B116"/>
  <c r="C116"/>
  <c r="D116"/>
  <c r="E116"/>
  <c r="F116"/>
  <c r="G116"/>
  <c r="H116"/>
  <c r="I116"/>
  <c r="J116"/>
  <c r="K116"/>
  <c r="L116"/>
  <c r="M116"/>
  <c r="N116"/>
  <c r="O116"/>
  <c r="P116"/>
  <c r="Q116"/>
  <c r="R116"/>
  <c r="S116"/>
  <c r="T116"/>
  <c r="U116"/>
  <c r="V116"/>
  <c r="W116"/>
  <c r="X116"/>
  <c r="Y116"/>
  <c r="Z116"/>
  <c r="AA116"/>
  <c r="AB116"/>
  <c r="AC116"/>
  <c r="AD116"/>
  <c r="AE116"/>
  <c r="AF116"/>
  <c r="AG116"/>
  <c r="AH116"/>
  <c r="AI116"/>
  <c r="AJ116"/>
  <c r="AK116"/>
  <c r="AL116"/>
  <c r="AM116"/>
  <c r="AN116"/>
  <c r="AO116"/>
  <c r="AP116"/>
  <c r="AQ116"/>
  <c r="AR116"/>
  <c r="AS116"/>
  <c r="AT116"/>
  <c r="AU116"/>
  <c r="AV116"/>
  <c r="AW116"/>
  <c r="AX116"/>
  <c r="AY116"/>
  <c r="AZ116"/>
  <c r="BA116"/>
  <c r="BB116"/>
  <c r="BC116"/>
  <c r="BD116"/>
  <c r="BE116"/>
  <c r="BF116"/>
  <c r="BG116"/>
  <c r="BH116"/>
  <c r="BI116"/>
  <c r="BJ116"/>
  <c r="BK116"/>
  <c r="BL116"/>
  <c r="BM116"/>
  <c r="BN116"/>
  <c r="BO116"/>
  <c r="BP116"/>
  <c r="BQ116"/>
  <c r="BR116"/>
  <c r="BS116"/>
  <c r="BT116"/>
  <c r="BU116"/>
  <c r="BV116"/>
  <c r="BW116"/>
  <c r="BX116"/>
  <c r="BY116"/>
  <c r="BZ116"/>
  <c r="CA116"/>
  <c r="CB116"/>
  <c r="CC116"/>
  <c r="CD116"/>
  <c r="CE116"/>
  <c r="CF116"/>
  <c r="CG116"/>
  <c r="CH116"/>
  <c r="CI116"/>
  <c r="CJ116"/>
  <c r="CK116"/>
  <c r="CL116"/>
  <c r="CM116"/>
  <c r="CN116"/>
  <c r="CO116"/>
  <c r="CP116"/>
  <c r="CQ116"/>
  <c r="CR116"/>
  <c r="CS116"/>
  <c r="CT116"/>
  <c r="CU116"/>
  <c r="CV116"/>
  <c r="CW116"/>
  <c r="CX116"/>
  <c r="CY116"/>
  <c r="CZ116"/>
  <c r="DA116"/>
  <c r="DB116"/>
  <c r="DC116"/>
  <c r="DD116"/>
  <c r="DE116"/>
  <c r="DF116"/>
  <c r="DG116"/>
  <c r="DH116"/>
  <c r="DI116"/>
  <c r="DJ116"/>
  <c r="DK116"/>
  <c r="DL116"/>
  <c r="DM116"/>
  <c r="DN116"/>
  <c r="DO116"/>
  <c r="DP116"/>
  <c r="DQ116"/>
  <c r="DR116"/>
  <c r="DS116"/>
  <c r="DT116"/>
  <c r="DU116"/>
  <c r="DV116"/>
  <c r="DW116"/>
  <c r="DX116"/>
  <c r="DY116"/>
  <c r="DZ116"/>
  <c r="EA116"/>
  <c r="EB116"/>
  <c r="EC116"/>
  <c r="ED116"/>
  <c r="EE116"/>
  <c r="EF116"/>
  <c r="EG116"/>
  <c r="EH116"/>
  <c r="EI116"/>
  <c r="EJ116"/>
  <c r="EK116"/>
  <c r="EL116"/>
  <c r="EM116"/>
  <c r="EN116"/>
  <c r="EO116"/>
  <c r="EP116"/>
  <c r="EQ116"/>
  <c r="ER116"/>
  <c r="ES116"/>
  <c r="ET116"/>
  <c r="EU116"/>
  <c r="EV116"/>
  <c r="EW116"/>
  <c r="EX116"/>
  <c r="EY116"/>
  <c r="EZ116"/>
  <c r="FA116"/>
  <c r="FB116"/>
  <c r="FC116"/>
  <c r="FD116"/>
  <c r="FE116"/>
  <c r="FF116"/>
  <c r="FG116"/>
  <c r="FH116"/>
  <c r="FI116"/>
  <c r="FJ116"/>
  <c r="FK116"/>
  <c r="FL116"/>
  <c r="FM116"/>
  <c r="FN116"/>
  <c r="FO116"/>
  <c r="FP116"/>
  <c r="FQ116"/>
  <c r="FR116"/>
  <c r="FS116"/>
  <c r="FT116"/>
  <c r="FU116"/>
  <c r="FV116"/>
  <c r="FW116"/>
  <c r="FX116"/>
  <c r="FY116"/>
  <c r="FZ116"/>
  <c r="GA116"/>
  <c r="GB116"/>
  <c r="GC116"/>
  <c r="GD116"/>
  <c r="GE116"/>
  <c r="GF116"/>
  <c r="GG116"/>
  <c r="GH116"/>
  <c r="GI116"/>
  <c r="GJ116"/>
  <c r="GK116"/>
  <c r="GL116"/>
  <c r="GM116"/>
  <c r="GN116"/>
  <c r="GO116"/>
  <c r="GP116"/>
  <c r="GQ116"/>
  <c r="GR116"/>
  <c r="GS116"/>
  <c r="GT116"/>
  <c r="GU116"/>
  <c r="GV116"/>
  <c r="GW116"/>
  <c r="GX116"/>
  <c r="GY116"/>
  <c r="GZ116"/>
  <c r="HA116"/>
  <c r="HB116"/>
  <c r="HC116"/>
  <c r="HD116"/>
  <c r="HE116"/>
  <c r="HF116"/>
  <c r="HG116"/>
  <c r="HH116"/>
  <c r="HI116"/>
  <c r="HJ116"/>
  <c r="HK116"/>
  <c r="HL116"/>
  <c r="HM116"/>
  <c r="HN116"/>
  <c r="HO116"/>
  <c r="HP116"/>
  <c r="HQ116"/>
  <c r="HR116"/>
  <c r="HS116"/>
  <c r="HT116"/>
  <c r="HU116"/>
  <c r="HV116"/>
  <c r="HW116"/>
  <c r="HX116"/>
  <c r="HY116"/>
  <c r="HZ116"/>
  <c r="IA116"/>
  <c r="IB116"/>
  <c r="IC116"/>
  <c r="ID116"/>
  <c r="IE116"/>
  <c r="IF116"/>
  <c r="IG116"/>
  <c r="IH116"/>
  <c r="II116"/>
  <c r="IJ116"/>
  <c r="IK116"/>
  <c r="IL116"/>
  <c r="IM116"/>
  <c r="IN116"/>
  <c r="IO116"/>
  <c r="IP116"/>
  <c r="IQ116"/>
  <c r="IR116"/>
  <c r="IS116"/>
  <c r="IT116"/>
  <c r="IU116"/>
  <c r="IV116"/>
  <c r="A115"/>
  <c r="B115"/>
  <c r="C115"/>
  <c r="D115"/>
  <c r="E115"/>
  <c r="F115"/>
  <c r="G115"/>
  <c r="H115"/>
  <c r="I115"/>
  <c r="J115"/>
  <c r="K115"/>
  <c r="L115"/>
  <c r="M115"/>
  <c r="N115"/>
  <c r="O115"/>
  <c r="P115"/>
  <c r="Q115"/>
  <c r="R115"/>
  <c r="S115"/>
  <c r="T115"/>
  <c r="U115"/>
  <c r="V115"/>
  <c r="W115"/>
  <c r="X115"/>
  <c r="Y115"/>
  <c r="Z115"/>
  <c r="AA115"/>
  <c r="AB115"/>
  <c r="AC115"/>
  <c r="AD115"/>
  <c r="AE115"/>
  <c r="AF115"/>
  <c r="AG115"/>
  <c r="AH115"/>
  <c r="AI115"/>
  <c r="AJ115"/>
  <c r="AK115"/>
  <c r="AL115"/>
  <c r="AM115"/>
  <c r="AN115"/>
  <c r="AO115"/>
  <c r="AP115"/>
  <c r="AQ115"/>
  <c r="AR115"/>
  <c r="AS115"/>
  <c r="AT115"/>
  <c r="AU115"/>
  <c r="AV115"/>
  <c r="AW115"/>
  <c r="AX115"/>
  <c r="AY115"/>
  <c r="AZ115"/>
  <c r="BA115"/>
  <c r="BB115"/>
  <c r="BC115"/>
  <c r="BD115"/>
  <c r="BE115"/>
  <c r="BF115"/>
  <c r="BG115"/>
  <c r="BH115"/>
  <c r="BI115"/>
  <c r="BJ115"/>
  <c r="BK115"/>
  <c r="BL115"/>
  <c r="BM115"/>
  <c r="BN115"/>
  <c r="BO115"/>
  <c r="BP115"/>
  <c r="BQ115"/>
  <c r="BR115"/>
  <c r="BS115"/>
  <c r="BT115"/>
  <c r="BU115"/>
  <c r="BV115"/>
  <c r="BW115"/>
  <c r="BX115"/>
  <c r="BY115"/>
  <c r="BZ115"/>
  <c r="CA115"/>
  <c r="CB115"/>
  <c r="CC115"/>
  <c r="CD115"/>
  <c r="CE115"/>
  <c r="CF115"/>
  <c r="CG115"/>
  <c r="CH115"/>
  <c r="CI115"/>
  <c r="CJ115"/>
  <c r="CK115"/>
  <c r="CL115"/>
  <c r="CM115"/>
  <c r="CN115"/>
  <c r="CO115"/>
  <c r="CP115"/>
  <c r="CQ115"/>
  <c r="CR115"/>
  <c r="CS115"/>
  <c r="CT115"/>
  <c r="CU115"/>
  <c r="CV115"/>
  <c r="CW115"/>
  <c r="CX115"/>
  <c r="CY115"/>
  <c r="CZ115"/>
  <c r="DA115"/>
  <c r="DB115"/>
  <c r="DC115"/>
  <c r="DD115"/>
  <c r="DE115"/>
  <c r="DF115"/>
  <c r="DG115"/>
  <c r="DH115"/>
  <c r="DI115"/>
  <c r="DJ115"/>
  <c r="DK115"/>
  <c r="DL115"/>
  <c r="DM115"/>
  <c r="DN115"/>
  <c r="DO115"/>
  <c r="DP115"/>
  <c r="DQ115"/>
  <c r="DR115"/>
  <c r="DS115"/>
  <c r="DT115"/>
  <c r="DU115"/>
  <c r="DV115"/>
  <c r="DW115"/>
  <c r="DX115"/>
  <c r="DY115"/>
  <c r="DZ115"/>
  <c r="EA115"/>
  <c r="EB115"/>
  <c r="EC115"/>
  <c r="ED115"/>
  <c r="EE115"/>
  <c r="EF115"/>
  <c r="EG115"/>
  <c r="EH115"/>
  <c r="EI115"/>
  <c r="EJ115"/>
  <c r="EK115"/>
  <c r="EL115"/>
  <c r="EM115"/>
  <c r="EN115"/>
  <c r="EO115"/>
  <c r="EP115"/>
  <c r="EQ115"/>
  <c r="ER115"/>
  <c r="ES115"/>
  <c r="ET115"/>
  <c r="EU115"/>
  <c r="EV115"/>
  <c r="EW115"/>
  <c r="EX115"/>
  <c r="EY115"/>
  <c r="EZ115"/>
  <c r="FA115"/>
  <c r="FB115"/>
  <c r="FC115"/>
  <c r="FD115"/>
  <c r="FE115"/>
  <c r="FF115"/>
  <c r="FG115"/>
  <c r="FH115"/>
  <c r="FI115"/>
  <c r="FJ115"/>
  <c r="FK115"/>
  <c r="FL115"/>
  <c r="FM115"/>
  <c r="FN115"/>
  <c r="FO115"/>
  <c r="FP115"/>
  <c r="FQ115"/>
  <c r="FR115"/>
  <c r="FS115"/>
  <c r="FT115"/>
  <c r="FU115"/>
  <c r="FV115"/>
  <c r="FW115"/>
  <c r="FX115"/>
  <c r="FY115"/>
  <c r="FZ115"/>
  <c r="GA115"/>
  <c r="GB115"/>
  <c r="GC115"/>
  <c r="GD115"/>
  <c r="GE115"/>
  <c r="GF115"/>
  <c r="GG115"/>
  <c r="GH115"/>
  <c r="GI115"/>
  <c r="GJ115"/>
  <c r="GK115"/>
  <c r="GL115"/>
  <c r="GM115"/>
  <c r="GN115"/>
  <c r="GO115"/>
  <c r="GP115"/>
  <c r="GQ115"/>
  <c r="GR115"/>
  <c r="GS115"/>
  <c r="GT115"/>
  <c r="GU115"/>
  <c r="GV115"/>
  <c r="GW115"/>
  <c r="GX115"/>
  <c r="GY115"/>
  <c r="GZ115"/>
  <c r="HA115"/>
  <c r="HB115"/>
  <c r="HC115"/>
  <c r="HD115"/>
  <c r="HE115"/>
  <c r="HF115"/>
  <c r="HG115"/>
  <c r="HH115"/>
  <c r="HI115"/>
  <c r="HJ115"/>
  <c r="HK115"/>
  <c r="HL115"/>
  <c r="HM115"/>
  <c r="HN115"/>
  <c r="HO115"/>
  <c r="HP115"/>
  <c r="HQ115"/>
  <c r="HR115"/>
  <c r="HS115"/>
  <c r="HT115"/>
  <c r="HU115"/>
  <c r="HV115"/>
  <c r="HW115"/>
  <c r="HX115"/>
  <c r="HY115"/>
  <c r="HZ115"/>
  <c r="IA115"/>
  <c r="IB115"/>
  <c r="IC115"/>
  <c r="ID115"/>
  <c r="IE115"/>
  <c r="IF115"/>
  <c r="IG115"/>
  <c r="IH115"/>
  <c r="II115"/>
  <c r="IJ115"/>
  <c r="IK115"/>
  <c r="IL115"/>
  <c r="IM115"/>
  <c r="IN115"/>
  <c r="IO115"/>
  <c r="IP115"/>
  <c r="IQ115"/>
  <c r="IR115"/>
  <c r="IS115"/>
  <c r="IT115"/>
  <c r="IU115"/>
  <c r="IV115"/>
  <c r="A114"/>
  <c r="B114"/>
  <c r="C114"/>
  <c r="D114"/>
  <c r="E114"/>
  <c r="F114"/>
  <c r="G114"/>
  <c r="H114"/>
  <c r="I114"/>
  <c r="J114"/>
  <c r="K114"/>
  <c r="L114"/>
  <c r="M114"/>
  <c r="N114"/>
  <c r="O114"/>
  <c r="P114"/>
  <c r="Q114"/>
  <c r="R114"/>
  <c r="S114"/>
  <c r="T114"/>
  <c r="U114"/>
  <c r="V114"/>
  <c r="W114"/>
  <c r="X114"/>
  <c r="Y114"/>
  <c r="Z114"/>
  <c r="AA114"/>
  <c r="AB114"/>
  <c r="AC114"/>
  <c r="AD114"/>
  <c r="AE114"/>
  <c r="AF114"/>
  <c r="AG114"/>
  <c r="AH114"/>
  <c r="AI114"/>
  <c r="AJ114"/>
  <c r="AK114"/>
  <c r="AL114"/>
  <c r="AM114"/>
  <c r="AN114"/>
  <c r="AO114"/>
  <c r="AP114"/>
  <c r="AQ114"/>
  <c r="AR114"/>
  <c r="AS114"/>
  <c r="AT114"/>
  <c r="AU114"/>
  <c r="AV114"/>
  <c r="AW114"/>
  <c r="AX114"/>
  <c r="AY114"/>
  <c r="AZ114"/>
  <c r="BA114"/>
  <c r="BB114"/>
  <c r="BC114"/>
  <c r="BD114"/>
  <c r="BE114"/>
  <c r="BF114"/>
  <c r="BG114"/>
  <c r="BH114"/>
  <c r="BI114"/>
  <c r="BJ114"/>
  <c r="BK114"/>
  <c r="BL114"/>
  <c r="BM114"/>
  <c r="BN114"/>
  <c r="BO114"/>
  <c r="BP114"/>
  <c r="BQ114"/>
  <c r="BR114"/>
  <c r="BS114"/>
  <c r="BT114"/>
  <c r="BU114"/>
  <c r="BV114"/>
  <c r="BW114"/>
  <c r="BX114"/>
  <c r="BY114"/>
  <c r="BZ114"/>
  <c r="CA114"/>
  <c r="CB114"/>
  <c r="CC114"/>
  <c r="CD114"/>
  <c r="CE114"/>
  <c r="CF114"/>
  <c r="CG114"/>
  <c r="CH114"/>
  <c r="CI114"/>
  <c r="CJ114"/>
  <c r="CK114"/>
  <c r="CL114"/>
  <c r="CM114"/>
  <c r="CN114"/>
  <c r="CO114"/>
  <c r="CP114"/>
  <c r="CQ114"/>
  <c r="CR114"/>
  <c r="CS114"/>
  <c r="CT114"/>
  <c r="CU114"/>
  <c r="CV114"/>
  <c r="CW114"/>
  <c r="CX114"/>
  <c r="CY114"/>
  <c r="CZ114"/>
  <c r="DA114"/>
  <c r="DB114"/>
  <c r="DC114"/>
  <c r="DD114"/>
  <c r="DE114"/>
  <c r="DF114"/>
  <c r="DG114"/>
  <c r="DH114"/>
  <c r="DI114"/>
  <c r="DJ114"/>
  <c r="DK114"/>
  <c r="DL114"/>
  <c r="DM114"/>
  <c r="DN114"/>
  <c r="DO114"/>
  <c r="DP114"/>
  <c r="DQ114"/>
  <c r="DR114"/>
  <c r="DS114"/>
  <c r="DT114"/>
  <c r="DU114"/>
  <c r="DV114"/>
  <c r="DW114"/>
  <c r="DX114"/>
  <c r="DY114"/>
  <c r="DZ114"/>
  <c r="EA114"/>
  <c r="EB114"/>
  <c r="EC114"/>
  <c r="ED114"/>
  <c r="EE114"/>
  <c r="EF114"/>
  <c r="EG114"/>
  <c r="EH114"/>
  <c r="EI114"/>
  <c r="EJ114"/>
  <c r="EK114"/>
  <c r="EL114"/>
  <c r="EM114"/>
  <c r="EN114"/>
  <c r="EO114"/>
  <c r="EP114"/>
  <c r="EQ114"/>
  <c r="ER114"/>
  <c r="ES114"/>
  <c r="ET114"/>
  <c r="EU114"/>
  <c r="EV114"/>
  <c r="EW114"/>
  <c r="EX114"/>
  <c r="EY114"/>
  <c r="EZ114"/>
  <c r="FA114"/>
  <c r="FB114"/>
  <c r="FC114"/>
  <c r="FD114"/>
  <c r="FE114"/>
  <c r="FF114"/>
  <c r="FG114"/>
  <c r="FH114"/>
  <c r="FI114"/>
  <c r="FJ114"/>
  <c r="FK114"/>
  <c r="FL114"/>
  <c r="FM114"/>
  <c r="FN114"/>
  <c r="FO114"/>
  <c r="FP114"/>
  <c r="FQ114"/>
  <c r="FR114"/>
  <c r="FS114"/>
  <c r="FT114"/>
  <c r="FU114"/>
  <c r="FV114"/>
  <c r="FW114"/>
  <c r="FX114"/>
  <c r="FY114"/>
  <c r="FZ114"/>
  <c r="GA114"/>
  <c r="GB114"/>
  <c r="GC114"/>
  <c r="GD114"/>
  <c r="GE114"/>
  <c r="GF114"/>
  <c r="GG114"/>
  <c r="GH114"/>
  <c r="GI114"/>
  <c r="GJ114"/>
  <c r="GK114"/>
  <c r="GL114"/>
  <c r="GM114"/>
  <c r="GN114"/>
  <c r="GO114"/>
  <c r="GP114"/>
  <c r="GQ114"/>
  <c r="GR114"/>
  <c r="GS114"/>
  <c r="GT114"/>
  <c r="GU114"/>
  <c r="GV114"/>
  <c r="GW114"/>
  <c r="GX114"/>
  <c r="GY114"/>
  <c r="GZ114"/>
  <c r="HA114"/>
  <c r="HB114"/>
  <c r="HC114"/>
  <c r="HD114"/>
  <c r="HE114"/>
  <c r="HF114"/>
  <c r="HG114"/>
  <c r="HH114"/>
  <c r="HI114"/>
  <c r="HJ114"/>
  <c r="HK114"/>
  <c r="HL114"/>
  <c r="HM114"/>
  <c r="HN114"/>
  <c r="HO114"/>
  <c r="HP114"/>
  <c r="HQ114"/>
  <c r="HR114"/>
  <c r="HS114"/>
  <c r="HT114"/>
  <c r="HU114"/>
  <c r="HV114"/>
  <c r="HW114"/>
  <c r="HX114"/>
  <c r="HY114"/>
  <c r="HZ114"/>
  <c r="IA114"/>
  <c r="IB114"/>
  <c r="IC114"/>
  <c r="ID114"/>
  <c r="IE114"/>
  <c r="IF114"/>
  <c r="IG114"/>
  <c r="IH114"/>
  <c r="II114"/>
  <c r="IJ114"/>
  <c r="IK114"/>
  <c r="IL114"/>
  <c r="IM114"/>
  <c r="IN114"/>
  <c r="IO114"/>
  <c r="IP114"/>
  <c r="IQ114"/>
  <c r="IR114"/>
  <c r="IS114"/>
  <c r="IT114"/>
  <c r="IU114"/>
  <c r="IV114"/>
  <c r="A113"/>
  <c r="B113"/>
  <c r="C113"/>
  <c r="D113"/>
  <c r="E113"/>
  <c r="F113"/>
  <c r="G113"/>
  <c r="H113"/>
  <c r="I113"/>
  <c r="J113"/>
  <c r="K113"/>
  <c r="L113"/>
  <c r="M113"/>
  <c r="N113"/>
  <c r="O113"/>
  <c r="P113"/>
  <c r="Q113"/>
  <c r="R113"/>
  <c r="S113"/>
  <c r="T113"/>
  <c r="U113"/>
  <c r="V113"/>
  <c r="W113"/>
  <c r="X113"/>
  <c r="Y113"/>
  <c r="Z113"/>
  <c r="AA113"/>
  <c r="AB113"/>
  <c r="AC113"/>
  <c r="AD113"/>
  <c r="AE113"/>
  <c r="AF113"/>
  <c r="AG113"/>
  <c r="AH113"/>
  <c r="AI113"/>
  <c r="AJ113"/>
  <c r="AK113"/>
  <c r="AL113"/>
  <c r="AM113"/>
  <c r="AN113"/>
  <c r="AO113"/>
  <c r="AP113"/>
  <c r="AQ113"/>
  <c r="AR113"/>
  <c r="AS113"/>
  <c r="AT113"/>
  <c r="AU113"/>
  <c r="AV113"/>
  <c r="AW113"/>
  <c r="AX113"/>
  <c r="AY113"/>
  <c r="AZ113"/>
  <c r="BA113"/>
  <c r="BB113"/>
  <c r="BC113"/>
  <c r="BD113"/>
  <c r="BE113"/>
  <c r="BF113"/>
  <c r="BG113"/>
  <c r="BH113"/>
  <c r="BI113"/>
  <c r="BJ113"/>
  <c r="BK113"/>
  <c r="BL113"/>
  <c r="BM113"/>
  <c r="BN113"/>
  <c r="BO113"/>
  <c r="BP113"/>
  <c r="BQ113"/>
  <c r="BR113"/>
  <c r="BS113"/>
  <c r="BT113"/>
  <c r="BU113"/>
  <c r="BV113"/>
  <c r="BW113"/>
  <c r="BX113"/>
  <c r="BY113"/>
  <c r="BZ113"/>
  <c r="CA113"/>
  <c r="CB113"/>
  <c r="CC113"/>
  <c r="CD113"/>
  <c r="CE113"/>
  <c r="CF113"/>
  <c r="CG113"/>
  <c r="CH113"/>
  <c r="CI113"/>
  <c r="CJ113"/>
  <c r="CK113"/>
  <c r="CL113"/>
  <c r="CM113"/>
  <c r="CN113"/>
  <c r="CO113"/>
  <c r="CP113"/>
  <c r="CQ113"/>
  <c r="CR113"/>
  <c r="CS113"/>
  <c r="CT113"/>
  <c r="CU113"/>
  <c r="CV113"/>
  <c r="CW113"/>
  <c r="CX113"/>
  <c r="CY113"/>
  <c r="CZ113"/>
  <c r="DA113"/>
  <c r="DB113"/>
  <c r="DC113"/>
  <c r="DD113"/>
  <c r="DE113"/>
  <c r="DF113"/>
  <c r="DG113"/>
  <c r="DH113"/>
  <c r="DI113"/>
  <c r="DJ113"/>
  <c r="DK113"/>
  <c r="DL113"/>
  <c r="DM113"/>
  <c r="DN113"/>
  <c r="DO113"/>
  <c r="DP113"/>
  <c r="DQ113"/>
  <c r="DR113"/>
  <c r="DS113"/>
  <c r="DT113"/>
  <c r="DU113"/>
  <c r="DV113"/>
  <c r="DW113"/>
  <c r="DX113"/>
  <c r="DY113"/>
  <c r="DZ113"/>
  <c r="EA113"/>
  <c r="EB113"/>
  <c r="EC113"/>
  <c r="ED113"/>
  <c r="EE113"/>
  <c r="EF113"/>
  <c r="EG113"/>
  <c r="EH113"/>
  <c r="EI113"/>
  <c r="EJ113"/>
  <c r="EK113"/>
  <c r="EL113"/>
  <c r="EM113"/>
  <c r="EN113"/>
  <c r="EO113"/>
  <c r="EP113"/>
  <c r="EQ113"/>
  <c r="ER113"/>
  <c r="ES113"/>
  <c r="ET113"/>
  <c r="EU113"/>
  <c r="EV113"/>
  <c r="EW113"/>
  <c r="EX113"/>
  <c r="EY113"/>
  <c r="EZ113"/>
  <c r="FA113"/>
  <c r="FB113"/>
  <c r="FC113"/>
  <c r="FD113"/>
  <c r="FE113"/>
  <c r="FF113"/>
  <c r="FG113"/>
  <c r="FH113"/>
  <c r="FI113"/>
  <c r="FJ113"/>
  <c r="FK113"/>
  <c r="FL113"/>
  <c r="FM113"/>
  <c r="FN113"/>
  <c r="FO113"/>
  <c r="FP113"/>
  <c r="FQ113"/>
  <c r="FR113"/>
  <c r="FS113"/>
  <c r="FT113"/>
  <c r="FU113"/>
  <c r="FV113"/>
  <c r="FW113"/>
  <c r="FX113"/>
  <c r="FY113"/>
  <c r="FZ113"/>
  <c r="GA113"/>
  <c r="GB113"/>
  <c r="GC113"/>
  <c r="GD113"/>
  <c r="GE113"/>
  <c r="GF113"/>
  <c r="GG113"/>
  <c r="GH113"/>
  <c r="GI113"/>
  <c r="GJ113"/>
  <c r="GK113"/>
  <c r="GL113"/>
  <c r="GM113"/>
  <c r="GN113"/>
  <c r="GO113"/>
  <c r="GP113"/>
  <c r="GQ113"/>
  <c r="GR113"/>
  <c r="GS113"/>
  <c r="GT113"/>
  <c r="GU113"/>
  <c r="GV113"/>
  <c r="GW113"/>
  <c r="GX113"/>
  <c r="GY113"/>
  <c r="GZ113"/>
  <c r="HA113"/>
  <c r="HB113"/>
  <c r="HC113"/>
  <c r="HD113"/>
  <c r="HE113"/>
  <c r="HF113"/>
  <c r="HG113"/>
  <c r="HH113"/>
  <c r="HI113"/>
  <c r="HJ113"/>
  <c r="HK113"/>
  <c r="HL113"/>
  <c r="HM113"/>
  <c r="HN113"/>
  <c r="HO113"/>
  <c r="HP113"/>
  <c r="HQ113"/>
  <c r="HR113"/>
  <c r="HS113"/>
  <c r="HT113"/>
  <c r="HU113"/>
  <c r="HV113"/>
  <c r="HW113"/>
  <c r="HX113"/>
  <c r="HY113"/>
  <c r="HZ113"/>
  <c r="IA113"/>
  <c r="IB113"/>
  <c r="IC113"/>
  <c r="ID113"/>
  <c r="IE113"/>
  <c r="IF113"/>
  <c r="IG113"/>
  <c r="IH113"/>
  <c r="II113"/>
  <c r="IJ113"/>
  <c r="IK113"/>
  <c r="IL113"/>
  <c r="IM113"/>
  <c r="IN113"/>
  <c r="IO113"/>
  <c r="IP113"/>
  <c r="IQ113"/>
  <c r="IR113"/>
  <c r="IS113"/>
  <c r="IT113"/>
  <c r="IU113"/>
  <c r="IV113"/>
  <c r="A112"/>
  <c r="B112"/>
  <c r="C112"/>
  <c r="D112"/>
  <c r="E112"/>
  <c r="F112"/>
  <c r="G112"/>
  <c r="H112"/>
  <c r="I112"/>
  <c r="J112"/>
  <c r="K112"/>
  <c r="L112"/>
  <c r="M112"/>
  <c r="N112"/>
  <c r="O112"/>
  <c r="P112"/>
  <c r="Q112"/>
  <c r="R112"/>
  <c r="S112"/>
  <c r="T112"/>
  <c r="U112"/>
  <c r="V112"/>
  <c r="W112"/>
  <c r="X112"/>
  <c r="Y112"/>
  <c r="Z112"/>
  <c r="AA112"/>
  <c r="AB112"/>
  <c r="AC112"/>
  <c r="AD112"/>
  <c r="AE112"/>
  <c r="AF112"/>
  <c r="AG112"/>
  <c r="AH112"/>
  <c r="AI112"/>
  <c r="AJ112"/>
  <c r="AK112"/>
  <c r="AL112"/>
  <c r="AM112"/>
  <c r="AN112"/>
  <c r="AO112"/>
  <c r="AP112"/>
  <c r="AQ112"/>
  <c r="AR112"/>
  <c r="AS112"/>
  <c r="AT112"/>
  <c r="AU112"/>
  <c r="AV112"/>
  <c r="AW112"/>
  <c r="AX112"/>
  <c r="AY112"/>
  <c r="AZ112"/>
  <c r="BA112"/>
  <c r="BB112"/>
  <c r="BC112"/>
  <c r="BD112"/>
  <c r="BE112"/>
  <c r="BF112"/>
  <c r="BG112"/>
  <c r="BH112"/>
  <c r="BI112"/>
  <c r="BJ112"/>
  <c r="BK112"/>
  <c r="BL112"/>
  <c r="BM112"/>
  <c r="BN112"/>
  <c r="BO112"/>
  <c r="BP112"/>
  <c r="BQ112"/>
  <c r="BR112"/>
  <c r="BS112"/>
  <c r="BT112"/>
  <c r="BU112"/>
  <c r="BV112"/>
  <c r="BW112"/>
  <c r="BX112"/>
  <c r="BY112"/>
  <c r="BZ112"/>
  <c r="CA112"/>
  <c r="CB112"/>
  <c r="CC112"/>
  <c r="CD112"/>
  <c r="CE112"/>
  <c r="CF112"/>
  <c r="CG112"/>
  <c r="CH112"/>
  <c r="CI112"/>
  <c r="CJ112"/>
  <c r="CK112"/>
  <c r="CL112"/>
  <c r="CM112"/>
  <c r="CN112"/>
  <c r="CO112"/>
  <c r="CP112"/>
  <c r="CQ112"/>
  <c r="CR112"/>
  <c r="CS112"/>
  <c r="CT112"/>
  <c r="CU112"/>
  <c r="CV112"/>
  <c r="CW112"/>
  <c r="CX112"/>
  <c r="CY112"/>
  <c r="CZ112"/>
  <c r="DA112"/>
  <c r="DB112"/>
  <c r="DC112"/>
  <c r="DD112"/>
  <c r="DE112"/>
  <c r="DF112"/>
  <c r="DG112"/>
  <c r="DH112"/>
  <c r="DI112"/>
  <c r="DJ112"/>
  <c r="DK112"/>
  <c r="DL112"/>
  <c r="DM112"/>
  <c r="DN112"/>
  <c r="DO112"/>
  <c r="DP112"/>
  <c r="DQ112"/>
  <c r="DR112"/>
  <c r="DS112"/>
  <c r="DT112"/>
  <c r="DU112"/>
  <c r="DV112"/>
  <c r="DW112"/>
  <c r="DX112"/>
  <c r="DY112"/>
  <c r="DZ112"/>
  <c r="EA112"/>
  <c r="EB112"/>
  <c r="EC112"/>
  <c r="ED112"/>
  <c r="EE112"/>
  <c r="EF112"/>
  <c r="EG112"/>
  <c r="EH112"/>
  <c r="EI112"/>
  <c r="EJ112"/>
  <c r="EK112"/>
  <c r="EL112"/>
  <c r="EM112"/>
  <c r="EN112"/>
  <c r="EO112"/>
  <c r="EP112"/>
  <c r="EQ112"/>
  <c r="ER112"/>
  <c r="ES112"/>
  <c r="ET112"/>
  <c r="EU112"/>
  <c r="EV112"/>
  <c r="EW112"/>
  <c r="EX112"/>
  <c r="EY112"/>
  <c r="EZ112"/>
  <c r="FA112"/>
  <c r="FB112"/>
  <c r="FC112"/>
  <c r="FD112"/>
  <c r="FE112"/>
  <c r="FF112"/>
  <c r="FG112"/>
  <c r="FH112"/>
  <c r="FI112"/>
  <c r="FJ112"/>
  <c r="FK112"/>
  <c r="FL112"/>
  <c r="FM112"/>
  <c r="FN112"/>
  <c r="FO112"/>
  <c r="FP112"/>
  <c r="FQ112"/>
  <c r="FR112"/>
  <c r="FS112"/>
  <c r="FT112"/>
  <c r="FU112"/>
  <c r="FV112"/>
  <c r="FW112"/>
  <c r="FX112"/>
  <c r="FY112"/>
  <c r="FZ112"/>
  <c r="GA112"/>
  <c r="GB112"/>
  <c r="GC112"/>
  <c r="GD112"/>
  <c r="GE112"/>
  <c r="GF112"/>
  <c r="GG112"/>
  <c r="GH112"/>
  <c r="GI112"/>
  <c r="GJ112"/>
  <c r="GK112"/>
  <c r="GL112"/>
  <c r="GM112"/>
  <c r="GN112"/>
  <c r="GO112"/>
  <c r="GP112"/>
  <c r="GQ112"/>
  <c r="GR112"/>
  <c r="GS112"/>
  <c r="GT112"/>
  <c r="GU112"/>
  <c r="GV112"/>
  <c r="GW112"/>
  <c r="GX112"/>
  <c r="GY112"/>
  <c r="GZ112"/>
  <c r="HA112"/>
  <c r="HB112"/>
  <c r="HC112"/>
  <c r="HD112"/>
  <c r="HE112"/>
  <c r="HF112"/>
  <c r="HG112"/>
  <c r="HH112"/>
  <c r="HI112"/>
  <c r="HJ112"/>
  <c r="HK112"/>
  <c r="HL112"/>
  <c r="HM112"/>
  <c r="HN112"/>
  <c r="HO112"/>
  <c r="HP112"/>
  <c r="HQ112"/>
  <c r="HR112"/>
  <c r="HS112"/>
  <c r="HT112"/>
  <c r="HU112"/>
  <c r="HV112"/>
  <c r="HW112"/>
  <c r="HX112"/>
  <c r="HY112"/>
  <c r="HZ112"/>
  <c r="IA112"/>
  <c r="IB112"/>
  <c r="IC112"/>
  <c r="ID112"/>
  <c r="IE112"/>
  <c r="IF112"/>
  <c r="IG112"/>
  <c r="IH112"/>
  <c r="II112"/>
  <c r="IJ112"/>
  <c r="IK112"/>
  <c r="IL112"/>
  <c r="IM112"/>
  <c r="IN112"/>
  <c r="IO112"/>
  <c r="IP112"/>
  <c r="IQ112"/>
  <c r="IR112"/>
  <c r="IS112"/>
  <c r="IT112"/>
  <c r="IU112"/>
  <c r="IV112"/>
  <c r="A111"/>
  <c r="B111"/>
  <c r="C111"/>
  <c r="D111"/>
  <c r="E111"/>
  <c r="F111"/>
  <c r="G111"/>
  <c r="H111"/>
  <c r="I111"/>
  <c r="J111"/>
  <c r="K111"/>
  <c r="L111"/>
  <c r="M111"/>
  <c r="N111"/>
  <c r="O111"/>
  <c r="P111"/>
  <c r="Q111"/>
  <c r="R111"/>
  <c r="S111"/>
  <c r="T111"/>
  <c r="U111"/>
  <c r="V111"/>
  <c r="W111"/>
  <c r="X111"/>
  <c r="Y111"/>
  <c r="Z111"/>
  <c r="AA111"/>
  <c r="AB111"/>
  <c r="AC111"/>
  <c r="AD111"/>
  <c r="AE111"/>
  <c r="AF111"/>
  <c r="AG111"/>
  <c r="AH111"/>
  <c r="AI111"/>
  <c r="AJ111"/>
  <c r="AK111"/>
  <c r="AL111"/>
  <c r="AM111"/>
  <c r="AN111"/>
  <c r="AO111"/>
  <c r="AP111"/>
  <c r="AQ111"/>
  <c r="AR111"/>
  <c r="AS111"/>
  <c r="AT111"/>
  <c r="AU111"/>
  <c r="AV111"/>
  <c r="AW111"/>
  <c r="AX111"/>
  <c r="AY111"/>
  <c r="AZ111"/>
  <c r="BA111"/>
  <c r="BB111"/>
  <c r="BC111"/>
  <c r="BD111"/>
  <c r="BE111"/>
  <c r="BF111"/>
  <c r="BG111"/>
  <c r="BH111"/>
  <c r="BI111"/>
  <c r="BJ111"/>
  <c r="BK111"/>
  <c r="BL111"/>
  <c r="BM111"/>
  <c r="BN111"/>
  <c r="BO111"/>
  <c r="BP111"/>
  <c r="BQ111"/>
  <c r="BR111"/>
  <c r="BS111"/>
  <c r="BT111"/>
  <c r="BU111"/>
  <c r="BV111"/>
  <c r="BW111"/>
  <c r="BX111"/>
  <c r="BY111"/>
  <c r="BZ111"/>
  <c r="CA111"/>
  <c r="CB111"/>
  <c r="CC111"/>
  <c r="CD111"/>
  <c r="CE111"/>
  <c r="CF111"/>
  <c r="CG111"/>
  <c r="CH111"/>
  <c r="CI111"/>
  <c r="CJ111"/>
  <c r="CK111"/>
  <c r="CL111"/>
  <c r="CM111"/>
  <c r="CN111"/>
  <c r="CO111"/>
  <c r="CP111"/>
  <c r="CQ111"/>
  <c r="CR111"/>
  <c r="CS111"/>
  <c r="CT111"/>
  <c r="CU111"/>
  <c r="CV111"/>
  <c r="CW111"/>
  <c r="CX111"/>
  <c r="CY111"/>
  <c r="CZ111"/>
  <c r="DA111"/>
  <c r="DB111"/>
  <c r="DC111"/>
  <c r="DD111"/>
  <c r="DE111"/>
  <c r="DF111"/>
  <c r="DG111"/>
  <c r="DH111"/>
  <c r="DI111"/>
  <c r="DJ111"/>
  <c r="DK111"/>
  <c r="DL111"/>
  <c r="DM111"/>
  <c r="DN111"/>
  <c r="DO111"/>
  <c r="DP111"/>
  <c r="DQ111"/>
  <c r="DR111"/>
  <c r="DS111"/>
  <c r="DT111"/>
  <c r="DU111"/>
  <c r="DV111"/>
  <c r="DW111"/>
  <c r="DX111"/>
  <c r="DY111"/>
  <c r="DZ111"/>
  <c r="EA111"/>
  <c r="EB111"/>
  <c r="EC111"/>
  <c r="ED111"/>
  <c r="EE111"/>
  <c r="EF111"/>
  <c r="EG111"/>
  <c r="EH111"/>
  <c r="EI111"/>
  <c r="EJ111"/>
  <c r="EK111"/>
  <c r="EL111"/>
  <c r="EM111"/>
  <c r="EN111"/>
  <c r="EO111"/>
  <c r="EP111"/>
  <c r="EQ111"/>
  <c r="ER111"/>
  <c r="ES111"/>
  <c r="ET111"/>
  <c r="EU111"/>
  <c r="EV111"/>
  <c r="EW111"/>
  <c r="EX111"/>
  <c r="EY111"/>
  <c r="EZ111"/>
  <c r="FA111"/>
  <c r="FB111"/>
  <c r="FC111"/>
  <c r="FD111"/>
  <c r="FE111"/>
  <c r="FF111"/>
  <c r="FG111"/>
  <c r="FH111"/>
  <c r="FI111"/>
  <c r="FJ111"/>
  <c r="FK111"/>
  <c r="FL111"/>
  <c r="FM111"/>
  <c r="FN111"/>
  <c r="FO111"/>
  <c r="FP111"/>
  <c r="FQ111"/>
  <c r="FR111"/>
  <c r="FS111"/>
  <c r="FT111"/>
  <c r="FU111"/>
  <c r="FV111"/>
  <c r="FW111"/>
  <c r="FX111"/>
  <c r="FY111"/>
  <c r="FZ111"/>
  <c r="GA111"/>
  <c r="GB111"/>
  <c r="GC111"/>
  <c r="GD111"/>
  <c r="GE111"/>
  <c r="GF111"/>
  <c r="GG111"/>
  <c r="GH111"/>
  <c r="GI111"/>
  <c r="GJ111"/>
  <c r="GK111"/>
  <c r="GL111"/>
  <c r="GM111"/>
  <c r="GN111"/>
  <c r="GO111"/>
  <c r="GP111"/>
  <c r="GQ111"/>
  <c r="GR111"/>
  <c r="GS111"/>
  <c r="GT111"/>
  <c r="GU111"/>
  <c r="GV111"/>
  <c r="GW111"/>
  <c r="GX111"/>
  <c r="GY111"/>
  <c r="GZ111"/>
  <c r="HA111"/>
  <c r="HB111"/>
  <c r="HC111"/>
  <c r="HD111"/>
  <c r="HE111"/>
  <c r="HF111"/>
  <c r="HG111"/>
  <c r="HH111"/>
  <c r="HI111"/>
  <c r="HJ111"/>
  <c r="HK111"/>
  <c r="HL111"/>
  <c r="HM111"/>
  <c r="HN111"/>
  <c r="HO111"/>
  <c r="HP111"/>
  <c r="HQ111"/>
  <c r="HR111"/>
  <c r="HS111"/>
  <c r="HT111"/>
  <c r="HU111"/>
  <c r="HV111"/>
  <c r="HW111"/>
  <c r="HX111"/>
  <c r="HY111"/>
  <c r="HZ111"/>
  <c r="IA111"/>
  <c r="IB111"/>
  <c r="IC111"/>
  <c r="ID111"/>
  <c r="IE111"/>
  <c r="IF111"/>
  <c r="IG111"/>
  <c r="IH111"/>
  <c r="II111"/>
  <c r="IJ111"/>
  <c r="IK111"/>
  <c r="IL111"/>
  <c r="IM111"/>
  <c r="IN111"/>
  <c r="IO111"/>
  <c r="IP111"/>
  <c r="IQ111"/>
  <c r="IR111"/>
  <c r="IS111"/>
  <c r="IT111"/>
  <c r="IU111"/>
  <c r="IV111"/>
  <c r="A110"/>
  <c r="B110"/>
  <c r="C110"/>
  <c r="D110"/>
  <c r="E110"/>
  <c r="F110"/>
  <c r="G110"/>
  <c r="H110"/>
  <c r="I110"/>
  <c r="J110"/>
  <c r="K110"/>
  <c r="L110"/>
  <c r="M110"/>
  <c r="N110"/>
  <c r="O110"/>
  <c r="P110"/>
  <c r="Q110"/>
  <c r="R110"/>
  <c r="S110"/>
  <c r="T110"/>
  <c r="U110"/>
  <c r="V110"/>
  <c r="W110"/>
  <c r="X110"/>
  <c r="Y110"/>
  <c r="Z110"/>
  <c r="AA110"/>
  <c r="AB110"/>
  <c r="AC110"/>
  <c r="AD110"/>
  <c r="AE110"/>
  <c r="AF110"/>
  <c r="AG110"/>
  <c r="AH110"/>
  <c r="AI110"/>
  <c r="AJ110"/>
  <c r="AK110"/>
  <c r="AL110"/>
  <c r="AM110"/>
  <c r="AN110"/>
  <c r="AO110"/>
  <c r="AP110"/>
  <c r="AQ110"/>
  <c r="AR110"/>
  <c r="AS110"/>
  <c r="AT110"/>
  <c r="AU110"/>
  <c r="AV110"/>
  <c r="AW110"/>
  <c r="AX110"/>
  <c r="AY110"/>
  <c r="AZ110"/>
  <c r="BA110"/>
  <c r="BB110"/>
  <c r="BC110"/>
  <c r="BD110"/>
  <c r="BE110"/>
  <c r="BF110"/>
  <c r="BG110"/>
  <c r="BH110"/>
  <c r="BI110"/>
  <c r="BJ110"/>
  <c r="BK110"/>
  <c r="BL110"/>
  <c r="BM110"/>
  <c r="BN110"/>
  <c r="BO110"/>
  <c r="BP110"/>
  <c r="BQ110"/>
  <c r="BR110"/>
  <c r="BS110"/>
  <c r="BT110"/>
  <c r="BU110"/>
  <c r="BV110"/>
  <c r="BW110"/>
  <c r="BX110"/>
  <c r="BY110"/>
  <c r="BZ110"/>
  <c r="CA110"/>
  <c r="CB110"/>
  <c r="CC110"/>
  <c r="CD110"/>
  <c r="CE110"/>
  <c r="CF110"/>
  <c r="CG110"/>
  <c r="CH110"/>
  <c r="CI110"/>
  <c r="CJ110"/>
  <c r="CK110"/>
  <c r="CL110"/>
  <c r="CM110"/>
  <c r="CN110"/>
  <c r="CO110"/>
  <c r="CP110"/>
  <c r="CQ110"/>
  <c r="CR110"/>
  <c r="CS110"/>
  <c r="CT110"/>
  <c r="CU110"/>
  <c r="CV110"/>
  <c r="CW110"/>
  <c r="CX110"/>
  <c r="CY110"/>
  <c r="CZ110"/>
  <c r="DA110"/>
  <c r="DB110"/>
  <c r="DC110"/>
  <c r="DD110"/>
  <c r="DE110"/>
  <c r="DF110"/>
  <c r="DG110"/>
  <c r="DH110"/>
  <c r="DI110"/>
  <c r="DJ110"/>
  <c r="DK110"/>
  <c r="DL110"/>
  <c r="DM110"/>
  <c r="DN110"/>
  <c r="DO110"/>
  <c r="DP110"/>
  <c r="DQ110"/>
  <c r="DR110"/>
  <c r="DS110"/>
  <c r="DT110"/>
  <c r="DU110"/>
  <c r="DV110"/>
  <c r="DW110"/>
  <c r="DX110"/>
  <c r="DY110"/>
  <c r="DZ110"/>
  <c r="EA110"/>
  <c r="EB110"/>
  <c r="EC110"/>
  <c r="ED110"/>
  <c r="EE110"/>
  <c r="EF110"/>
  <c r="EG110"/>
  <c r="EH110"/>
  <c r="EI110"/>
  <c r="EJ110"/>
  <c r="EK110"/>
  <c r="EL110"/>
  <c r="EM110"/>
  <c r="EN110"/>
  <c r="EO110"/>
  <c r="EP110"/>
  <c r="EQ110"/>
  <c r="ER110"/>
  <c r="ES110"/>
  <c r="ET110"/>
  <c r="EU110"/>
  <c r="EV110"/>
  <c r="EW110"/>
  <c r="EX110"/>
  <c r="EY110"/>
  <c r="EZ110"/>
  <c r="FA110"/>
  <c r="FB110"/>
  <c r="FC110"/>
  <c r="FD110"/>
  <c r="FE110"/>
  <c r="FF110"/>
  <c r="FG110"/>
  <c r="FH110"/>
  <c r="FI110"/>
  <c r="FJ110"/>
  <c r="FK110"/>
  <c r="FL110"/>
  <c r="FM110"/>
  <c r="FN110"/>
  <c r="FO110"/>
  <c r="FP110"/>
  <c r="FQ110"/>
  <c r="FR110"/>
  <c r="FS110"/>
  <c r="FT110"/>
  <c r="FU110"/>
  <c r="FV110"/>
  <c r="FW110"/>
  <c r="FX110"/>
  <c r="FY110"/>
  <c r="FZ110"/>
  <c r="GA110"/>
  <c r="GB110"/>
  <c r="GC110"/>
  <c r="GD110"/>
  <c r="GE110"/>
  <c r="GF110"/>
  <c r="GG110"/>
  <c r="GH110"/>
  <c r="GI110"/>
  <c r="GJ110"/>
  <c r="GK110"/>
  <c r="GL110"/>
  <c r="GM110"/>
  <c r="GN110"/>
  <c r="GO110"/>
  <c r="GP110"/>
  <c r="GQ110"/>
  <c r="GR110"/>
  <c r="GS110"/>
  <c r="GT110"/>
  <c r="GU110"/>
  <c r="GV110"/>
  <c r="GW110"/>
  <c r="GX110"/>
  <c r="GY110"/>
  <c r="GZ110"/>
  <c r="HA110"/>
  <c r="HB110"/>
  <c r="HC110"/>
  <c r="HD110"/>
  <c r="HE110"/>
  <c r="HF110"/>
  <c r="HG110"/>
  <c r="HH110"/>
  <c r="HI110"/>
  <c r="HJ110"/>
  <c r="HK110"/>
  <c r="HL110"/>
  <c r="HM110"/>
  <c r="HN110"/>
  <c r="HO110"/>
  <c r="HP110"/>
  <c r="HQ110"/>
  <c r="HR110"/>
  <c r="HS110"/>
  <c r="HT110"/>
  <c r="HU110"/>
  <c r="HV110"/>
  <c r="HW110"/>
  <c r="HX110"/>
  <c r="HY110"/>
  <c r="HZ110"/>
  <c r="IA110"/>
  <c r="IB110"/>
  <c r="IC110"/>
  <c r="ID110"/>
  <c r="IE110"/>
  <c r="IF110"/>
  <c r="IG110"/>
  <c r="IH110"/>
  <c r="II110"/>
  <c r="IJ110"/>
  <c r="IK110"/>
  <c r="IL110"/>
  <c r="IM110"/>
  <c r="IN110"/>
  <c r="IO110"/>
  <c r="IP110"/>
  <c r="IQ110"/>
  <c r="IR110"/>
  <c r="IS110"/>
  <c r="IT110"/>
  <c r="IU110"/>
  <c r="IV110"/>
  <c r="A109"/>
  <c r="B109"/>
  <c r="C109"/>
  <c r="D109"/>
  <c r="E109"/>
  <c r="F109"/>
  <c r="G109"/>
  <c r="H109"/>
  <c r="I109"/>
  <c r="J109"/>
  <c r="K109"/>
  <c r="L109"/>
  <c r="M109"/>
  <c r="N109"/>
  <c r="O109"/>
  <c r="P109"/>
  <c r="Q109"/>
  <c r="R109"/>
  <c r="S109"/>
  <c r="T109"/>
  <c r="U109"/>
  <c r="V109"/>
  <c r="W109"/>
  <c r="X109"/>
  <c r="Y109"/>
  <c r="Z109"/>
  <c r="AA109"/>
  <c r="AB109"/>
  <c r="AC109"/>
  <c r="AD109"/>
  <c r="AE109"/>
  <c r="AF109"/>
  <c r="AG109"/>
  <c r="AH109"/>
  <c r="AI109"/>
  <c r="AJ109"/>
  <c r="AK109"/>
  <c r="AL109"/>
  <c r="AM109"/>
  <c r="AN109"/>
  <c r="AO109"/>
  <c r="AP109"/>
  <c r="AQ109"/>
  <c r="AR109"/>
  <c r="AS109"/>
  <c r="AT109"/>
  <c r="AU109"/>
  <c r="AV109"/>
  <c r="AW109"/>
  <c r="AX109"/>
  <c r="AY109"/>
  <c r="AZ109"/>
  <c r="BA109"/>
  <c r="BB109"/>
  <c r="BC109"/>
  <c r="BD109"/>
  <c r="BE109"/>
  <c r="BF109"/>
  <c r="BG109"/>
  <c r="BH109"/>
  <c r="BI109"/>
  <c r="BJ109"/>
  <c r="BK109"/>
  <c r="BL109"/>
  <c r="BM109"/>
  <c r="BN109"/>
  <c r="BO109"/>
  <c r="BP109"/>
  <c r="BQ109"/>
  <c r="BR109"/>
  <c r="BS109"/>
  <c r="BT109"/>
  <c r="BU109"/>
  <c r="BV109"/>
  <c r="BW109"/>
  <c r="BX109"/>
  <c r="BY109"/>
  <c r="BZ109"/>
  <c r="CA109"/>
  <c r="CB109"/>
  <c r="CC109"/>
  <c r="CD109"/>
  <c r="CE109"/>
  <c r="CF109"/>
  <c r="CG109"/>
  <c r="CH109"/>
  <c r="CI109"/>
  <c r="CJ109"/>
  <c r="CK109"/>
  <c r="CL109"/>
  <c r="CM109"/>
  <c r="CN109"/>
  <c r="CO109"/>
  <c r="CP109"/>
  <c r="CQ109"/>
  <c r="CR109"/>
  <c r="CS109"/>
  <c r="CT109"/>
  <c r="CU109"/>
  <c r="CV109"/>
  <c r="CW109"/>
  <c r="CX109"/>
  <c r="CY109"/>
  <c r="CZ109"/>
  <c r="DA109"/>
  <c r="DB109"/>
  <c r="DC109"/>
  <c r="DD109"/>
  <c r="DE109"/>
  <c r="DF109"/>
  <c r="DG109"/>
  <c r="DH109"/>
  <c r="DI109"/>
  <c r="DJ109"/>
  <c r="DK109"/>
  <c r="DL109"/>
  <c r="DM109"/>
  <c r="DN109"/>
  <c r="DO109"/>
  <c r="DP109"/>
  <c r="DQ109"/>
  <c r="DR109"/>
  <c r="DS109"/>
  <c r="DT109"/>
  <c r="DU109"/>
  <c r="DV109"/>
  <c r="DW109"/>
  <c r="DX109"/>
  <c r="DY109"/>
  <c r="DZ109"/>
  <c r="EA109"/>
  <c r="EB109"/>
  <c r="EC109"/>
  <c r="ED109"/>
  <c r="EE109"/>
  <c r="EF109"/>
  <c r="EG109"/>
  <c r="EH109"/>
  <c r="EI109"/>
  <c r="EJ109"/>
  <c r="EK109"/>
  <c r="EL109"/>
  <c r="EM109"/>
  <c r="EN109"/>
  <c r="EO109"/>
  <c r="EP109"/>
  <c r="EQ109"/>
  <c r="ER109"/>
  <c r="ES109"/>
  <c r="ET109"/>
  <c r="EU109"/>
  <c r="EV109"/>
  <c r="EW109"/>
  <c r="EX109"/>
  <c r="EY109"/>
  <c r="EZ109"/>
  <c r="FA109"/>
  <c r="FB109"/>
  <c r="FC109"/>
  <c r="FD109"/>
  <c r="FE109"/>
  <c r="FF109"/>
  <c r="FG109"/>
  <c r="FH109"/>
  <c r="FI109"/>
  <c r="FJ109"/>
  <c r="FK109"/>
  <c r="FL109"/>
  <c r="FM109"/>
  <c r="FN109"/>
  <c r="FO109"/>
  <c r="FP109"/>
  <c r="FQ109"/>
  <c r="FR109"/>
  <c r="FS109"/>
  <c r="FT109"/>
  <c r="FU109"/>
  <c r="FV109"/>
  <c r="FW109"/>
  <c r="FX109"/>
  <c r="FY109"/>
  <c r="FZ109"/>
  <c r="GA109"/>
  <c r="GB109"/>
  <c r="GC109"/>
  <c r="GD109"/>
  <c r="GE109"/>
  <c r="GF109"/>
  <c r="GG109"/>
  <c r="GH109"/>
  <c r="GI109"/>
  <c r="GJ109"/>
  <c r="GK109"/>
  <c r="GL109"/>
  <c r="GM109"/>
  <c r="GN109"/>
  <c r="GO109"/>
  <c r="GP109"/>
  <c r="GQ109"/>
  <c r="GR109"/>
  <c r="GS109"/>
  <c r="GT109"/>
  <c r="GU109"/>
  <c r="GV109"/>
  <c r="GW109"/>
  <c r="GX109"/>
  <c r="GY109"/>
  <c r="GZ109"/>
  <c r="HA109"/>
  <c r="HB109"/>
  <c r="HC109"/>
  <c r="HD109"/>
  <c r="HE109"/>
  <c r="HF109"/>
  <c r="HG109"/>
  <c r="HH109"/>
  <c r="HI109"/>
  <c r="HJ109"/>
  <c r="HK109"/>
  <c r="HL109"/>
  <c r="HM109"/>
  <c r="HN109"/>
  <c r="HO109"/>
  <c r="HP109"/>
  <c r="HQ109"/>
  <c r="HR109"/>
  <c r="HS109"/>
  <c r="HT109"/>
  <c r="HU109"/>
  <c r="HV109"/>
  <c r="HW109"/>
  <c r="HX109"/>
  <c r="HY109"/>
  <c r="HZ109"/>
  <c r="IA109"/>
  <c r="IB109"/>
  <c r="IC109"/>
  <c r="ID109"/>
  <c r="IE109"/>
  <c r="IF109"/>
  <c r="IG109"/>
  <c r="IH109"/>
  <c r="II109"/>
  <c r="IJ109"/>
  <c r="IK109"/>
  <c r="IL109"/>
  <c r="IM109"/>
  <c r="IN109"/>
  <c r="IO109"/>
  <c r="IP109"/>
  <c r="IQ109"/>
  <c r="IR109"/>
  <c r="IS109"/>
  <c r="IT109"/>
  <c r="IU109"/>
  <c r="IV109"/>
  <c r="A108"/>
  <c r="B108"/>
  <c r="C108"/>
  <c r="D108"/>
  <c r="E108"/>
  <c r="F108"/>
  <c r="G108"/>
  <c r="H108"/>
  <c r="I108"/>
  <c r="J108"/>
  <c r="K108"/>
  <c r="L108"/>
  <c r="M108"/>
  <c r="N108"/>
  <c r="O108"/>
  <c r="P108"/>
  <c r="Q108"/>
  <c r="R108"/>
  <c r="S108"/>
  <c r="T108"/>
  <c r="U108"/>
  <c r="V108"/>
  <c r="W108"/>
  <c r="X108"/>
  <c r="Y108"/>
  <c r="Z108"/>
  <c r="AA108"/>
  <c r="AB108"/>
  <c r="AC108"/>
  <c r="AD108"/>
  <c r="AE108"/>
  <c r="AF108"/>
  <c r="AG108"/>
  <c r="AH108"/>
  <c r="AI108"/>
  <c r="AJ108"/>
  <c r="AK108"/>
  <c r="AL108"/>
  <c r="AM108"/>
  <c r="AN108"/>
  <c r="AO108"/>
  <c r="AP108"/>
  <c r="AQ108"/>
  <c r="AR108"/>
  <c r="AS108"/>
  <c r="AT108"/>
  <c r="AU108"/>
  <c r="AV108"/>
  <c r="AW108"/>
  <c r="AX108"/>
  <c r="AY108"/>
  <c r="AZ108"/>
  <c r="BA108"/>
  <c r="BB108"/>
  <c r="BC108"/>
  <c r="BD108"/>
  <c r="BE108"/>
  <c r="BF108"/>
  <c r="BG108"/>
  <c r="BH108"/>
  <c r="BI108"/>
  <c r="BJ108"/>
  <c r="BK108"/>
  <c r="BL108"/>
  <c r="BM108"/>
  <c r="BN108"/>
  <c r="BO108"/>
  <c r="BP108"/>
  <c r="BQ108"/>
  <c r="BR108"/>
  <c r="BS108"/>
  <c r="BT108"/>
  <c r="BU108"/>
  <c r="BV108"/>
  <c r="BW108"/>
  <c r="BX108"/>
  <c r="BY108"/>
  <c r="BZ108"/>
  <c r="CA108"/>
  <c r="CB108"/>
  <c r="CC108"/>
  <c r="CD108"/>
  <c r="CE108"/>
  <c r="CF108"/>
  <c r="CG108"/>
  <c r="CH108"/>
  <c r="CI108"/>
  <c r="CJ108"/>
  <c r="CK108"/>
  <c r="CL108"/>
  <c r="CM108"/>
  <c r="CN108"/>
  <c r="CO108"/>
  <c r="CP108"/>
  <c r="CQ108"/>
  <c r="CR108"/>
  <c r="CS108"/>
  <c r="CT108"/>
  <c r="CU108"/>
  <c r="CV108"/>
  <c r="CW108"/>
  <c r="CX108"/>
  <c r="CY108"/>
  <c r="CZ108"/>
  <c r="DA108"/>
  <c r="DB108"/>
  <c r="DC108"/>
  <c r="DD108"/>
  <c r="DE108"/>
  <c r="DF108"/>
  <c r="DG108"/>
  <c r="DH108"/>
  <c r="DI108"/>
  <c r="DJ108"/>
  <c r="DK108"/>
  <c r="DL108"/>
  <c r="DM108"/>
  <c r="DN108"/>
  <c r="DO108"/>
  <c r="DP108"/>
  <c r="DQ108"/>
  <c r="DR108"/>
  <c r="DS108"/>
  <c r="DT108"/>
  <c r="DU108"/>
  <c r="DV108"/>
  <c r="DW108"/>
  <c r="DX108"/>
  <c r="DY108"/>
  <c r="DZ108"/>
  <c r="EA108"/>
  <c r="EB108"/>
  <c r="EC108"/>
  <c r="ED108"/>
  <c r="EE108"/>
  <c r="EF108"/>
  <c r="EG108"/>
  <c r="EH108"/>
  <c r="EI108"/>
  <c r="EJ108"/>
  <c r="EK108"/>
  <c r="EL108"/>
  <c r="EM108"/>
  <c r="EN108"/>
  <c r="EO108"/>
  <c r="EP108"/>
  <c r="EQ108"/>
  <c r="ER108"/>
  <c r="ES108"/>
  <c r="ET108"/>
  <c r="EU108"/>
  <c r="EV108"/>
  <c r="EW108"/>
  <c r="EX108"/>
  <c r="EY108"/>
  <c r="EZ108"/>
  <c r="FA108"/>
  <c r="FB108"/>
  <c r="FC108"/>
  <c r="FD108"/>
  <c r="FE108"/>
  <c r="FF108"/>
  <c r="FG108"/>
  <c r="FH108"/>
  <c r="FI108"/>
  <c r="FJ108"/>
  <c r="FK108"/>
  <c r="FL108"/>
  <c r="FM108"/>
  <c r="FN108"/>
  <c r="FO108"/>
  <c r="FP108"/>
  <c r="FQ108"/>
  <c r="FR108"/>
  <c r="FS108"/>
  <c r="FT108"/>
  <c r="FU108"/>
  <c r="FV108"/>
  <c r="FW108"/>
  <c r="FX108"/>
  <c r="FY108"/>
  <c r="FZ108"/>
  <c r="GA108"/>
  <c r="GB108"/>
  <c r="GC108"/>
  <c r="GD108"/>
  <c r="GE108"/>
  <c r="GF108"/>
  <c r="GG108"/>
  <c r="GH108"/>
  <c r="GI108"/>
  <c r="GJ108"/>
  <c r="GK108"/>
  <c r="GL108"/>
  <c r="GM108"/>
  <c r="GN108"/>
  <c r="GO108"/>
  <c r="GP108"/>
  <c r="GQ108"/>
  <c r="GR108"/>
  <c r="GS108"/>
  <c r="GT108"/>
  <c r="GU108"/>
  <c r="GV108"/>
  <c r="GW108"/>
  <c r="GX108"/>
  <c r="GY108"/>
  <c r="GZ108"/>
  <c r="HA108"/>
  <c r="HB108"/>
  <c r="HC108"/>
  <c r="HD108"/>
  <c r="HE108"/>
  <c r="HF108"/>
  <c r="HG108"/>
  <c r="HH108"/>
  <c r="HI108"/>
  <c r="HJ108"/>
  <c r="HK108"/>
  <c r="HL108"/>
  <c r="HM108"/>
  <c r="HN108"/>
  <c r="HO108"/>
  <c r="HP108"/>
  <c r="HQ108"/>
  <c r="HR108"/>
  <c r="HS108"/>
  <c r="HT108"/>
  <c r="HU108"/>
  <c r="HV108"/>
  <c r="HW108"/>
  <c r="HX108"/>
  <c r="HY108"/>
  <c r="HZ108"/>
  <c r="IA108"/>
  <c r="IB108"/>
  <c r="IC108"/>
  <c r="ID108"/>
  <c r="IE108"/>
  <c r="IF108"/>
  <c r="IG108"/>
  <c r="IH108"/>
  <c r="II108"/>
  <c r="IJ108"/>
  <c r="IK108"/>
  <c r="IL108"/>
  <c r="IM108"/>
  <c r="IN108"/>
  <c r="IO108"/>
  <c r="IP108"/>
  <c r="IQ108"/>
  <c r="IR108"/>
  <c r="IS108"/>
  <c r="IT108"/>
  <c r="IU108"/>
  <c r="IV108"/>
  <c r="A107"/>
  <c r="B107"/>
  <c r="C107"/>
  <c r="D107"/>
  <c r="E107"/>
  <c r="F107"/>
  <c r="G107"/>
  <c r="H107"/>
  <c r="I107"/>
  <c r="J107"/>
  <c r="K107"/>
  <c r="L107"/>
  <c r="M107"/>
  <c r="N107"/>
  <c r="O107"/>
  <c r="P107"/>
  <c r="Q107"/>
  <c r="R107"/>
  <c r="S107"/>
  <c r="T107"/>
  <c r="U107"/>
  <c r="V107"/>
  <c r="W107"/>
  <c r="X107"/>
  <c r="Y107"/>
  <c r="Z107"/>
  <c r="AA107"/>
  <c r="AB107"/>
  <c r="AC107"/>
  <c r="AD107"/>
  <c r="AE107"/>
  <c r="AF107"/>
  <c r="AG107"/>
  <c r="AH107"/>
  <c r="AI107"/>
  <c r="AJ107"/>
  <c r="AK107"/>
  <c r="AL107"/>
  <c r="AM107"/>
  <c r="AN107"/>
  <c r="AO107"/>
  <c r="AP107"/>
  <c r="AQ107"/>
  <c r="AR107"/>
  <c r="AS107"/>
  <c r="AT107"/>
  <c r="AU107"/>
  <c r="AV107"/>
  <c r="AW107"/>
  <c r="AX107"/>
  <c r="AY107"/>
  <c r="AZ107"/>
  <c r="BA107"/>
  <c r="BB107"/>
  <c r="BC107"/>
  <c r="BD107"/>
  <c r="BE107"/>
  <c r="BF107"/>
  <c r="BG107"/>
  <c r="BH107"/>
  <c r="BI107"/>
  <c r="BJ107"/>
  <c r="BK107"/>
  <c r="BL107"/>
  <c r="BM107"/>
  <c r="BN107"/>
  <c r="BO107"/>
  <c r="BP107"/>
  <c r="BQ107"/>
  <c r="BR107"/>
  <c r="BS107"/>
  <c r="BT107"/>
  <c r="BU107"/>
  <c r="BV107"/>
  <c r="BW107"/>
  <c r="BX107"/>
  <c r="BY107"/>
  <c r="BZ107"/>
  <c r="CA107"/>
  <c r="CB107"/>
  <c r="CC107"/>
  <c r="CD107"/>
  <c r="CE107"/>
  <c r="CF107"/>
  <c r="CG107"/>
  <c r="CH107"/>
  <c r="CI107"/>
  <c r="CJ107"/>
  <c r="CK107"/>
  <c r="CL107"/>
  <c r="CM107"/>
  <c r="CN107"/>
  <c r="CO107"/>
  <c r="CP107"/>
  <c r="CQ107"/>
  <c r="CR107"/>
  <c r="CS107"/>
  <c r="CT107"/>
  <c r="CU107"/>
  <c r="CV107"/>
  <c r="CW107"/>
  <c r="CX107"/>
  <c r="CY107"/>
  <c r="CZ107"/>
  <c r="DA107"/>
  <c r="DB107"/>
  <c r="DC107"/>
  <c r="DD107"/>
  <c r="DE107"/>
  <c r="DF107"/>
  <c r="DG107"/>
  <c r="DH107"/>
  <c r="DI107"/>
  <c r="DJ107"/>
  <c r="DK107"/>
  <c r="DL107"/>
  <c r="DM107"/>
  <c r="DN107"/>
  <c r="DO107"/>
  <c r="DP107"/>
  <c r="DQ107"/>
  <c r="DR107"/>
  <c r="DS107"/>
  <c r="DT107"/>
  <c r="DU107"/>
  <c r="DV107"/>
  <c r="DW107"/>
  <c r="DX107"/>
  <c r="DY107"/>
  <c r="DZ107"/>
  <c r="EA107"/>
  <c r="EB107"/>
  <c r="EC107"/>
  <c r="ED107"/>
  <c r="EE107"/>
  <c r="EF107"/>
  <c r="EG107"/>
  <c r="EH107"/>
  <c r="EI107"/>
  <c r="EJ107"/>
  <c r="EK107"/>
  <c r="EL107"/>
  <c r="EM107"/>
  <c r="EN107"/>
  <c r="EO107"/>
  <c r="EP107"/>
  <c r="EQ107"/>
  <c r="ER107"/>
  <c r="ES107"/>
  <c r="ET107"/>
  <c r="EU107"/>
  <c r="EV107"/>
  <c r="EW107"/>
  <c r="EX107"/>
  <c r="EY107"/>
  <c r="EZ107"/>
  <c r="FA107"/>
  <c r="FB107"/>
  <c r="FC107"/>
  <c r="FD107"/>
  <c r="FE107"/>
  <c r="FF107"/>
  <c r="FG107"/>
  <c r="FH107"/>
  <c r="FI107"/>
  <c r="FJ107"/>
  <c r="FK107"/>
  <c r="FL107"/>
  <c r="FM107"/>
  <c r="FN107"/>
  <c r="FO107"/>
  <c r="FP107"/>
  <c r="FQ107"/>
  <c r="FR107"/>
  <c r="FS107"/>
  <c r="FT107"/>
  <c r="FU107"/>
  <c r="FV107"/>
  <c r="FW107"/>
  <c r="FX107"/>
  <c r="FY107"/>
  <c r="FZ107"/>
  <c r="GA107"/>
  <c r="GB107"/>
  <c r="GC107"/>
  <c r="GD107"/>
  <c r="GE107"/>
  <c r="GF107"/>
  <c r="GG107"/>
  <c r="GH107"/>
  <c r="GI107"/>
  <c r="GJ107"/>
  <c r="GK107"/>
  <c r="GL107"/>
  <c r="GM107"/>
  <c r="GN107"/>
  <c r="GO107"/>
  <c r="GP107"/>
  <c r="GQ107"/>
  <c r="GR107"/>
  <c r="GS107"/>
  <c r="GT107"/>
  <c r="GU107"/>
  <c r="GV107"/>
  <c r="GW107"/>
  <c r="GX107"/>
  <c r="GY107"/>
  <c r="GZ107"/>
  <c r="HA107"/>
  <c r="HB107"/>
  <c r="HC107"/>
  <c r="HD107"/>
  <c r="HE107"/>
  <c r="HF107"/>
  <c r="HG107"/>
  <c r="HH107"/>
  <c r="HI107"/>
  <c r="HJ107"/>
  <c r="HK107"/>
  <c r="HL107"/>
  <c r="HM107"/>
  <c r="HN107"/>
  <c r="HO107"/>
  <c r="HP107"/>
  <c r="HQ107"/>
  <c r="HR107"/>
  <c r="HS107"/>
  <c r="HT107"/>
  <c r="HU107"/>
  <c r="HV107"/>
  <c r="HW107"/>
  <c r="HX107"/>
  <c r="HY107"/>
  <c r="HZ107"/>
  <c r="IA107"/>
  <c r="IB107"/>
  <c r="IC107"/>
  <c r="ID107"/>
  <c r="IE107"/>
  <c r="IF107"/>
  <c r="IG107"/>
  <c r="IH107"/>
  <c r="II107"/>
  <c r="IJ107"/>
  <c r="IK107"/>
  <c r="IL107"/>
  <c r="IM107"/>
  <c r="IN107"/>
  <c r="IO107"/>
  <c r="IP107"/>
  <c r="IQ107"/>
  <c r="IR107"/>
  <c r="IS107"/>
  <c r="IT107"/>
  <c r="IU107"/>
  <c r="IV107"/>
  <c r="A106"/>
  <c r="B106"/>
  <c r="C106"/>
  <c r="D106"/>
  <c r="E106"/>
  <c r="F106"/>
  <c r="G106"/>
  <c r="H106"/>
  <c r="I106"/>
  <c r="J106"/>
  <c r="K106"/>
  <c r="L106"/>
  <c r="M106"/>
  <c r="N106"/>
  <c r="O106"/>
  <c r="P106"/>
  <c r="Q106"/>
  <c r="R106"/>
  <c r="S106"/>
  <c r="T106"/>
  <c r="U106"/>
  <c r="V106"/>
  <c r="W106"/>
  <c r="X106"/>
  <c r="Y106"/>
  <c r="Z106"/>
  <c r="AA106"/>
  <c r="AB106"/>
  <c r="AC106"/>
  <c r="AD106"/>
  <c r="AE106"/>
  <c r="AF106"/>
  <c r="AG106"/>
  <c r="AH106"/>
  <c r="AI106"/>
  <c r="AJ106"/>
  <c r="AK106"/>
  <c r="AL106"/>
  <c r="AM106"/>
  <c r="AN106"/>
  <c r="AO106"/>
  <c r="AP106"/>
  <c r="AQ106"/>
  <c r="AR106"/>
  <c r="AS106"/>
  <c r="AT106"/>
  <c r="AU106"/>
  <c r="AV106"/>
  <c r="AW106"/>
  <c r="AX106"/>
  <c r="AY106"/>
  <c r="AZ106"/>
  <c r="BA106"/>
  <c r="BB106"/>
  <c r="BC106"/>
  <c r="BD106"/>
  <c r="BE106"/>
  <c r="BF106"/>
  <c r="BG106"/>
  <c r="BH106"/>
  <c r="BI106"/>
  <c r="BJ106"/>
  <c r="BK106"/>
  <c r="BL106"/>
  <c r="BM106"/>
  <c r="BN106"/>
  <c r="BO106"/>
  <c r="BP106"/>
  <c r="BQ106"/>
  <c r="BR106"/>
  <c r="BS106"/>
  <c r="BT106"/>
  <c r="BU106"/>
  <c r="BV106"/>
  <c r="BW106"/>
  <c r="BX106"/>
  <c r="BY106"/>
  <c r="BZ106"/>
  <c r="CA106"/>
  <c r="CB106"/>
  <c r="CC106"/>
  <c r="CD106"/>
  <c r="CE106"/>
  <c r="CF106"/>
  <c r="CG106"/>
  <c r="CH106"/>
  <c r="CI106"/>
  <c r="CJ106"/>
  <c r="CK106"/>
  <c r="CL106"/>
  <c r="CM106"/>
  <c r="CN106"/>
  <c r="CO106"/>
  <c r="CP106"/>
  <c r="CQ106"/>
  <c r="CR106"/>
  <c r="CS106"/>
  <c r="CT106"/>
  <c r="CU106"/>
  <c r="CV106"/>
  <c r="CW106"/>
  <c r="CX106"/>
  <c r="CY106"/>
  <c r="CZ106"/>
  <c r="DA106"/>
  <c r="DB106"/>
  <c r="DC106"/>
  <c r="DD106"/>
  <c r="DE106"/>
  <c r="DF106"/>
  <c r="DG106"/>
  <c r="DH106"/>
  <c r="DI106"/>
  <c r="DJ106"/>
  <c r="DK106"/>
  <c r="DL106"/>
  <c r="DM106"/>
  <c r="DN106"/>
  <c r="DO106"/>
  <c r="DP106"/>
  <c r="DQ106"/>
  <c r="DR106"/>
  <c r="DS106"/>
  <c r="DT106"/>
  <c r="DU106"/>
  <c r="DV106"/>
  <c r="DW106"/>
  <c r="DX106"/>
  <c r="DY106"/>
  <c r="DZ106"/>
  <c r="EA106"/>
  <c r="EB106"/>
  <c r="EC106"/>
  <c r="ED106"/>
  <c r="EE106"/>
  <c r="EF106"/>
  <c r="EG106"/>
  <c r="EH106"/>
  <c r="EI106"/>
  <c r="EJ106"/>
  <c r="EK106"/>
  <c r="EL106"/>
  <c r="EM106"/>
  <c r="EN106"/>
  <c r="EO106"/>
  <c r="EP106"/>
  <c r="EQ106"/>
  <c r="ER106"/>
  <c r="ES106"/>
  <c r="ET106"/>
  <c r="EU106"/>
  <c r="EV106"/>
  <c r="EW106"/>
  <c r="EX106"/>
  <c r="EY106"/>
  <c r="EZ106"/>
  <c r="FA106"/>
  <c r="FB106"/>
  <c r="FC106"/>
  <c r="FD106"/>
  <c r="FE106"/>
  <c r="FF106"/>
  <c r="FG106"/>
  <c r="FH106"/>
  <c r="FI106"/>
  <c r="FJ106"/>
  <c r="FK106"/>
  <c r="FL106"/>
  <c r="FM106"/>
  <c r="FN106"/>
  <c r="FO106"/>
  <c r="FP106"/>
  <c r="FQ106"/>
  <c r="FR106"/>
  <c r="FS106"/>
  <c r="FT106"/>
  <c r="FU106"/>
  <c r="FV106"/>
  <c r="FW106"/>
  <c r="FX106"/>
  <c r="FY106"/>
  <c r="FZ106"/>
  <c r="GA106"/>
  <c r="GB106"/>
  <c r="GC106"/>
  <c r="GD106"/>
  <c r="GE106"/>
  <c r="GF106"/>
  <c r="GG106"/>
  <c r="GH106"/>
  <c r="GI106"/>
  <c r="GJ106"/>
  <c r="GK106"/>
  <c r="GL106"/>
  <c r="GM106"/>
  <c r="GN106"/>
  <c r="GO106"/>
  <c r="GP106"/>
  <c r="GQ106"/>
  <c r="GR106"/>
  <c r="GS106"/>
  <c r="GT106"/>
  <c r="GU106"/>
  <c r="GV106"/>
  <c r="GW106"/>
  <c r="GX106"/>
  <c r="GY106"/>
  <c r="GZ106"/>
  <c r="HA106"/>
  <c r="HB106"/>
  <c r="HC106"/>
  <c r="HD106"/>
  <c r="HE106"/>
  <c r="HF106"/>
  <c r="HG106"/>
  <c r="HH106"/>
  <c r="HI106"/>
  <c r="HJ106"/>
  <c r="HK106"/>
  <c r="HL106"/>
  <c r="HM106"/>
  <c r="HN106"/>
  <c r="HO106"/>
  <c r="HP106"/>
  <c r="HQ106"/>
  <c r="HR106"/>
  <c r="HS106"/>
  <c r="HT106"/>
  <c r="HU106"/>
  <c r="HV106"/>
  <c r="HW106"/>
  <c r="HX106"/>
  <c r="HY106"/>
  <c r="HZ106"/>
  <c r="IA106"/>
  <c r="IB106"/>
  <c r="IC106"/>
  <c r="ID106"/>
  <c r="IE106"/>
  <c r="IF106"/>
  <c r="IG106"/>
  <c r="IH106"/>
  <c r="II106"/>
  <c r="IJ106"/>
  <c r="IK106"/>
  <c r="IL106"/>
  <c r="IM106"/>
  <c r="IN106"/>
  <c r="IO106"/>
  <c r="IP106"/>
  <c r="IQ106"/>
  <c r="IR106"/>
  <c r="IS106"/>
  <c r="IT106"/>
  <c r="IU106"/>
  <c r="IV106"/>
  <c r="A105"/>
  <c r="B105"/>
  <c r="C105"/>
  <c r="D105"/>
  <c r="E105"/>
  <c r="F105"/>
  <c r="G105"/>
  <c r="H105"/>
  <c r="I105"/>
  <c r="J105"/>
  <c r="K105"/>
  <c r="L105"/>
  <c r="M105"/>
  <c r="N105"/>
  <c r="O105"/>
  <c r="P105"/>
  <c r="Q105"/>
  <c r="R105"/>
  <c r="S105"/>
  <c r="T105"/>
  <c r="U105"/>
  <c r="V105"/>
  <c r="W105"/>
  <c r="X105"/>
  <c r="Y105"/>
  <c r="Z105"/>
  <c r="AA105"/>
  <c r="AB105"/>
  <c r="AC105"/>
  <c r="AD105"/>
  <c r="AE105"/>
  <c r="AF105"/>
  <c r="AG105"/>
  <c r="AH105"/>
  <c r="AI105"/>
  <c r="AJ105"/>
  <c r="AK105"/>
  <c r="AL105"/>
  <c r="AM105"/>
  <c r="AN105"/>
  <c r="AO105"/>
  <c r="AP105"/>
  <c r="AQ105"/>
  <c r="AR105"/>
  <c r="AS105"/>
  <c r="AT105"/>
  <c r="AU105"/>
  <c r="AV105"/>
  <c r="AW105"/>
  <c r="AX105"/>
  <c r="AY105"/>
  <c r="AZ105"/>
  <c r="BA105"/>
  <c r="BB105"/>
  <c r="BC105"/>
  <c r="BD105"/>
  <c r="BE105"/>
  <c r="BF105"/>
  <c r="BG105"/>
  <c r="BH105"/>
  <c r="BI105"/>
  <c r="BJ105"/>
  <c r="BK105"/>
  <c r="BL105"/>
  <c r="BM105"/>
  <c r="BN105"/>
  <c r="BO105"/>
  <c r="BP105"/>
  <c r="BQ105"/>
  <c r="BR105"/>
  <c r="BS105"/>
  <c r="BT105"/>
  <c r="BU105"/>
  <c r="BV105"/>
  <c r="BW105"/>
  <c r="BX105"/>
  <c r="BY105"/>
  <c r="BZ105"/>
  <c r="CA105"/>
  <c r="CB105"/>
  <c r="CC105"/>
  <c r="CD105"/>
  <c r="CE105"/>
  <c r="CF105"/>
  <c r="CG105"/>
  <c r="CH105"/>
  <c r="CI105"/>
  <c r="CJ105"/>
  <c r="CK105"/>
  <c r="CL105"/>
  <c r="CM105"/>
  <c r="CN105"/>
  <c r="CO105"/>
  <c r="CP105"/>
  <c r="CQ105"/>
  <c r="CR105"/>
  <c r="CS105"/>
  <c r="CT105"/>
  <c r="CU105"/>
  <c r="CV105"/>
  <c r="CW105"/>
  <c r="CX105"/>
  <c r="CY105"/>
  <c r="CZ105"/>
  <c r="DA105"/>
  <c r="DB105"/>
  <c r="DC105"/>
  <c r="DD105"/>
  <c r="DE105"/>
  <c r="DF105"/>
  <c r="DG105"/>
  <c r="DH105"/>
  <c r="DI105"/>
  <c r="DJ105"/>
  <c r="DK105"/>
  <c r="DL105"/>
  <c r="DM105"/>
  <c r="DN105"/>
  <c r="DO105"/>
  <c r="DP105"/>
  <c r="DQ105"/>
  <c r="DR105"/>
  <c r="DS105"/>
  <c r="DT105"/>
  <c r="DU105"/>
  <c r="DV105"/>
  <c r="DW105"/>
  <c r="DX105"/>
  <c r="DY105"/>
  <c r="DZ105"/>
  <c r="EA105"/>
  <c r="EB105"/>
  <c r="EC105"/>
  <c r="ED105"/>
  <c r="EE105"/>
  <c r="EF105"/>
  <c r="EG105"/>
  <c r="EH105"/>
  <c r="EI105"/>
  <c r="EJ105"/>
  <c r="EK105"/>
  <c r="EL105"/>
  <c r="EM105"/>
  <c r="EN105"/>
  <c r="EO105"/>
  <c r="EP105"/>
  <c r="EQ105"/>
  <c r="ER105"/>
  <c r="ES105"/>
  <c r="ET105"/>
  <c r="EU105"/>
  <c r="EV105"/>
  <c r="EW105"/>
  <c r="EX105"/>
  <c r="EY105"/>
  <c r="EZ105"/>
  <c r="FA105"/>
  <c r="FB105"/>
  <c r="FC105"/>
  <c r="FD105"/>
  <c r="FE105"/>
  <c r="FF105"/>
  <c r="FG105"/>
  <c r="FH105"/>
  <c r="FI105"/>
  <c r="FJ105"/>
  <c r="FK105"/>
  <c r="FL105"/>
  <c r="FM105"/>
  <c r="FN105"/>
  <c r="FO105"/>
  <c r="FP105"/>
  <c r="FQ105"/>
  <c r="FR105"/>
  <c r="FS105"/>
  <c r="FT105"/>
  <c r="FU105"/>
  <c r="FV105"/>
  <c r="FW105"/>
  <c r="FX105"/>
  <c r="FY105"/>
  <c r="FZ105"/>
  <c r="GA105"/>
  <c r="GB105"/>
  <c r="GC105"/>
  <c r="GD105"/>
  <c r="GE105"/>
  <c r="GF105"/>
  <c r="GG105"/>
  <c r="GH105"/>
  <c r="GI105"/>
  <c r="GJ105"/>
  <c r="GK105"/>
  <c r="GL105"/>
  <c r="GM105"/>
  <c r="GN105"/>
  <c r="GO105"/>
  <c r="GP105"/>
  <c r="GQ105"/>
  <c r="GR105"/>
  <c r="GS105"/>
  <c r="GT105"/>
  <c r="GU105"/>
  <c r="GV105"/>
  <c r="GW105"/>
  <c r="GX105"/>
  <c r="GY105"/>
  <c r="GZ105"/>
  <c r="HA105"/>
  <c r="HB105"/>
  <c r="HC105"/>
  <c r="HD105"/>
  <c r="HE105"/>
  <c r="HF105"/>
  <c r="HG105"/>
  <c r="HH105"/>
  <c r="HI105"/>
  <c r="HJ105"/>
  <c r="HK105"/>
  <c r="HL105"/>
  <c r="HM105"/>
  <c r="HN105"/>
  <c r="HO105"/>
  <c r="HP105"/>
  <c r="HQ105"/>
  <c r="HR105"/>
  <c r="HS105"/>
  <c r="HT105"/>
  <c r="HU105"/>
  <c r="HV105"/>
  <c r="HW105"/>
  <c r="HX105"/>
  <c r="HY105"/>
  <c r="HZ105"/>
  <c r="IA105"/>
  <c r="IB105"/>
  <c r="IC105"/>
  <c r="ID105"/>
  <c r="IE105"/>
  <c r="IF105"/>
  <c r="IG105"/>
  <c r="IH105"/>
  <c r="II105"/>
  <c r="IJ105"/>
  <c r="IK105"/>
  <c r="IL105"/>
  <c r="IM105"/>
  <c r="IN105"/>
  <c r="IO105"/>
  <c r="IP105"/>
  <c r="IQ105"/>
  <c r="IR105"/>
  <c r="IS105"/>
  <c r="IT105"/>
  <c r="IU105"/>
  <c r="IV105"/>
  <c r="A104"/>
  <c r="B104"/>
  <c r="C104"/>
  <c r="D104"/>
  <c r="E104"/>
  <c r="F104"/>
  <c r="G104"/>
  <c r="H104"/>
  <c r="I104"/>
  <c r="J104"/>
  <c r="K104"/>
  <c r="L104"/>
  <c r="M104"/>
  <c r="N104"/>
  <c r="O104"/>
  <c r="P104"/>
  <c r="Q104"/>
  <c r="R104"/>
  <c r="S104"/>
  <c r="T104"/>
  <c r="U104"/>
  <c r="V104"/>
  <c r="W104"/>
  <c r="X104"/>
  <c r="Y104"/>
  <c r="Z104"/>
  <c r="AA104"/>
  <c r="AB104"/>
  <c r="AC104"/>
  <c r="AD104"/>
  <c r="AE104"/>
  <c r="AF104"/>
  <c r="AG104"/>
  <c r="AH104"/>
  <c r="AI104"/>
  <c r="AJ104"/>
  <c r="AK104"/>
  <c r="AL104"/>
  <c r="AM104"/>
  <c r="AN104"/>
  <c r="AO104"/>
  <c r="AP104"/>
  <c r="AQ104"/>
  <c r="AR104"/>
  <c r="AS104"/>
  <c r="AT104"/>
  <c r="AU104"/>
  <c r="AV104"/>
  <c r="AW104"/>
  <c r="AX104"/>
  <c r="AY104"/>
  <c r="AZ104"/>
  <c r="BA104"/>
  <c r="BB104"/>
  <c r="BC104"/>
  <c r="BD104"/>
  <c r="BE104"/>
  <c r="BF104"/>
  <c r="BG104"/>
  <c r="BH104"/>
  <c r="BI104"/>
  <c r="BJ104"/>
  <c r="BK104"/>
  <c r="BL104"/>
  <c r="BM104"/>
  <c r="BN104"/>
  <c r="BO104"/>
  <c r="BP104"/>
  <c r="BQ104"/>
  <c r="BR104"/>
  <c r="BS104"/>
  <c r="BT104"/>
  <c r="BU104"/>
  <c r="BV104"/>
  <c r="BW104"/>
  <c r="BX104"/>
  <c r="BY104"/>
  <c r="BZ104"/>
  <c r="CA104"/>
  <c r="CB104"/>
  <c r="CC104"/>
  <c r="CD104"/>
  <c r="CE104"/>
  <c r="CF104"/>
  <c r="CG104"/>
  <c r="CH104"/>
  <c r="CI104"/>
  <c r="CJ104"/>
  <c r="CK104"/>
  <c r="CL104"/>
  <c r="CM104"/>
  <c r="CN104"/>
  <c r="CO104"/>
  <c r="CP104"/>
  <c r="CQ104"/>
  <c r="CR104"/>
  <c r="CS104"/>
  <c r="CT104"/>
  <c r="CU104"/>
  <c r="CV104"/>
  <c r="CW104"/>
  <c r="CX104"/>
  <c r="CY104"/>
  <c r="CZ104"/>
  <c r="DA104"/>
  <c r="DB104"/>
  <c r="DC104"/>
  <c r="DD104"/>
  <c r="DE104"/>
  <c r="DF104"/>
  <c r="DG104"/>
  <c r="DH104"/>
  <c r="DI104"/>
  <c r="DJ104"/>
  <c r="DK104"/>
  <c r="DL104"/>
  <c r="DM104"/>
  <c r="DN104"/>
  <c r="DO104"/>
  <c r="DP104"/>
  <c r="DQ104"/>
  <c r="DR104"/>
  <c r="DS104"/>
  <c r="DT104"/>
  <c r="DU104"/>
  <c r="DV104"/>
  <c r="DW104"/>
  <c r="DX104"/>
  <c r="DY104"/>
  <c r="DZ104"/>
  <c r="EA104"/>
  <c r="EB104"/>
  <c r="EC104"/>
  <c r="ED104"/>
  <c r="EE104"/>
  <c r="EF104"/>
  <c r="EG104"/>
  <c r="EH104"/>
  <c r="EI104"/>
  <c r="EJ104"/>
  <c r="EK104"/>
  <c r="EL104"/>
  <c r="EM104"/>
  <c r="EN104"/>
  <c r="EO104"/>
  <c r="EP104"/>
  <c r="EQ104"/>
  <c r="ER104"/>
  <c r="ES104"/>
  <c r="ET104"/>
  <c r="EU104"/>
  <c r="EV104"/>
  <c r="EW104"/>
  <c r="EX104"/>
  <c r="EY104"/>
  <c r="EZ104"/>
  <c r="FA104"/>
  <c r="FB104"/>
  <c r="FC104"/>
  <c r="FD104"/>
  <c r="FE104"/>
  <c r="FF104"/>
  <c r="FG104"/>
  <c r="FH104"/>
  <c r="FI104"/>
  <c r="FJ104"/>
  <c r="FK104"/>
  <c r="FL104"/>
  <c r="FM104"/>
  <c r="FN104"/>
  <c r="FO104"/>
  <c r="FP104"/>
  <c r="FQ104"/>
  <c r="FR104"/>
  <c r="FS104"/>
  <c r="FT104"/>
  <c r="FU104"/>
  <c r="FV104"/>
  <c r="FW104"/>
  <c r="FX104"/>
  <c r="FY104"/>
  <c r="FZ104"/>
  <c r="GA104"/>
  <c r="GB104"/>
  <c r="GC104"/>
  <c r="GD104"/>
  <c r="GE104"/>
  <c r="GF104"/>
  <c r="GG104"/>
  <c r="GH104"/>
  <c r="GI104"/>
  <c r="GJ104"/>
  <c r="GK104"/>
  <c r="GL104"/>
  <c r="GM104"/>
  <c r="GN104"/>
  <c r="GO104"/>
  <c r="GP104"/>
  <c r="GQ104"/>
  <c r="GR104"/>
  <c r="GS104"/>
  <c r="GT104"/>
  <c r="GU104"/>
  <c r="GV104"/>
  <c r="GW104"/>
  <c r="GX104"/>
  <c r="GY104"/>
  <c r="GZ104"/>
  <c r="HA104"/>
  <c r="HB104"/>
  <c r="HC104"/>
  <c r="HD104"/>
  <c r="HE104"/>
  <c r="HF104"/>
  <c r="HG104"/>
  <c r="HH104"/>
  <c r="HI104"/>
  <c r="HJ104"/>
  <c r="HK104"/>
  <c r="HL104"/>
  <c r="HM104"/>
  <c r="HN104"/>
  <c r="HO104"/>
  <c r="HP104"/>
  <c r="HQ104"/>
  <c r="HR104"/>
  <c r="HS104"/>
  <c r="HT104"/>
  <c r="HU104"/>
  <c r="HV104"/>
  <c r="HW104"/>
  <c r="HX104"/>
  <c r="HY104"/>
  <c r="HZ104"/>
  <c r="IA104"/>
  <c r="IB104"/>
  <c r="IC104"/>
  <c r="ID104"/>
  <c r="IE104"/>
  <c r="IF104"/>
  <c r="IG104"/>
  <c r="IH104"/>
  <c r="II104"/>
  <c r="IJ104"/>
  <c r="IK104"/>
  <c r="IL104"/>
  <c r="IM104"/>
  <c r="IN104"/>
  <c r="IO104"/>
  <c r="IP104"/>
  <c r="IQ104"/>
  <c r="IR104"/>
  <c r="IS104"/>
  <c r="IT104"/>
  <c r="IU104"/>
  <c r="IV104"/>
  <c r="A103"/>
  <c r="B103"/>
  <c r="C103"/>
  <c r="D103"/>
  <c r="E103"/>
  <c r="F103"/>
  <c r="G103"/>
  <c r="H103"/>
  <c r="I103"/>
  <c r="J103"/>
  <c r="K103"/>
  <c r="L103"/>
  <c r="M103"/>
  <c r="N103"/>
  <c r="O103"/>
  <c r="P103"/>
  <c r="Q103"/>
  <c r="R103"/>
  <c r="S103"/>
  <c r="T103"/>
  <c r="U103"/>
  <c r="V103"/>
  <c r="W103"/>
  <c r="X103"/>
  <c r="Y103"/>
  <c r="Z103"/>
  <c r="AA103"/>
  <c r="AB103"/>
  <c r="AC103"/>
  <c r="AD103"/>
  <c r="AE103"/>
  <c r="AF103"/>
  <c r="AG103"/>
  <c r="AH103"/>
  <c r="AI103"/>
  <c r="AJ103"/>
  <c r="AK103"/>
  <c r="AL103"/>
  <c r="AM103"/>
  <c r="AN103"/>
  <c r="AO103"/>
  <c r="AP103"/>
  <c r="AQ103"/>
  <c r="AR103"/>
  <c r="AS103"/>
  <c r="AT103"/>
  <c r="AU103"/>
  <c r="AV103"/>
  <c r="AW103"/>
  <c r="AX103"/>
  <c r="AY103"/>
  <c r="AZ103"/>
  <c r="BA103"/>
  <c r="BB103"/>
  <c r="BC103"/>
  <c r="BD103"/>
  <c r="BE103"/>
  <c r="BF103"/>
  <c r="BG103"/>
  <c r="BH103"/>
  <c r="BI103"/>
  <c r="BJ103"/>
  <c r="BK103"/>
  <c r="BL103"/>
  <c r="BM103"/>
  <c r="BN103"/>
  <c r="BO103"/>
  <c r="BP103"/>
  <c r="BQ103"/>
  <c r="BR103"/>
  <c r="BS103"/>
  <c r="BT103"/>
  <c r="BU103"/>
  <c r="BV103"/>
  <c r="BW103"/>
  <c r="BX103"/>
  <c r="BY103"/>
  <c r="BZ103"/>
  <c r="CA103"/>
  <c r="CB103"/>
  <c r="CC103"/>
  <c r="CD103"/>
  <c r="CE103"/>
  <c r="CF103"/>
  <c r="CG103"/>
  <c r="CH103"/>
  <c r="CI103"/>
  <c r="CJ103"/>
  <c r="CK103"/>
  <c r="CL103"/>
  <c r="CM103"/>
  <c r="CN103"/>
  <c r="CO103"/>
  <c r="CP103"/>
  <c r="CQ103"/>
  <c r="CR103"/>
  <c r="CS103"/>
  <c r="CT103"/>
  <c r="CU103"/>
  <c r="CV103"/>
  <c r="CW103"/>
  <c r="CX103"/>
  <c r="CY103"/>
  <c r="CZ103"/>
  <c r="DA103"/>
  <c r="DB103"/>
  <c r="DC103"/>
  <c r="DD103"/>
  <c r="DE103"/>
  <c r="DF103"/>
  <c r="DG103"/>
  <c r="DH103"/>
  <c r="DI103"/>
  <c r="DJ103"/>
  <c r="DK103"/>
  <c r="DL103"/>
  <c r="DM103"/>
  <c r="DN103"/>
  <c r="DO103"/>
  <c r="DP103"/>
  <c r="DQ103"/>
  <c r="DR103"/>
  <c r="DS103"/>
  <c r="DT103"/>
  <c r="DU103"/>
  <c r="DV103"/>
  <c r="DW103"/>
  <c r="DX103"/>
  <c r="DY103"/>
  <c r="DZ103"/>
  <c r="EA103"/>
  <c r="EB103"/>
  <c r="EC103"/>
  <c r="ED103"/>
  <c r="EE103"/>
  <c r="EF103"/>
  <c r="EG103"/>
  <c r="EH103"/>
  <c r="EI103"/>
  <c r="EJ103"/>
  <c r="EK103"/>
  <c r="EL103"/>
  <c r="EM103"/>
  <c r="EN103"/>
  <c r="EO103"/>
  <c r="EP103"/>
  <c r="EQ103"/>
  <c r="ER103"/>
  <c r="ES103"/>
  <c r="ET103"/>
  <c r="EU103"/>
  <c r="EV103"/>
  <c r="EW103"/>
  <c r="EX103"/>
  <c r="EY103"/>
  <c r="EZ103"/>
  <c r="FA103"/>
  <c r="FB103"/>
  <c r="FC103"/>
  <c r="FD103"/>
  <c r="FE103"/>
  <c r="FF103"/>
  <c r="FG103"/>
  <c r="FH103"/>
  <c r="FI103"/>
  <c r="FJ103"/>
  <c r="FK103"/>
  <c r="FL103"/>
  <c r="FM103"/>
  <c r="FN103"/>
  <c r="FO103"/>
  <c r="FP103"/>
  <c r="FQ103"/>
  <c r="FR103"/>
  <c r="FS103"/>
  <c r="FT103"/>
  <c r="FU103"/>
  <c r="FV103"/>
  <c r="FW103"/>
  <c r="FX103"/>
  <c r="FY103"/>
  <c r="FZ103"/>
  <c r="GA103"/>
  <c r="GB103"/>
  <c r="GC103"/>
  <c r="GD103"/>
  <c r="GE103"/>
  <c r="GF103"/>
  <c r="GG103"/>
  <c r="GH103"/>
  <c r="GI103"/>
  <c r="GJ103"/>
  <c r="GK103"/>
  <c r="GL103"/>
  <c r="GM103"/>
  <c r="GN103"/>
  <c r="GO103"/>
  <c r="GP103"/>
  <c r="GQ103"/>
  <c r="GR103"/>
  <c r="GS103"/>
  <c r="GT103"/>
  <c r="GU103"/>
  <c r="GV103"/>
  <c r="GW103"/>
  <c r="GX103"/>
  <c r="GY103"/>
  <c r="GZ103"/>
  <c r="HA103"/>
  <c r="HB103"/>
  <c r="HC103"/>
  <c r="HD103"/>
  <c r="HE103"/>
  <c r="HF103"/>
  <c r="HG103"/>
  <c r="HH103"/>
  <c r="HI103"/>
  <c r="HJ103"/>
  <c r="HK103"/>
  <c r="HL103"/>
  <c r="HM103"/>
  <c r="HN103"/>
  <c r="HO103"/>
  <c r="HP103"/>
  <c r="HQ103"/>
  <c r="HR103"/>
  <c r="HS103"/>
  <c r="HT103"/>
  <c r="HU103"/>
  <c r="HV103"/>
  <c r="HW103"/>
  <c r="HX103"/>
  <c r="HY103"/>
  <c r="HZ103"/>
  <c r="IA103"/>
  <c r="IB103"/>
  <c r="IC103"/>
  <c r="ID103"/>
  <c r="IE103"/>
  <c r="IF103"/>
  <c r="IG103"/>
  <c r="IH103"/>
  <c r="II103"/>
  <c r="IJ103"/>
  <c r="IK103"/>
  <c r="IL103"/>
  <c r="IM103"/>
  <c r="IN103"/>
  <c r="IO103"/>
  <c r="IP103"/>
  <c r="IQ103"/>
  <c r="IR103"/>
  <c r="IS103"/>
  <c r="IT103"/>
  <c r="IU103"/>
  <c r="IV103"/>
  <c r="A102"/>
  <c r="B102"/>
  <c r="C102"/>
  <c r="D102"/>
  <c r="E102"/>
  <c r="F102"/>
  <c r="G102"/>
  <c r="H102"/>
  <c r="I102"/>
  <c r="J102"/>
  <c r="K102"/>
  <c r="L102"/>
  <c r="M102"/>
  <c r="N102"/>
  <c r="O102"/>
  <c r="P102"/>
  <c r="Q102"/>
  <c r="R102"/>
  <c r="S102"/>
  <c r="T102"/>
  <c r="U102"/>
  <c r="V102"/>
  <c r="W102"/>
  <c r="X102"/>
  <c r="Y102"/>
  <c r="Z102"/>
  <c r="AA102"/>
  <c r="AB102"/>
  <c r="AC102"/>
  <c r="AD102"/>
  <c r="AE102"/>
  <c r="AF102"/>
  <c r="AG102"/>
  <c r="AH102"/>
  <c r="AI102"/>
  <c r="AJ102"/>
  <c r="AK102"/>
  <c r="AL102"/>
  <c r="AM102"/>
  <c r="AN102"/>
  <c r="AO102"/>
  <c r="AP102"/>
  <c r="AQ102"/>
  <c r="AR102"/>
  <c r="AS102"/>
  <c r="AT102"/>
  <c r="AU102"/>
  <c r="AV102"/>
  <c r="AW102"/>
  <c r="AX102"/>
  <c r="AY102"/>
  <c r="AZ102"/>
  <c r="BA102"/>
  <c r="BB102"/>
  <c r="BC102"/>
  <c r="BD102"/>
  <c r="BE102"/>
  <c r="BF102"/>
  <c r="BG102"/>
  <c r="BH102"/>
  <c r="BI102"/>
  <c r="BJ102"/>
  <c r="BK102"/>
  <c r="BL102"/>
  <c r="BM102"/>
  <c r="BN102"/>
  <c r="BO102"/>
  <c r="BP102"/>
  <c r="BQ102"/>
  <c r="BR102"/>
  <c r="BS102"/>
  <c r="BT102"/>
  <c r="BU102"/>
  <c r="BV102"/>
  <c r="BW102"/>
  <c r="BX102"/>
  <c r="BY102"/>
  <c r="BZ102"/>
  <c r="CA102"/>
  <c r="CB102"/>
  <c r="CC102"/>
  <c r="CD102"/>
  <c r="CE102"/>
  <c r="CF102"/>
  <c r="CG102"/>
  <c r="CH102"/>
  <c r="CI102"/>
  <c r="CJ102"/>
  <c r="CK102"/>
  <c r="CL102"/>
  <c r="CM102"/>
  <c r="CN102"/>
  <c r="CO102"/>
  <c r="CP102"/>
  <c r="CQ102"/>
  <c r="CR102"/>
  <c r="CS102"/>
  <c r="CT102"/>
  <c r="CU102"/>
  <c r="CV102"/>
  <c r="CW102"/>
  <c r="CX102"/>
  <c r="CY102"/>
  <c r="CZ102"/>
  <c r="DA102"/>
  <c r="DB102"/>
  <c r="DC102"/>
  <c r="DD102"/>
  <c r="DE102"/>
  <c r="DF102"/>
  <c r="DG102"/>
  <c r="DH102"/>
  <c r="DI102"/>
  <c r="DJ102"/>
  <c r="DK102"/>
  <c r="DL102"/>
  <c r="DM102"/>
  <c r="DN102"/>
  <c r="DO102"/>
  <c r="DP102"/>
  <c r="DQ102"/>
  <c r="DR102"/>
  <c r="DS102"/>
  <c r="DT102"/>
  <c r="DU102"/>
  <c r="DV102"/>
  <c r="DW102"/>
  <c r="DX102"/>
  <c r="DY102"/>
  <c r="DZ102"/>
  <c r="EA102"/>
  <c r="EB102"/>
  <c r="EC102"/>
  <c r="ED102"/>
  <c r="EE102"/>
  <c r="EF102"/>
  <c r="EG102"/>
  <c r="EH102"/>
  <c r="EI102"/>
  <c r="EJ102"/>
  <c r="EK102"/>
  <c r="EL102"/>
  <c r="EM102"/>
  <c r="EN102"/>
  <c r="EO102"/>
  <c r="EP102"/>
  <c r="EQ102"/>
  <c r="ER102"/>
  <c r="ES102"/>
  <c r="ET102"/>
  <c r="EU102"/>
  <c r="EV102"/>
  <c r="EW102"/>
  <c r="EX102"/>
  <c r="EY102"/>
  <c r="EZ102"/>
  <c r="FA102"/>
  <c r="FB102"/>
  <c r="FC102"/>
  <c r="FD102"/>
  <c r="FE102"/>
  <c r="FF102"/>
  <c r="FG102"/>
  <c r="FH102"/>
  <c r="FI102"/>
  <c r="FJ102"/>
  <c r="FK102"/>
  <c r="FL102"/>
  <c r="FM102"/>
  <c r="FN102"/>
  <c r="FO102"/>
  <c r="FP102"/>
  <c r="FQ102"/>
  <c r="FR102"/>
  <c r="FS102"/>
  <c r="FT102"/>
  <c r="FU102"/>
  <c r="FV102"/>
  <c r="FW102"/>
  <c r="FX102"/>
  <c r="FY102"/>
  <c r="FZ102"/>
  <c r="GA102"/>
  <c r="GB102"/>
  <c r="GC102"/>
  <c r="GD102"/>
  <c r="GE102"/>
  <c r="GF102"/>
  <c r="GG102"/>
  <c r="GH102"/>
  <c r="GI102"/>
  <c r="GJ102"/>
  <c r="GK102"/>
  <c r="GL102"/>
  <c r="GM102"/>
  <c r="GN102"/>
  <c r="GO102"/>
  <c r="GP102"/>
  <c r="GQ102"/>
  <c r="GR102"/>
  <c r="GS102"/>
  <c r="GT102"/>
  <c r="GU102"/>
  <c r="GV102"/>
  <c r="GW102"/>
  <c r="GX102"/>
  <c r="GY102"/>
  <c r="GZ102"/>
  <c r="HA102"/>
  <c r="HB102"/>
  <c r="HC102"/>
  <c r="HD102"/>
  <c r="HE102"/>
  <c r="HF102"/>
  <c r="HG102"/>
  <c r="HH102"/>
  <c r="HI102"/>
  <c r="HJ102"/>
  <c r="HK102"/>
  <c r="HL102"/>
  <c r="HM102"/>
  <c r="HN102"/>
  <c r="HO102"/>
  <c r="HP102"/>
  <c r="HQ102"/>
  <c r="HR102"/>
  <c r="HS102"/>
  <c r="HT102"/>
  <c r="HU102"/>
  <c r="HV102"/>
  <c r="HW102"/>
  <c r="HX102"/>
  <c r="HY102"/>
  <c r="HZ102"/>
  <c r="IA102"/>
  <c r="IB102"/>
  <c r="IC102"/>
  <c r="ID102"/>
  <c r="IE102"/>
  <c r="IF102"/>
  <c r="IG102"/>
  <c r="IH102"/>
  <c r="II102"/>
  <c r="IJ102"/>
  <c r="IK102"/>
  <c r="IL102"/>
  <c r="IM102"/>
  <c r="IN102"/>
  <c r="IO102"/>
  <c r="IP102"/>
  <c r="IQ102"/>
  <c r="IR102"/>
  <c r="IS102"/>
  <c r="IT102"/>
  <c r="IU102"/>
  <c r="IV102"/>
  <c r="A101"/>
  <c r="B101"/>
  <c r="C101"/>
  <c r="D101"/>
  <c r="E101"/>
  <c r="F101"/>
  <c r="G101"/>
  <c r="H101"/>
  <c r="I101"/>
  <c r="J101"/>
  <c r="K101"/>
  <c r="L101"/>
  <c r="M101"/>
  <c r="N101"/>
  <c r="O101"/>
  <c r="P101"/>
  <c r="Q101"/>
  <c r="R101"/>
  <c r="S101"/>
  <c r="T101"/>
  <c r="U101"/>
  <c r="V101"/>
  <c r="W101"/>
  <c r="X101"/>
  <c r="Y101"/>
  <c r="Z101"/>
  <c r="AA101"/>
  <c r="AB101"/>
  <c r="AC101"/>
  <c r="AD101"/>
  <c r="AE101"/>
  <c r="AF101"/>
  <c r="AG101"/>
  <c r="AH101"/>
  <c r="AI101"/>
  <c r="AJ101"/>
  <c r="AK101"/>
  <c r="AL101"/>
  <c r="AM101"/>
  <c r="AN101"/>
  <c r="AO101"/>
  <c r="AP101"/>
  <c r="AQ101"/>
  <c r="AR101"/>
  <c r="AS101"/>
  <c r="AT101"/>
  <c r="AU101"/>
  <c r="AV101"/>
  <c r="AW101"/>
  <c r="AX101"/>
  <c r="AY101"/>
  <c r="AZ101"/>
  <c r="BA101"/>
  <c r="BB101"/>
  <c r="BC101"/>
  <c r="BD101"/>
  <c r="BE101"/>
  <c r="BF101"/>
  <c r="BG101"/>
  <c r="BH101"/>
  <c r="BI101"/>
  <c r="BJ101"/>
  <c r="BK101"/>
  <c r="BL101"/>
  <c r="BM101"/>
  <c r="BN101"/>
  <c r="BO101"/>
  <c r="BP101"/>
  <c r="BQ101"/>
  <c r="BR101"/>
  <c r="BS101"/>
  <c r="BT101"/>
  <c r="BU101"/>
  <c r="BV101"/>
  <c r="BW101"/>
  <c r="BX101"/>
  <c r="BY101"/>
  <c r="BZ101"/>
  <c r="CA101"/>
  <c r="CB101"/>
  <c r="CC101"/>
  <c r="CD101"/>
  <c r="CE101"/>
  <c r="CF101"/>
  <c r="CG101"/>
  <c r="CH101"/>
  <c r="CI101"/>
  <c r="CJ101"/>
  <c r="CK101"/>
  <c r="CL101"/>
  <c r="CM101"/>
  <c r="CN101"/>
  <c r="CO101"/>
  <c r="CP101"/>
  <c r="CQ101"/>
  <c r="CR101"/>
  <c r="CS101"/>
  <c r="CT101"/>
  <c r="CU101"/>
  <c r="CV101"/>
  <c r="CW101"/>
  <c r="CX101"/>
  <c r="CY101"/>
  <c r="CZ101"/>
  <c r="DA101"/>
  <c r="DB101"/>
  <c r="DC101"/>
  <c r="DD101"/>
  <c r="DE101"/>
  <c r="DF101"/>
  <c r="DG101"/>
  <c r="DH101"/>
  <c r="DI101"/>
  <c r="DJ101"/>
  <c r="DK101"/>
  <c r="DL101"/>
  <c r="DM101"/>
  <c r="DN101"/>
  <c r="DO101"/>
  <c r="DP101"/>
  <c r="DQ101"/>
  <c r="DR101"/>
  <c r="DS101"/>
  <c r="DT101"/>
  <c r="DU101"/>
  <c r="DV101"/>
  <c r="DW101"/>
  <c r="DX101"/>
  <c r="DY101"/>
  <c r="DZ101"/>
  <c r="EA101"/>
  <c r="EB101"/>
  <c r="EC101"/>
  <c r="ED101"/>
  <c r="EE101"/>
  <c r="EF101"/>
  <c r="EG101"/>
  <c r="EH101"/>
  <c r="EI101"/>
  <c r="EJ101"/>
  <c r="EK101"/>
  <c r="EL101"/>
  <c r="EM101"/>
  <c r="EN101"/>
  <c r="EO101"/>
  <c r="EP101"/>
  <c r="EQ101"/>
  <c r="ER101"/>
  <c r="ES101"/>
  <c r="ET101"/>
  <c r="EU101"/>
  <c r="EV101"/>
  <c r="EW101"/>
  <c r="EX101"/>
  <c r="EY101"/>
  <c r="EZ101"/>
  <c r="FA101"/>
  <c r="FB101"/>
  <c r="FC101"/>
  <c r="FD101"/>
  <c r="FE101"/>
  <c r="FF101"/>
  <c r="FG101"/>
  <c r="FH101"/>
  <c r="FI101"/>
  <c r="FJ101"/>
  <c r="FK101"/>
  <c r="FL101"/>
  <c r="FM101"/>
  <c r="FN101"/>
  <c r="FO101"/>
  <c r="FP101"/>
  <c r="FQ101"/>
  <c r="FR101"/>
  <c r="FS101"/>
  <c r="FT101"/>
  <c r="FU101"/>
  <c r="FV101"/>
  <c r="FW101"/>
  <c r="FX101"/>
  <c r="FY101"/>
  <c r="FZ101"/>
  <c r="GA101"/>
  <c r="GB101"/>
  <c r="GC101"/>
  <c r="GD101"/>
  <c r="GE101"/>
  <c r="GF101"/>
  <c r="GG101"/>
  <c r="GH101"/>
  <c r="GI101"/>
  <c r="GJ101"/>
  <c r="GK101"/>
  <c r="GL101"/>
  <c r="GM101"/>
  <c r="GN101"/>
  <c r="GO101"/>
  <c r="GP101"/>
  <c r="GQ101"/>
  <c r="GR101"/>
  <c r="GS101"/>
  <c r="GT101"/>
  <c r="GU101"/>
  <c r="GV101"/>
  <c r="GW101"/>
  <c r="GX101"/>
  <c r="GY101"/>
  <c r="GZ101"/>
  <c r="HA101"/>
  <c r="HB101"/>
  <c r="HC101"/>
  <c r="HD101"/>
  <c r="HE101"/>
  <c r="HF101"/>
  <c r="HG101"/>
  <c r="HH101"/>
  <c r="HI101"/>
  <c r="HJ101"/>
  <c r="HK101"/>
  <c r="HL101"/>
  <c r="HM101"/>
  <c r="HN101"/>
  <c r="HO101"/>
  <c r="HP101"/>
  <c r="HQ101"/>
  <c r="HR101"/>
  <c r="HS101"/>
  <c r="HT101"/>
  <c r="HU101"/>
  <c r="HV101"/>
  <c r="HW101"/>
  <c r="HX101"/>
  <c r="HY101"/>
  <c r="HZ101"/>
  <c r="IA101"/>
  <c r="IB101"/>
  <c r="IC101"/>
  <c r="ID101"/>
  <c r="IE101"/>
  <c r="IF101"/>
  <c r="IG101"/>
  <c r="IH101"/>
  <c r="II101"/>
  <c r="IJ101"/>
  <c r="IK101"/>
  <c r="IL101"/>
  <c r="IM101"/>
  <c r="IN101"/>
  <c r="IO101"/>
  <c r="IP101"/>
  <c r="IQ101"/>
  <c r="IR101"/>
  <c r="IS101"/>
  <c r="IT101"/>
  <c r="IU101"/>
  <c r="IV101"/>
  <c r="A100"/>
  <c r="B100"/>
  <c r="C100"/>
  <c r="D100"/>
  <c r="E100"/>
  <c r="F100"/>
  <c r="G100"/>
  <c r="H100"/>
  <c r="I100"/>
  <c r="J100"/>
  <c r="K100"/>
  <c r="L100"/>
  <c r="M100"/>
  <c r="N100"/>
  <c r="O100"/>
  <c r="P100"/>
  <c r="Q100"/>
  <c r="R100"/>
  <c r="S100"/>
  <c r="T100"/>
  <c r="U100"/>
  <c r="V100"/>
  <c r="W100"/>
  <c r="X100"/>
  <c r="Y100"/>
  <c r="Z100"/>
  <c r="AA100"/>
  <c r="AB100"/>
  <c r="AC100"/>
  <c r="AD100"/>
  <c r="AE100"/>
  <c r="AF100"/>
  <c r="AG100"/>
  <c r="AH100"/>
  <c r="AI100"/>
  <c r="AJ100"/>
  <c r="AK100"/>
  <c r="AL100"/>
  <c r="AM100"/>
  <c r="AN100"/>
  <c r="AO100"/>
  <c r="AP100"/>
  <c r="AQ100"/>
  <c r="AR100"/>
  <c r="AS100"/>
  <c r="AT100"/>
  <c r="AU100"/>
  <c r="AV100"/>
  <c r="AW100"/>
  <c r="AX100"/>
  <c r="AY100"/>
  <c r="AZ100"/>
  <c r="BA100"/>
  <c r="BB100"/>
  <c r="BC100"/>
  <c r="BD100"/>
  <c r="BE100"/>
  <c r="BF100"/>
  <c r="BG100"/>
  <c r="BH100"/>
  <c r="BI100"/>
  <c r="BJ100"/>
  <c r="BK100"/>
  <c r="BL100"/>
  <c r="BM100"/>
  <c r="BN100"/>
  <c r="BO100"/>
  <c r="BP100"/>
  <c r="BQ100"/>
  <c r="BR100"/>
  <c r="BS100"/>
  <c r="BT100"/>
  <c r="BU100"/>
  <c r="BV100"/>
  <c r="BW100"/>
  <c r="BX100"/>
  <c r="BY100"/>
  <c r="BZ100"/>
  <c r="CA100"/>
  <c r="CB100"/>
  <c r="CC100"/>
  <c r="CD100"/>
  <c r="CE100"/>
  <c r="CF100"/>
  <c r="CG100"/>
  <c r="CH100"/>
  <c r="CI100"/>
  <c r="CJ100"/>
  <c r="CK100"/>
  <c r="CL100"/>
  <c r="CM100"/>
  <c r="CN100"/>
  <c r="CO100"/>
  <c r="CP100"/>
  <c r="CQ100"/>
  <c r="CR100"/>
  <c r="CS100"/>
  <c r="CT100"/>
  <c r="CU100"/>
  <c r="CV100"/>
  <c r="CW100"/>
  <c r="CX100"/>
  <c r="CY100"/>
  <c r="CZ100"/>
  <c r="DA100"/>
  <c r="DB100"/>
  <c r="DC100"/>
  <c r="DD100"/>
  <c r="DE100"/>
  <c r="DF100"/>
  <c r="DG100"/>
  <c r="DH100"/>
  <c r="DI100"/>
  <c r="DJ100"/>
  <c r="DK100"/>
  <c r="DL100"/>
  <c r="DM100"/>
  <c r="DN100"/>
  <c r="DO100"/>
  <c r="DP100"/>
  <c r="DQ100"/>
  <c r="DR100"/>
  <c r="DS100"/>
  <c r="DT100"/>
  <c r="DU100"/>
  <c r="DV100"/>
  <c r="DW100"/>
  <c r="DX100"/>
  <c r="DY100"/>
  <c r="DZ100"/>
  <c r="EA100"/>
  <c r="EB100"/>
  <c r="EC100"/>
  <c r="ED100"/>
  <c r="EE100"/>
  <c r="EF100"/>
  <c r="EG100"/>
  <c r="EH100"/>
  <c r="EI100"/>
  <c r="EJ100"/>
  <c r="EK100"/>
  <c r="EL100"/>
  <c r="EM100"/>
  <c r="EN100"/>
  <c r="EO100"/>
  <c r="EP100"/>
  <c r="EQ100"/>
  <c r="ER100"/>
  <c r="ES100"/>
  <c r="ET100"/>
  <c r="EU100"/>
  <c r="EV100"/>
  <c r="EW100"/>
  <c r="EX100"/>
  <c r="EY100"/>
  <c r="EZ100"/>
  <c r="FA100"/>
  <c r="FB100"/>
  <c r="FC100"/>
  <c r="FD100"/>
  <c r="FE100"/>
  <c r="FF100"/>
  <c r="FG100"/>
  <c r="FH100"/>
  <c r="FI100"/>
  <c r="FJ100"/>
  <c r="FK100"/>
  <c r="FL100"/>
  <c r="FM100"/>
  <c r="FN100"/>
  <c r="FO100"/>
  <c r="FP100"/>
  <c r="FQ100"/>
  <c r="FR100"/>
  <c r="FS100"/>
  <c r="FT100"/>
  <c r="FU100"/>
  <c r="FV100"/>
  <c r="FW100"/>
  <c r="FX100"/>
  <c r="FY100"/>
  <c r="FZ100"/>
  <c r="GA100"/>
  <c r="GB100"/>
  <c r="GC100"/>
  <c r="GD100"/>
  <c r="GE100"/>
  <c r="GF100"/>
  <c r="GG100"/>
  <c r="GH100"/>
  <c r="GI100"/>
  <c r="GJ100"/>
  <c r="GK100"/>
  <c r="GL100"/>
  <c r="GM100"/>
  <c r="GN100"/>
  <c r="GO100"/>
  <c r="GP100"/>
  <c r="GQ100"/>
  <c r="GR100"/>
  <c r="GS100"/>
  <c r="GT100"/>
  <c r="GU100"/>
  <c r="GV100"/>
  <c r="GW100"/>
  <c r="GX100"/>
  <c r="GY100"/>
  <c r="GZ100"/>
  <c r="HA100"/>
  <c r="HB100"/>
  <c r="HC100"/>
  <c r="HD100"/>
  <c r="HE100"/>
  <c r="HF100"/>
  <c r="HG100"/>
  <c r="HH100"/>
  <c r="HI100"/>
  <c r="HJ100"/>
  <c r="HK100"/>
  <c r="HL100"/>
  <c r="HM100"/>
  <c r="HN100"/>
  <c r="HO100"/>
  <c r="HP100"/>
  <c r="HQ100"/>
  <c r="HR100"/>
  <c r="HS100"/>
  <c r="HT100"/>
  <c r="HU100"/>
  <c r="HV100"/>
  <c r="HW100"/>
  <c r="HX100"/>
  <c r="HY100"/>
  <c r="HZ100"/>
  <c r="IA100"/>
  <c r="IB100"/>
  <c r="IC100"/>
  <c r="ID100"/>
  <c r="IE100"/>
  <c r="IF100"/>
  <c r="IG100"/>
  <c r="IH100"/>
  <c r="II100"/>
  <c r="IJ100"/>
  <c r="IK100"/>
  <c r="IL100"/>
  <c r="IM100"/>
  <c r="IN100"/>
  <c r="IO100"/>
  <c r="IP100"/>
  <c r="IQ100"/>
  <c r="IR100"/>
  <c r="IS100"/>
  <c r="IT100"/>
  <c r="IU100"/>
  <c r="IV100"/>
  <c r="A99"/>
  <c r="B99"/>
  <c r="C99"/>
  <c r="D99"/>
  <c r="E99"/>
  <c r="F99"/>
  <c r="G99"/>
  <c r="H99"/>
  <c r="I99"/>
  <c r="J99"/>
  <c r="K99"/>
  <c r="L99"/>
  <c r="M99"/>
  <c r="N99"/>
  <c r="O99"/>
  <c r="P99"/>
  <c r="Q99"/>
  <c r="R99"/>
  <c r="S99"/>
  <c r="T99"/>
  <c r="U99"/>
  <c r="V99"/>
  <c r="W99"/>
  <c r="X99"/>
  <c r="Y99"/>
  <c r="Z99"/>
  <c r="AA99"/>
  <c r="AB99"/>
  <c r="AC99"/>
  <c r="AD99"/>
  <c r="AE99"/>
  <c r="AF99"/>
  <c r="AG99"/>
  <c r="AH99"/>
  <c r="AI99"/>
  <c r="AJ99"/>
  <c r="AK99"/>
  <c r="AL99"/>
  <c r="AM99"/>
  <c r="AN99"/>
  <c r="AO99"/>
  <c r="AP99"/>
  <c r="AQ99"/>
  <c r="AR99"/>
  <c r="AS99"/>
  <c r="AT99"/>
  <c r="AU99"/>
  <c r="AV99"/>
  <c r="AW99"/>
  <c r="AX99"/>
  <c r="AY99"/>
  <c r="AZ99"/>
  <c r="BA99"/>
  <c r="BB99"/>
  <c r="BC99"/>
  <c r="BD99"/>
  <c r="BE99"/>
  <c r="BF99"/>
  <c r="BG99"/>
  <c r="BH99"/>
  <c r="BI99"/>
  <c r="BJ99"/>
  <c r="BK99"/>
  <c r="BL99"/>
  <c r="BM99"/>
  <c r="BN99"/>
  <c r="BO99"/>
  <c r="BP99"/>
  <c r="BQ99"/>
  <c r="BR99"/>
  <c r="BS99"/>
  <c r="BT99"/>
  <c r="BU99"/>
  <c r="BV99"/>
  <c r="BW99"/>
  <c r="BX99"/>
  <c r="BY99"/>
  <c r="BZ99"/>
  <c r="CA99"/>
  <c r="CB99"/>
  <c r="CC99"/>
  <c r="CD99"/>
  <c r="CE99"/>
  <c r="CF99"/>
  <c r="CG99"/>
  <c r="CH99"/>
  <c r="CI99"/>
  <c r="CJ99"/>
  <c r="CK99"/>
  <c r="CL99"/>
  <c r="CM99"/>
  <c r="CN99"/>
  <c r="CO99"/>
  <c r="CP99"/>
  <c r="CQ99"/>
  <c r="CR99"/>
  <c r="CS99"/>
  <c r="CT99"/>
  <c r="CU99"/>
  <c r="CV99"/>
  <c r="CW99"/>
  <c r="CX99"/>
  <c r="CY99"/>
  <c r="CZ99"/>
  <c r="DA99"/>
  <c r="DB99"/>
  <c r="DC99"/>
  <c r="DD99"/>
  <c r="DE99"/>
  <c r="DF99"/>
  <c r="DG99"/>
  <c r="DH99"/>
  <c r="DI99"/>
  <c r="DJ99"/>
  <c r="DK99"/>
  <c r="DL99"/>
  <c r="DM99"/>
  <c r="DN99"/>
  <c r="DO99"/>
  <c r="DP99"/>
  <c r="DQ99"/>
  <c r="DR99"/>
  <c r="DS99"/>
  <c r="DT99"/>
  <c r="DU99"/>
  <c r="DV99"/>
  <c r="DW99"/>
  <c r="DX99"/>
  <c r="DY99"/>
  <c r="DZ99"/>
  <c r="EA99"/>
  <c r="EB99"/>
  <c r="EC99"/>
  <c r="ED99"/>
  <c r="EE99"/>
  <c r="EF99"/>
  <c r="EG99"/>
  <c r="EH99"/>
  <c r="EI99"/>
  <c r="EJ99"/>
  <c r="EK99"/>
  <c r="EL99"/>
  <c r="EM99"/>
  <c r="EN99"/>
  <c r="EO99"/>
  <c r="EP99"/>
  <c r="EQ99"/>
  <c r="ER99"/>
  <c r="ES99"/>
  <c r="ET99"/>
  <c r="EU99"/>
  <c r="EV99"/>
  <c r="EW99"/>
  <c r="EX99"/>
  <c r="EY99"/>
  <c r="EZ99"/>
  <c r="FA99"/>
  <c r="FB99"/>
  <c r="FC99"/>
  <c r="FD99"/>
  <c r="FE99"/>
  <c r="FF99"/>
  <c r="FG99"/>
  <c r="FH99"/>
  <c r="FI99"/>
  <c r="FJ99"/>
  <c r="FK99"/>
  <c r="FL99"/>
  <c r="FM99"/>
  <c r="FN99"/>
  <c r="FO99"/>
  <c r="FP99"/>
  <c r="FQ99"/>
  <c r="FR99"/>
  <c r="FS99"/>
  <c r="FT99"/>
  <c r="FU99"/>
  <c r="FV99"/>
  <c r="FW99"/>
  <c r="FX99"/>
  <c r="FY99"/>
  <c r="FZ99"/>
  <c r="GA99"/>
  <c r="GB99"/>
  <c r="GC99"/>
  <c r="GD99"/>
  <c r="GE99"/>
  <c r="GF99"/>
  <c r="GG99"/>
  <c r="GH99"/>
  <c r="GI99"/>
  <c r="GJ99"/>
  <c r="GK99"/>
  <c r="GL99"/>
  <c r="GM99"/>
  <c r="GN99"/>
  <c r="GO99"/>
  <c r="GP99"/>
  <c r="GQ99"/>
  <c r="GR99"/>
  <c r="GS99"/>
  <c r="GT99"/>
  <c r="GU99"/>
  <c r="GV99"/>
  <c r="GW99"/>
  <c r="GX99"/>
  <c r="GY99"/>
  <c r="GZ99"/>
  <c r="HA99"/>
  <c r="HB99"/>
  <c r="HC99"/>
  <c r="HD99"/>
  <c r="HE99"/>
  <c r="HF99"/>
  <c r="HG99"/>
  <c r="HH99"/>
  <c r="HI99"/>
  <c r="HJ99"/>
  <c r="HK99"/>
  <c r="HL99"/>
  <c r="HM99"/>
  <c r="HN99"/>
  <c r="HO99"/>
  <c r="HP99"/>
  <c r="HQ99"/>
  <c r="HR99"/>
  <c r="HS99"/>
  <c r="HT99"/>
  <c r="HU99"/>
  <c r="HV99"/>
  <c r="HW99"/>
  <c r="HX99"/>
  <c r="HY99"/>
  <c r="HZ99"/>
  <c r="IA99"/>
  <c r="IB99"/>
  <c r="IC99"/>
  <c r="ID99"/>
  <c r="IE99"/>
  <c r="IF99"/>
  <c r="IG99"/>
  <c r="IH99"/>
  <c r="II99"/>
  <c r="IJ99"/>
  <c r="IK99"/>
  <c r="IL99"/>
  <c r="IM99"/>
  <c r="IN99"/>
  <c r="IO99"/>
  <c r="IP99"/>
  <c r="IQ99"/>
  <c r="IR99"/>
  <c r="IS99"/>
  <c r="IT99"/>
  <c r="IU99"/>
  <c r="IV99"/>
  <c r="A98"/>
  <c r="B98"/>
  <c r="C98"/>
  <c r="D98"/>
  <c r="E98"/>
  <c r="F98"/>
  <c r="G98"/>
  <c r="H98"/>
  <c r="I98"/>
  <c r="J98"/>
  <c r="K98"/>
  <c r="L98"/>
  <c r="M98"/>
  <c r="N98"/>
  <c r="O98"/>
  <c r="P98"/>
  <c r="Q98"/>
  <c r="R98"/>
  <c r="S98"/>
  <c r="T98"/>
  <c r="U98"/>
  <c r="V98"/>
  <c r="W98"/>
  <c r="X98"/>
  <c r="Y98"/>
  <c r="Z98"/>
  <c r="AA98"/>
  <c r="AB98"/>
  <c r="AC98"/>
  <c r="AD98"/>
  <c r="AE98"/>
  <c r="AF98"/>
  <c r="AG98"/>
  <c r="AH98"/>
  <c r="AI98"/>
  <c r="AJ98"/>
  <c r="AK98"/>
  <c r="AL98"/>
  <c r="AM98"/>
  <c r="AN98"/>
  <c r="AO98"/>
  <c r="AP98"/>
  <c r="AQ98"/>
  <c r="AR98"/>
  <c r="AS98"/>
  <c r="AT98"/>
  <c r="AU98"/>
  <c r="AV98"/>
  <c r="AW98"/>
  <c r="AX98"/>
  <c r="AY98"/>
  <c r="AZ98"/>
  <c r="BA98"/>
  <c r="BB98"/>
  <c r="BC98"/>
  <c r="BD98"/>
  <c r="BE98"/>
  <c r="BF98"/>
  <c r="BG98"/>
  <c r="BH98"/>
  <c r="BI98"/>
  <c r="BJ98"/>
  <c r="BK98"/>
  <c r="BL98"/>
  <c r="BM98"/>
  <c r="BN98"/>
  <c r="BO98"/>
  <c r="BP98"/>
  <c r="BQ98"/>
  <c r="BR98"/>
  <c r="BS98"/>
  <c r="BT98"/>
  <c r="BU98"/>
  <c r="BV98"/>
  <c r="BW98"/>
  <c r="BX98"/>
  <c r="BY98"/>
  <c r="BZ98"/>
  <c r="CA98"/>
  <c r="CB98"/>
  <c r="CC98"/>
  <c r="CD98"/>
  <c r="CE98"/>
  <c r="CF98"/>
  <c r="CG98"/>
  <c r="CH98"/>
  <c r="CI98"/>
  <c r="CJ98"/>
  <c r="CK98"/>
  <c r="CL98"/>
  <c r="CM98"/>
  <c r="CN98"/>
  <c r="CO98"/>
  <c r="CP98"/>
  <c r="CQ98"/>
  <c r="CR98"/>
  <c r="CS98"/>
  <c r="CT98"/>
  <c r="CU98"/>
  <c r="CV98"/>
  <c r="CW98"/>
  <c r="CX98"/>
  <c r="CY98"/>
  <c r="CZ98"/>
  <c r="DA98"/>
  <c r="DB98"/>
  <c r="DC98"/>
  <c r="DD98"/>
  <c r="DE98"/>
  <c r="DF98"/>
  <c r="DG98"/>
  <c r="DH98"/>
  <c r="DI98"/>
  <c r="DJ98"/>
  <c r="DK98"/>
  <c r="DL98"/>
  <c r="DM98"/>
  <c r="DN98"/>
  <c r="DO98"/>
  <c r="DP98"/>
  <c r="DQ98"/>
  <c r="DR98"/>
  <c r="DS98"/>
  <c r="DT98"/>
  <c r="DU98"/>
  <c r="DV98"/>
  <c r="DW98"/>
  <c r="DX98"/>
  <c r="DY98"/>
  <c r="DZ98"/>
  <c r="EA98"/>
  <c r="EB98"/>
  <c r="EC98"/>
  <c r="ED98"/>
  <c r="EE98"/>
  <c r="EF98"/>
  <c r="EG98"/>
  <c r="EH98"/>
  <c r="EI98"/>
  <c r="EJ98"/>
  <c r="EK98"/>
  <c r="EL98"/>
  <c r="EM98"/>
  <c r="EN98"/>
  <c r="EO98"/>
  <c r="EP98"/>
  <c r="EQ98"/>
  <c r="ER98"/>
  <c r="ES98"/>
  <c r="ET98"/>
  <c r="EU98"/>
  <c r="EV98"/>
  <c r="EW98"/>
  <c r="EX98"/>
  <c r="EY98"/>
  <c r="EZ98"/>
  <c r="FA98"/>
  <c r="FB98"/>
  <c r="FC98"/>
  <c r="FD98"/>
  <c r="FE98"/>
  <c r="FF98"/>
  <c r="FG98"/>
  <c r="FH98"/>
  <c r="FI98"/>
  <c r="FJ98"/>
  <c r="FK98"/>
  <c r="FL98"/>
  <c r="FM98"/>
  <c r="FN98"/>
  <c r="FO98"/>
  <c r="FP98"/>
  <c r="FQ98"/>
  <c r="FR98"/>
  <c r="FS98"/>
  <c r="FT98"/>
  <c r="FU98"/>
  <c r="FV98"/>
  <c r="FW98"/>
  <c r="FX98"/>
  <c r="FY98"/>
  <c r="FZ98"/>
  <c r="GA98"/>
  <c r="GB98"/>
  <c r="GC98"/>
  <c r="GD98"/>
  <c r="GE98"/>
  <c r="GF98"/>
  <c r="GG98"/>
  <c r="GH98"/>
  <c r="GI98"/>
  <c r="GJ98"/>
  <c r="GK98"/>
  <c r="GL98"/>
  <c r="GM98"/>
  <c r="GN98"/>
  <c r="GO98"/>
  <c r="GP98"/>
  <c r="GQ98"/>
  <c r="GR98"/>
  <c r="GS98"/>
  <c r="GT98"/>
  <c r="GU98"/>
  <c r="GV98"/>
  <c r="GW98"/>
  <c r="GX98"/>
  <c r="GY98"/>
  <c r="GZ98"/>
  <c r="HA98"/>
  <c r="HB98"/>
  <c r="HC98"/>
  <c r="HD98"/>
  <c r="HE98"/>
  <c r="HF98"/>
  <c r="HG98"/>
  <c r="HH98"/>
  <c r="HI98"/>
  <c r="HJ98"/>
  <c r="HK98"/>
  <c r="HL98"/>
  <c r="HM98"/>
  <c r="HN98"/>
  <c r="HO98"/>
  <c r="HP98"/>
  <c r="HQ98"/>
  <c r="HR98"/>
  <c r="HS98"/>
  <c r="HT98"/>
  <c r="HU98"/>
  <c r="HV98"/>
  <c r="HW98"/>
  <c r="HX98"/>
  <c r="HY98"/>
  <c r="HZ98"/>
  <c r="IA98"/>
  <c r="IB98"/>
  <c r="IC98"/>
  <c r="ID98"/>
  <c r="IE98"/>
  <c r="IF98"/>
  <c r="IG98"/>
  <c r="IH98"/>
  <c r="II98"/>
  <c r="IJ98"/>
  <c r="IK98"/>
  <c r="IL98"/>
  <c r="IM98"/>
  <c r="IN98"/>
  <c r="IO98"/>
  <c r="IP98"/>
  <c r="IQ98"/>
  <c r="IR98"/>
  <c r="IS98"/>
  <c r="IT98"/>
  <c r="IU98"/>
  <c r="IV98"/>
  <c r="A97"/>
  <c r="B97"/>
  <c r="C97"/>
  <c r="D97"/>
  <c r="E97"/>
  <c r="F97"/>
  <c r="G97"/>
  <c r="H97"/>
  <c r="I97"/>
  <c r="J97"/>
  <c r="K97"/>
  <c r="L97"/>
  <c r="M97"/>
  <c r="N97"/>
  <c r="O97"/>
  <c r="P97"/>
  <c r="Q97"/>
  <c r="R97"/>
  <c r="S97"/>
  <c r="T97"/>
  <c r="U97"/>
  <c r="V97"/>
  <c r="W97"/>
  <c r="X97"/>
  <c r="Y97"/>
  <c r="Z97"/>
  <c r="AA97"/>
  <c r="AB97"/>
  <c r="AC97"/>
  <c r="AD97"/>
  <c r="AE97"/>
  <c r="AF97"/>
  <c r="AG97"/>
  <c r="AH97"/>
  <c r="AI97"/>
  <c r="AJ97"/>
  <c r="AK97"/>
  <c r="AL97"/>
  <c r="AM97"/>
  <c r="AN97"/>
  <c r="AO97"/>
  <c r="AP97"/>
  <c r="AQ97"/>
  <c r="AR97"/>
  <c r="AS97"/>
  <c r="AT97"/>
  <c r="AU97"/>
  <c r="AV97"/>
  <c r="AW97"/>
  <c r="AX97"/>
  <c r="AY97"/>
  <c r="AZ97"/>
  <c r="BA97"/>
  <c r="BB97"/>
  <c r="BC97"/>
  <c r="BD97"/>
  <c r="BE97"/>
  <c r="BF97"/>
  <c r="BG97"/>
  <c r="BH97"/>
  <c r="BI97"/>
  <c r="BJ97"/>
  <c r="BK97"/>
  <c r="BL97"/>
  <c r="BM97"/>
  <c r="BN97"/>
  <c r="BO97"/>
  <c r="BP97"/>
  <c r="BQ97"/>
  <c r="BR97"/>
  <c r="BS97"/>
  <c r="BT97"/>
  <c r="BU97"/>
  <c r="BV97"/>
  <c r="BW97"/>
  <c r="BX97"/>
  <c r="BY97"/>
  <c r="BZ97"/>
  <c r="CA97"/>
  <c r="CB97"/>
  <c r="CC97"/>
  <c r="CD97"/>
  <c r="CE97"/>
  <c r="CF97"/>
  <c r="CG97"/>
  <c r="CH97"/>
  <c r="CI97"/>
  <c r="CJ97"/>
  <c r="CK97"/>
  <c r="CL97"/>
  <c r="CM97"/>
  <c r="CN97"/>
  <c r="CO97"/>
  <c r="CP97"/>
  <c r="CQ97"/>
  <c r="CR97"/>
  <c r="CS97"/>
  <c r="CT97"/>
  <c r="CU97"/>
  <c r="CV97"/>
  <c r="CW97"/>
  <c r="CX97"/>
  <c r="CY97"/>
  <c r="CZ97"/>
  <c r="DA97"/>
  <c r="DB97"/>
  <c r="DC97"/>
  <c r="DD97"/>
  <c r="DE97"/>
  <c r="DF97"/>
  <c r="DG97"/>
  <c r="DH97"/>
  <c r="DI97"/>
  <c r="DJ97"/>
  <c r="DK97"/>
  <c r="DL97"/>
  <c r="DM97"/>
  <c r="DN97"/>
  <c r="DO97"/>
  <c r="DP97"/>
  <c r="DQ97"/>
  <c r="DR97"/>
  <c r="DS97"/>
  <c r="DT97"/>
  <c r="DU97"/>
  <c r="DV97"/>
  <c r="DW97"/>
  <c r="DX97"/>
  <c r="DY97"/>
  <c r="DZ97"/>
  <c r="EA97"/>
  <c r="EB97"/>
  <c r="EC97"/>
  <c r="ED97"/>
  <c r="EE97"/>
  <c r="EF97"/>
  <c r="EG97"/>
  <c r="EH97"/>
  <c r="EI97"/>
  <c r="EJ97"/>
  <c r="EK97"/>
  <c r="EL97"/>
  <c r="EM97"/>
  <c r="EN97"/>
  <c r="EO97"/>
  <c r="EP97"/>
  <c r="EQ97"/>
  <c r="ER97"/>
  <c r="ES97"/>
  <c r="ET97"/>
  <c r="EU97"/>
  <c r="EV97"/>
  <c r="EW97"/>
  <c r="EX97"/>
  <c r="EY97"/>
  <c r="EZ97"/>
  <c r="FA97"/>
  <c r="FB97"/>
  <c r="FC97"/>
  <c r="FD97"/>
  <c r="FE97"/>
  <c r="FF97"/>
  <c r="FG97"/>
  <c r="FH97"/>
  <c r="FI97"/>
  <c r="FJ97"/>
  <c r="FK97"/>
  <c r="FL97"/>
  <c r="FM97"/>
  <c r="FN97"/>
  <c r="FO97"/>
  <c r="FP97"/>
  <c r="FQ97"/>
  <c r="FR97"/>
  <c r="FS97"/>
  <c r="FT97"/>
  <c r="FU97"/>
  <c r="FV97"/>
  <c r="FW97"/>
  <c r="FX97"/>
  <c r="FY97"/>
  <c r="FZ97"/>
  <c r="GA97"/>
  <c r="GB97"/>
  <c r="GC97"/>
  <c r="GD97"/>
  <c r="GE97"/>
  <c r="GF97"/>
  <c r="GG97"/>
  <c r="GH97"/>
  <c r="GI97"/>
  <c r="GJ97"/>
  <c r="GK97"/>
  <c r="GL97"/>
  <c r="GM97"/>
  <c r="GN97"/>
  <c r="GO97"/>
  <c r="GP97"/>
  <c r="GQ97"/>
  <c r="GR97"/>
  <c r="GS97"/>
  <c r="GT97"/>
  <c r="GU97"/>
  <c r="GV97"/>
  <c r="GW97"/>
  <c r="GX97"/>
  <c r="GY97"/>
  <c r="GZ97"/>
  <c r="HA97"/>
  <c r="HB97"/>
  <c r="HC97"/>
  <c r="HD97"/>
  <c r="HE97"/>
  <c r="HF97"/>
  <c r="HG97"/>
  <c r="HH97"/>
  <c r="HI97"/>
  <c r="HJ97"/>
  <c r="HK97"/>
  <c r="HL97"/>
  <c r="HM97"/>
  <c r="HN97"/>
  <c r="HO97"/>
  <c r="HP97"/>
  <c r="HQ97"/>
  <c r="HR97"/>
  <c r="HS97"/>
  <c r="HT97"/>
  <c r="HU97"/>
  <c r="HV97"/>
  <c r="HW97"/>
  <c r="HX97"/>
  <c r="HY97"/>
  <c r="HZ97"/>
  <c r="IA97"/>
  <c r="IB97"/>
  <c r="IC97"/>
  <c r="ID97"/>
  <c r="IE97"/>
  <c r="IF97"/>
  <c r="IG97"/>
  <c r="IH97"/>
  <c r="II97"/>
  <c r="IJ97"/>
  <c r="IK97"/>
  <c r="IL97"/>
  <c r="IM97"/>
  <c r="IN97"/>
  <c r="IO97"/>
  <c r="IP97"/>
  <c r="IQ97"/>
  <c r="IR97"/>
  <c r="IS97"/>
  <c r="IT97"/>
  <c r="IU97"/>
  <c r="IV97"/>
  <c r="A96"/>
  <c r="B96"/>
  <c r="C96"/>
  <c r="D96"/>
  <c r="E96"/>
  <c r="F96"/>
  <c r="G96"/>
  <c r="H96"/>
  <c r="I96"/>
  <c r="J96"/>
  <c r="K96"/>
  <c r="L96"/>
  <c r="M96"/>
  <c r="N96"/>
  <c r="O96"/>
  <c r="P96"/>
  <c r="Q96"/>
  <c r="R96"/>
  <c r="S96"/>
  <c r="T96"/>
  <c r="U96"/>
  <c r="V96"/>
  <c r="W96"/>
  <c r="X96"/>
  <c r="Y96"/>
  <c r="Z96"/>
  <c r="AA96"/>
  <c r="AB96"/>
  <c r="AC96"/>
  <c r="AD96"/>
  <c r="AE96"/>
  <c r="AF96"/>
  <c r="AG96"/>
  <c r="AH96"/>
  <c r="AI96"/>
  <c r="AJ96"/>
  <c r="AK96"/>
  <c r="AL96"/>
  <c r="AM96"/>
  <c r="AN96"/>
  <c r="AO96"/>
  <c r="AP96"/>
  <c r="AQ96"/>
  <c r="AR96"/>
  <c r="AS96"/>
  <c r="AT96"/>
  <c r="AU96"/>
  <c r="AV96"/>
  <c r="AW96"/>
  <c r="AX96"/>
  <c r="AY96"/>
  <c r="AZ96"/>
  <c r="BA96"/>
  <c r="BB96"/>
  <c r="BC96"/>
  <c r="BD96"/>
  <c r="BE96"/>
  <c r="BF96"/>
  <c r="BG96"/>
  <c r="BH96"/>
  <c r="BI96"/>
  <c r="BJ96"/>
  <c r="BK96"/>
  <c r="BL96"/>
  <c r="BM96"/>
  <c r="BN96"/>
  <c r="BO96"/>
  <c r="BP96"/>
  <c r="BQ96"/>
  <c r="BR96"/>
  <c r="BS96"/>
  <c r="BT96"/>
  <c r="BU96"/>
  <c r="BV96"/>
  <c r="BW96"/>
  <c r="BX96"/>
  <c r="BY96"/>
  <c r="BZ96"/>
  <c r="CA96"/>
  <c r="CB96"/>
  <c r="CC96"/>
  <c r="CD96"/>
  <c r="CE96"/>
  <c r="CF96"/>
  <c r="CG96"/>
  <c r="CH96"/>
  <c r="CI96"/>
  <c r="CJ96"/>
  <c r="CK96"/>
  <c r="CL96"/>
  <c r="CM96"/>
  <c r="CN96"/>
  <c r="CO96"/>
  <c r="CP96"/>
  <c r="CQ96"/>
  <c r="CR96"/>
  <c r="CS96"/>
  <c r="CT96"/>
  <c r="CU96"/>
  <c r="CV96"/>
  <c r="CW96"/>
  <c r="CX96"/>
  <c r="CY96"/>
  <c r="CZ96"/>
  <c r="DA96"/>
  <c r="DB96"/>
  <c r="DC96"/>
  <c r="DD96"/>
  <c r="DE96"/>
  <c r="DF96"/>
  <c r="DG96"/>
  <c r="DH96"/>
  <c r="DI96"/>
  <c r="DJ96"/>
  <c r="DK96"/>
  <c r="DL96"/>
  <c r="DM96"/>
  <c r="DN96"/>
  <c r="DO96"/>
  <c r="DP96"/>
  <c r="DQ96"/>
  <c r="DR96"/>
  <c r="DS96"/>
  <c r="DT96"/>
  <c r="DU96"/>
  <c r="DV96"/>
  <c r="DW96"/>
  <c r="DX96"/>
  <c r="DY96"/>
  <c r="DZ96"/>
  <c r="EA96"/>
  <c r="EB96"/>
  <c r="EC96"/>
  <c r="ED96"/>
  <c r="EE96"/>
  <c r="EF96"/>
  <c r="EG96"/>
  <c r="EH96"/>
  <c r="EI96"/>
  <c r="EJ96"/>
  <c r="EK96"/>
  <c r="EL96"/>
  <c r="EM96"/>
  <c r="EN96"/>
  <c r="EO96"/>
  <c r="EP96"/>
  <c r="EQ96"/>
  <c r="ER96"/>
  <c r="ES96"/>
  <c r="ET96"/>
  <c r="EU96"/>
  <c r="EV96"/>
  <c r="EW96"/>
  <c r="EX96"/>
  <c r="EY96"/>
  <c r="EZ96"/>
  <c r="FA96"/>
  <c r="FB96"/>
  <c r="FC96"/>
  <c r="FD96"/>
  <c r="FE96"/>
  <c r="FF96"/>
  <c r="FG96"/>
  <c r="FH96"/>
  <c r="FI96"/>
  <c r="FJ96"/>
  <c r="FK96"/>
  <c r="FL96"/>
  <c r="FM96"/>
  <c r="FN96"/>
  <c r="FO96"/>
  <c r="FP96"/>
  <c r="FQ96"/>
  <c r="FR96"/>
  <c r="FS96"/>
  <c r="FT96"/>
  <c r="FU96"/>
  <c r="FV96"/>
  <c r="FW96"/>
  <c r="FX96"/>
  <c r="FY96"/>
  <c r="FZ96"/>
  <c r="GA96"/>
  <c r="GB96"/>
  <c r="GC96"/>
  <c r="GD96"/>
  <c r="GE96"/>
  <c r="GF96"/>
  <c r="GG96"/>
  <c r="GH96"/>
  <c r="GI96"/>
  <c r="GJ96"/>
  <c r="GK96"/>
  <c r="GL96"/>
  <c r="GM96"/>
  <c r="GN96"/>
  <c r="GO96"/>
  <c r="GP96"/>
  <c r="GQ96"/>
  <c r="GR96"/>
  <c r="GS96"/>
  <c r="GT96"/>
  <c r="GU96"/>
  <c r="GV96"/>
  <c r="GW96"/>
  <c r="GX96"/>
  <c r="GY96"/>
  <c r="GZ96"/>
  <c r="HA96"/>
  <c r="HB96"/>
  <c r="HC96"/>
  <c r="HD96"/>
  <c r="HE96"/>
  <c r="HF96"/>
  <c r="HG96"/>
  <c r="HH96"/>
  <c r="HI96"/>
  <c r="HJ96"/>
  <c r="HK96"/>
  <c r="HL96"/>
  <c r="HM96"/>
  <c r="HN96"/>
  <c r="HO96"/>
  <c r="HP96"/>
  <c r="HQ96"/>
  <c r="HR96"/>
  <c r="HS96"/>
  <c r="HT96"/>
  <c r="HU96"/>
  <c r="HV96"/>
  <c r="HW96"/>
  <c r="HX96"/>
  <c r="HY96"/>
  <c r="HZ96"/>
  <c r="IA96"/>
  <c r="IB96"/>
  <c r="IC96"/>
  <c r="ID96"/>
  <c r="IE96"/>
  <c r="IF96"/>
  <c r="IG96"/>
  <c r="IH96"/>
  <c r="II96"/>
  <c r="IJ96"/>
  <c r="IK96"/>
  <c r="IL96"/>
  <c r="IM96"/>
  <c r="IN96"/>
  <c r="IO96"/>
  <c r="IP96"/>
  <c r="IQ96"/>
  <c r="IR96"/>
  <c r="IS96"/>
  <c r="IT96"/>
  <c r="IU96"/>
  <c r="IV96"/>
  <c r="A95"/>
  <c r="B95"/>
  <c r="C95"/>
  <c r="D95"/>
  <c r="E95"/>
  <c r="F95"/>
  <c r="G95"/>
  <c r="H95"/>
  <c r="I95"/>
  <c r="J95"/>
  <c r="K95"/>
  <c r="L95"/>
  <c r="M95"/>
  <c r="N95"/>
  <c r="O95"/>
  <c r="P95"/>
  <c r="Q95"/>
  <c r="R95"/>
  <c r="S95"/>
  <c r="T95"/>
  <c r="U95"/>
  <c r="V95"/>
  <c r="W95"/>
  <c r="X95"/>
  <c r="Y95"/>
  <c r="Z95"/>
  <c r="AA95"/>
  <c r="AB95"/>
  <c r="AC95"/>
  <c r="AD95"/>
  <c r="AE95"/>
  <c r="AF95"/>
  <c r="AG95"/>
  <c r="AH95"/>
  <c r="AI95"/>
  <c r="AJ95"/>
  <c r="AK95"/>
  <c r="AL95"/>
  <c r="AM95"/>
  <c r="AN95"/>
  <c r="AO95"/>
  <c r="AP95"/>
  <c r="AQ95"/>
  <c r="AR95"/>
  <c r="AS95"/>
  <c r="AT95"/>
  <c r="AU95"/>
  <c r="AV95"/>
  <c r="AW95"/>
  <c r="AX95"/>
  <c r="AY95"/>
  <c r="AZ95"/>
  <c r="BA95"/>
  <c r="BB95"/>
  <c r="BC95"/>
  <c r="BD95"/>
  <c r="BE95"/>
  <c r="BF95"/>
  <c r="BG95"/>
  <c r="BH95"/>
  <c r="BI95"/>
  <c r="BJ95"/>
  <c r="BK95"/>
  <c r="BL95"/>
  <c r="BM95"/>
  <c r="BN95"/>
  <c r="BO95"/>
  <c r="BP95"/>
  <c r="BQ95"/>
  <c r="BR95"/>
  <c r="BS95"/>
  <c r="BT95"/>
  <c r="BU95"/>
  <c r="BV95"/>
  <c r="BW95"/>
  <c r="BX95"/>
  <c r="BY95"/>
  <c r="BZ95"/>
  <c r="CA95"/>
  <c r="CB95"/>
  <c r="CC95"/>
  <c r="CD95"/>
  <c r="CE95"/>
  <c r="CF95"/>
  <c r="CG95"/>
  <c r="CH95"/>
  <c r="CI95"/>
  <c r="CJ95"/>
  <c r="CK95"/>
  <c r="CL95"/>
  <c r="CM95"/>
  <c r="CN95"/>
  <c r="CO95"/>
  <c r="CP95"/>
  <c r="CQ95"/>
  <c r="CR95"/>
  <c r="CS95"/>
  <c r="CT95"/>
  <c r="CU95"/>
  <c r="CV95"/>
  <c r="CW95"/>
  <c r="CX95"/>
  <c r="CY95"/>
  <c r="CZ95"/>
  <c r="DA95"/>
  <c r="DB95"/>
  <c r="DC95"/>
  <c r="DD95"/>
  <c r="DE95"/>
  <c r="DF95"/>
  <c r="DG95"/>
  <c r="DH95"/>
  <c r="DI95"/>
  <c r="DJ95"/>
  <c r="DK95"/>
  <c r="DL95"/>
  <c r="DM95"/>
  <c r="DN95"/>
  <c r="DO95"/>
  <c r="DP95"/>
  <c r="DQ95"/>
  <c r="DR95"/>
  <c r="DS95"/>
  <c r="DT95"/>
  <c r="DU95"/>
  <c r="DV95"/>
  <c r="DW95"/>
  <c r="DX95"/>
  <c r="DY95"/>
  <c r="DZ95"/>
  <c r="EA95"/>
  <c r="EB95"/>
  <c r="EC95"/>
  <c r="ED95"/>
  <c r="EE95"/>
  <c r="EF95"/>
  <c r="EG95"/>
  <c r="EH95"/>
  <c r="EI95"/>
  <c r="EJ95"/>
  <c r="EK95"/>
  <c r="EL95"/>
  <c r="EM95"/>
  <c r="EN95"/>
  <c r="EO95"/>
  <c r="EP95"/>
  <c r="EQ95"/>
  <c r="ER95"/>
  <c r="ES95"/>
  <c r="ET95"/>
  <c r="EU95"/>
  <c r="EV95"/>
  <c r="EW95"/>
  <c r="EX95"/>
  <c r="EY95"/>
  <c r="EZ95"/>
  <c r="FA95"/>
  <c r="FB95"/>
  <c r="FC95"/>
  <c r="FD95"/>
  <c r="FE95"/>
  <c r="FF95"/>
  <c r="FG95"/>
  <c r="FH95"/>
  <c r="FI95"/>
  <c r="FJ95"/>
  <c r="FK95"/>
  <c r="FL95"/>
  <c r="FM95"/>
  <c r="FN95"/>
  <c r="FO95"/>
  <c r="FP95"/>
  <c r="FQ95"/>
  <c r="FR95"/>
  <c r="FS95"/>
  <c r="FT95"/>
  <c r="FU95"/>
  <c r="FV95"/>
  <c r="FW95"/>
  <c r="FX95"/>
  <c r="FY95"/>
  <c r="FZ95"/>
  <c r="GA95"/>
  <c r="GB95"/>
  <c r="GC95"/>
  <c r="GD95"/>
  <c r="GE95"/>
  <c r="GF95"/>
  <c r="GG95"/>
  <c r="GH95"/>
  <c r="GI95"/>
  <c r="GJ95"/>
  <c r="GK95"/>
  <c r="GL95"/>
  <c r="GM95"/>
  <c r="GN95"/>
  <c r="GO95"/>
  <c r="GP95"/>
  <c r="GQ95"/>
  <c r="GR95"/>
  <c r="GS95"/>
  <c r="GT95"/>
  <c r="GU95"/>
  <c r="GV95"/>
  <c r="GW95"/>
  <c r="GX95"/>
  <c r="GY95"/>
  <c r="GZ95"/>
  <c r="HA95"/>
  <c r="HB95"/>
  <c r="HC95"/>
  <c r="HD95"/>
  <c r="HE95"/>
  <c r="HF95"/>
  <c r="HG95"/>
  <c r="HH95"/>
  <c r="HI95"/>
  <c r="HJ95"/>
  <c r="HK95"/>
  <c r="HL95"/>
  <c r="HM95"/>
  <c r="HN95"/>
  <c r="HO95"/>
  <c r="HP95"/>
  <c r="HQ95"/>
  <c r="HR95"/>
  <c r="HS95"/>
  <c r="HT95"/>
  <c r="HU95"/>
  <c r="HV95"/>
  <c r="HW95"/>
  <c r="HX95"/>
  <c r="HY95"/>
  <c r="HZ95"/>
  <c r="IA95"/>
  <c r="IB95"/>
  <c r="IC95"/>
  <c r="ID95"/>
  <c r="IE95"/>
  <c r="IF95"/>
  <c r="IG95"/>
  <c r="IH95"/>
  <c r="II95"/>
  <c r="IJ95"/>
  <c r="IK95"/>
  <c r="IL95"/>
  <c r="IM95"/>
  <c r="IN95"/>
  <c r="IO95"/>
  <c r="IP95"/>
  <c r="IQ95"/>
  <c r="IR95"/>
  <c r="IS95"/>
  <c r="IT95"/>
  <c r="IU95"/>
  <c r="IV95"/>
  <c r="A94"/>
  <c r="B94"/>
  <c r="C94"/>
  <c r="D94"/>
  <c r="E94"/>
  <c r="F94"/>
  <c r="G94"/>
  <c r="H94"/>
  <c r="I94"/>
  <c r="J94"/>
  <c r="K94"/>
  <c r="L94"/>
  <c r="M94"/>
  <c r="N94"/>
  <c r="O94"/>
  <c r="P94"/>
  <c r="Q94"/>
  <c r="R94"/>
  <c r="S94"/>
  <c r="T94"/>
  <c r="U94"/>
  <c r="V94"/>
  <c r="W94"/>
  <c r="X94"/>
  <c r="Y94"/>
  <c r="Z94"/>
  <c r="AA94"/>
  <c r="AB94"/>
  <c r="AC94"/>
  <c r="AD94"/>
  <c r="AE94"/>
  <c r="AF94"/>
  <c r="AG94"/>
  <c r="AH94"/>
  <c r="AI94"/>
  <c r="AJ94"/>
  <c r="AK94"/>
  <c r="AL94"/>
  <c r="AM94"/>
  <c r="AN94"/>
  <c r="AO94"/>
  <c r="AP94"/>
  <c r="AQ94"/>
  <c r="AR94"/>
  <c r="AS94"/>
  <c r="AT94"/>
  <c r="AU94"/>
  <c r="AV94"/>
  <c r="AW94"/>
  <c r="AX94"/>
  <c r="AY94"/>
  <c r="AZ94"/>
  <c r="BA94"/>
  <c r="BB94"/>
  <c r="BC94"/>
  <c r="BD94"/>
  <c r="BE94"/>
  <c r="BF94"/>
  <c r="BG94"/>
  <c r="BH94"/>
  <c r="BI94"/>
  <c r="BJ94"/>
  <c r="BK94"/>
  <c r="BL94"/>
  <c r="BM94"/>
  <c r="BN94"/>
  <c r="BO94"/>
  <c r="BP94"/>
  <c r="BQ94"/>
  <c r="BR94"/>
  <c r="BS94"/>
  <c r="BT94"/>
  <c r="BU94"/>
  <c r="BV94"/>
  <c r="BW94"/>
  <c r="BX94"/>
  <c r="BY94"/>
  <c r="BZ94"/>
  <c r="CA94"/>
  <c r="CB94"/>
  <c r="CC94"/>
  <c r="CD94"/>
  <c r="CE94"/>
  <c r="CF94"/>
  <c r="CG94"/>
  <c r="CH94"/>
  <c r="CI94"/>
  <c r="CJ94"/>
  <c r="CK94"/>
  <c r="CL94"/>
  <c r="CM94"/>
  <c r="CN94"/>
  <c r="CO94"/>
  <c r="CP94"/>
  <c r="CQ94"/>
  <c r="CR94"/>
  <c r="CS94"/>
  <c r="CT94"/>
  <c r="CU94"/>
  <c r="CV94"/>
  <c r="CW94"/>
  <c r="CX94"/>
  <c r="CY94"/>
  <c r="CZ94"/>
  <c r="DA94"/>
  <c r="DB94"/>
  <c r="DC94"/>
  <c r="DD94"/>
  <c r="DE94"/>
  <c r="DF94"/>
  <c r="DG94"/>
  <c r="DH94"/>
  <c r="DI94"/>
  <c r="DJ94"/>
  <c r="DK94"/>
  <c r="DL94"/>
  <c r="DM94"/>
  <c r="DN94"/>
  <c r="DO94"/>
  <c r="DP94"/>
  <c r="DQ94"/>
  <c r="DR94"/>
  <c r="DS94"/>
  <c r="DT94"/>
  <c r="DU94"/>
  <c r="DV94"/>
  <c r="DW94"/>
  <c r="DX94"/>
  <c r="DY94"/>
  <c r="DZ94"/>
  <c r="EA94"/>
  <c r="EB94"/>
  <c r="EC94"/>
  <c r="ED94"/>
  <c r="EE94"/>
  <c r="EF94"/>
  <c r="EG94"/>
  <c r="EH94"/>
  <c r="EI94"/>
  <c r="EJ94"/>
  <c r="EK94"/>
  <c r="EL94"/>
  <c r="EM94"/>
  <c r="EN94"/>
  <c r="EO94"/>
  <c r="EP94"/>
  <c r="EQ94"/>
  <c r="ER94"/>
  <c r="ES94"/>
  <c r="ET94"/>
  <c r="EU94"/>
  <c r="EV94"/>
  <c r="EW94"/>
  <c r="EX94"/>
  <c r="EY94"/>
  <c r="EZ94"/>
  <c r="FA94"/>
  <c r="FB94"/>
  <c r="FC94"/>
  <c r="FD94"/>
  <c r="FE94"/>
  <c r="FF94"/>
  <c r="FG94"/>
  <c r="FH94"/>
  <c r="FI94"/>
  <c r="FJ94"/>
  <c r="FK94"/>
  <c r="FL94"/>
  <c r="FM94"/>
  <c r="FN94"/>
  <c r="FO94"/>
  <c r="FP94"/>
  <c r="FQ94"/>
  <c r="FR94"/>
  <c r="FS94"/>
  <c r="FT94"/>
  <c r="FU94"/>
  <c r="FV94"/>
  <c r="FW94"/>
  <c r="FX94"/>
  <c r="FY94"/>
  <c r="FZ94"/>
  <c r="GA94"/>
  <c r="GB94"/>
  <c r="GC94"/>
  <c r="GD94"/>
  <c r="GE94"/>
  <c r="GF94"/>
  <c r="GG94"/>
  <c r="GH94"/>
  <c r="GI94"/>
  <c r="GJ94"/>
  <c r="GK94"/>
  <c r="GL94"/>
  <c r="GM94"/>
  <c r="GN94"/>
  <c r="GO94"/>
  <c r="GP94"/>
  <c r="GQ94"/>
  <c r="GR94"/>
  <c r="GS94"/>
  <c r="GT94"/>
  <c r="GU94"/>
  <c r="GV94"/>
  <c r="GW94"/>
  <c r="GX94"/>
  <c r="GY94"/>
  <c r="GZ94"/>
  <c r="HA94"/>
  <c r="HB94"/>
  <c r="HC94"/>
  <c r="HD94"/>
  <c r="HE94"/>
  <c r="HF94"/>
  <c r="HG94"/>
  <c r="HH94"/>
  <c r="HI94"/>
  <c r="HJ94"/>
  <c r="HK94"/>
  <c r="HL94"/>
  <c r="HM94"/>
  <c r="HN94"/>
  <c r="HO94"/>
  <c r="HP94"/>
  <c r="HQ94"/>
  <c r="HR94"/>
  <c r="HS94"/>
  <c r="HT94"/>
  <c r="HU94"/>
  <c r="HV94"/>
  <c r="HW94"/>
  <c r="HX94"/>
  <c r="HY94"/>
  <c r="HZ94"/>
  <c r="IA94"/>
  <c r="IB94"/>
  <c r="IC94"/>
  <c r="ID94"/>
  <c r="IE94"/>
  <c r="IF94"/>
  <c r="IG94"/>
  <c r="IH94"/>
  <c r="II94"/>
  <c r="IJ94"/>
  <c r="IK94"/>
  <c r="IL94"/>
  <c r="IM94"/>
  <c r="IN94"/>
  <c r="IO94"/>
  <c r="IP94"/>
  <c r="IQ94"/>
  <c r="IR94"/>
  <c r="IS94"/>
  <c r="IT94"/>
  <c r="IU94"/>
  <c r="IV94"/>
  <c r="A93"/>
  <c r="B93"/>
  <c r="C93"/>
  <c r="D93"/>
  <c r="E93"/>
  <c r="F93"/>
  <c r="G93"/>
  <c r="H93"/>
  <c r="I93"/>
  <c r="J93"/>
  <c r="K93"/>
  <c r="L93"/>
  <c r="M93"/>
  <c r="N93"/>
  <c r="O93"/>
  <c r="P93"/>
  <c r="Q93"/>
  <c r="R93"/>
  <c r="S93"/>
  <c r="T93"/>
  <c r="U93"/>
  <c r="V93"/>
  <c r="W93"/>
  <c r="X93"/>
  <c r="Y93"/>
  <c r="Z93"/>
  <c r="AA93"/>
  <c r="AB93"/>
  <c r="AC93"/>
  <c r="AD93"/>
  <c r="AE93"/>
  <c r="AF93"/>
  <c r="AG93"/>
  <c r="AH93"/>
  <c r="AI93"/>
  <c r="AJ93"/>
  <c r="AK93"/>
  <c r="AL93"/>
  <c r="AM93"/>
  <c r="AN93"/>
  <c r="AO93"/>
  <c r="AP93"/>
  <c r="AQ93"/>
  <c r="AR93"/>
  <c r="AS93"/>
  <c r="AT93"/>
  <c r="AU93"/>
  <c r="AV93"/>
  <c r="AW93"/>
  <c r="AX93"/>
  <c r="AY93"/>
  <c r="AZ93"/>
  <c r="BA93"/>
  <c r="BB93"/>
  <c r="BC93"/>
  <c r="BD93"/>
  <c r="BE93"/>
  <c r="BF93"/>
  <c r="BG93"/>
  <c r="BH93"/>
  <c r="BI93"/>
  <c r="BJ93"/>
  <c r="BK93"/>
  <c r="BL93"/>
  <c r="BM93"/>
  <c r="BN93"/>
  <c r="BO93"/>
  <c r="BP93"/>
  <c r="BQ93"/>
  <c r="BR93"/>
  <c r="BS93"/>
  <c r="BT93"/>
  <c r="BU93"/>
  <c r="BV93"/>
  <c r="BW93"/>
  <c r="BX93"/>
  <c r="BY93"/>
  <c r="BZ93"/>
  <c r="CA93"/>
  <c r="CB93"/>
  <c r="CC93"/>
  <c r="CD93"/>
  <c r="CE93"/>
  <c r="CF93"/>
  <c r="CG93"/>
  <c r="CH93"/>
  <c r="CI93"/>
  <c r="CJ93"/>
  <c r="CK93"/>
  <c r="CL93"/>
  <c r="CM93"/>
  <c r="CN93"/>
  <c r="CO93"/>
  <c r="CP93"/>
  <c r="CQ93"/>
  <c r="CR93"/>
  <c r="CS93"/>
  <c r="CT93"/>
  <c r="CU93"/>
  <c r="CV93"/>
  <c r="CW93"/>
  <c r="CX93"/>
  <c r="CY93"/>
  <c r="CZ93"/>
  <c r="DA93"/>
  <c r="DB93"/>
  <c r="DC93"/>
  <c r="DD93"/>
  <c r="DE93"/>
  <c r="DF93"/>
  <c r="DG93"/>
  <c r="DH93"/>
  <c r="DI93"/>
  <c r="DJ93"/>
  <c r="DK93"/>
  <c r="DL93"/>
  <c r="DM93"/>
  <c r="DN93"/>
  <c r="DO93"/>
  <c r="DP93"/>
  <c r="DQ93"/>
  <c r="DR93"/>
  <c r="DS93"/>
  <c r="DT93"/>
  <c r="DU93"/>
  <c r="DV93"/>
  <c r="DW93"/>
  <c r="DX93"/>
  <c r="DY93"/>
  <c r="DZ93"/>
  <c r="EA93"/>
  <c r="EB93"/>
  <c r="EC93"/>
  <c r="ED93"/>
  <c r="EE93"/>
  <c r="EF93"/>
  <c r="EG93"/>
  <c r="EH93"/>
  <c r="EI93"/>
  <c r="EJ93"/>
  <c r="EK93"/>
  <c r="EL93"/>
  <c r="EM93"/>
  <c r="EN93"/>
  <c r="EO93"/>
  <c r="EP93"/>
  <c r="EQ93"/>
  <c r="ER93"/>
  <c r="ES93"/>
  <c r="ET93"/>
  <c r="EU93"/>
  <c r="EV93"/>
  <c r="EW93"/>
  <c r="EX93"/>
  <c r="EY93"/>
  <c r="EZ93"/>
  <c r="FA93"/>
  <c r="FB93"/>
  <c r="FC93"/>
  <c r="FD93"/>
  <c r="FE93"/>
  <c r="FF93"/>
  <c r="FG93"/>
  <c r="FH93"/>
  <c r="FI93"/>
  <c r="FJ93"/>
  <c r="FK93"/>
  <c r="FL93"/>
  <c r="FM93"/>
  <c r="FN93"/>
  <c r="FO93"/>
  <c r="FP93"/>
  <c r="FQ93"/>
  <c r="FR93"/>
  <c r="FS93"/>
  <c r="FT93"/>
  <c r="FU93"/>
  <c r="FV93"/>
  <c r="FW93"/>
  <c r="FX93"/>
  <c r="FY93"/>
  <c r="FZ93"/>
  <c r="GA93"/>
  <c r="GB93"/>
  <c r="GC93"/>
  <c r="GD93"/>
  <c r="GE93"/>
  <c r="GF93"/>
  <c r="GG93"/>
  <c r="GH93"/>
  <c r="GI93"/>
  <c r="GJ93"/>
  <c r="GK93"/>
  <c r="GL93"/>
  <c r="GM93"/>
  <c r="GN93"/>
  <c r="GO93"/>
  <c r="GP93"/>
  <c r="GQ93"/>
  <c r="GR93"/>
  <c r="GS93"/>
  <c r="GT93"/>
  <c r="GU93"/>
  <c r="GV93"/>
  <c r="GW93"/>
  <c r="GX93"/>
  <c r="GY93"/>
  <c r="GZ93"/>
  <c r="HA93"/>
  <c r="HB93"/>
  <c r="HC93"/>
  <c r="HD93"/>
  <c r="HE93"/>
  <c r="HF93"/>
  <c r="HG93"/>
  <c r="HH93"/>
  <c r="HI93"/>
  <c r="HJ93"/>
  <c r="HK93"/>
  <c r="HL93"/>
  <c r="HM93"/>
  <c r="HN93"/>
  <c r="HO93"/>
  <c r="HP93"/>
  <c r="HQ93"/>
  <c r="HR93"/>
  <c r="HS93"/>
  <c r="HT93"/>
  <c r="HU93"/>
  <c r="HV93"/>
  <c r="HW93"/>
  <c r="HX93"/>
  <c r="HY93"/>
  <c r="HZ93"/>
  <c r="IA93"/>
  <c r="IB93"/>
  <c r="IC93"/>
  <c r="ID93"/>
  <c r="IE93"/>
  <c r="IF93"/>
  <c r="IG93"/>
  <c r="IH93"/>
  <c r="II93"/>
  <c r="IJ93"/>
  <c r="IK93"/>
  <c r="IL93"/>
  <c r="IM93"/>
  <c r="IN93"/>
  <c r="IO93"/>
  <c r="IP93"/>
  <c r="IQ93"/>
  <c r="IR93"/>
  <c r="IS93"/>
  <c r="IT93"/>
  <c r="IU93"/>
  <c r="IV93"/>
  <c r="A92"/>
  <c r="B92"/>
  <c r="C92"/>
  <c r="D92"/>
  <c r="E92"/>
  <c r="F92"/>
  <c r="G92"/>
  <c r="H92"/>
  <c r="I92"/>
  <c r="J92"/>
  <c r="K92"/>
  <c r="L92"/>
  <c r="M92"/>
  <c r="N92"/>
  <c r="O92"/>
  <c r="P92"/>
  <c r="Q92"/>
  <c r="R92"/>
  <c r="S92"/>
  <c r="T92"/>
  <c r="U92"/>
  <c r="V92"/>
  <c r="W92"/>
  <c r="X92"/>
  <c r="Y92"/>
  <c r="Z92"/>
  <c r="AA92"/>
  <c r="AB92"/>
  <c r="AC92"/>
  <c r="AD92"/>
  <c r="AE92"/>
  <c r="AF92"/>
  <c r="AG92"/>
  <c r="AH92"/>
  <c r="AI92"/>
  <c r="AJ92"/>
  <c r="AK92"/>
  <c r="AL92"/>
  <c r="AM92"/>
  <c r="AN92"/>
  <c r="AO92"/>
  <c r="AP92"/>
  <c r="AQ92"/>
  <c r="AR92"/>
  <c r="AS92"/>
  <c r="AT92"/>
  <c r="AU92"/>
  <c r="AV92"/>
  <c r="AW92"/>
  <c r="AX92"/>
  <c r="AY92"/>
  <c r="AZ92"/>
  <c r="BA92"/>
  <c r="BB92"/>
  <c r="BC92"/>
  <c r="BD92"/>
  <c r="BE92"/>
  <c r="BF92"/>
  <c r="BG92"/>
  <c r="BH92"/>
  <c r="BI92"/>
  <c r="BJ92"/>
  <c r="BK92"/>
  <c r="BL92"/>
  <c r="BM92"/>
  <c r="BN92"/>
  <c r="BO92"/>
  <c r="BP92"/>
  <c r="BQ92"/>
  <c r="BR92"/>
  <c r="BS92"/>
  <c r="BT92"/>
  <c r="BU92"/>
  <c r="BV92"/>
  <c r="BW92"/>
  <c r="BX92"/>
  <c r="BY92"/>
  <c r="BZ92"/>
  <c r="CA92"/>
  <c r="CB92"/>
  <c r="CC92"/>
  <c r="CD92"/>
  <c r="CE92"/>
  <c r="CF92"/>
  <c r="CG92"/>
  <c r="CH92"/>
  <c r="CI92"/>
  <c r="CJ92"/>
  <c r="CK92"/>
  <c r="CL92"/>
  <c r="CM92"/>
  <c r="CN92"/>
  <c r="CO92"/>
  <c r="CP92"/>
  <c r="CQ92"/>
  <c r="CR92"/>
  <c r="CS92"/>
  <c r="CT92"/>
  <c r="CU92"/>
  <c r="CV92"/>
  <c r="CW92"/>
  <c r="CX92"/>
  <c r="CY92"/>
  <c r="CZ92"/>
  <c r="DA92"/>
  <c r="DB92"/>
  <c r="DC92"/>
  <c r="DD92"/>
  <c r="DE92"/>
  <c r="DF92"/>
  <c r="DG92"/>
  <c r="DH92"/>
  <c r="DI92"/>
  <c r="DJ92"/>
  <c r="DK92"/>
  <c r="DL92"/>
  <c r="DM92"/>
  <c r="DN92"/>
  <c r="DO92"/>
  <c r="DP92"/>
  <c r="DQ92"/>
  <c r="DR92"/>
  <c r="DS92"/>
  <c r="DT92"/>
  <c r="DU92"/>
  <c r="DV92"/>
  <c r="DW92"/>
  <c r="DX92"/>
  <c r="DY92"/>
  <c r="DZ92"/>
  <c r="EA92"/>
  <c r="EB92"/>
  <c r="EC92"/>
  <c r="ED92"/>
  <c r="EE92"/>
  <c r="EF92"/>
  <c r="EG92"/>
  <c r="EH92"/>
  <c r="EI92"/>
  <c r="EJ92"/>
  <c r="EK92"/>
  <c r="EL92"/>
  <c r="EM92"/>
  <c r="EN92"/>
  <c r="EO92"/>
  <c r="EP92"/>
  <c r="EQ92"/>
  <c r="ER92"/>
  <c r="ES92"/>
  <c r="ET92"/>
  <c r="EU92"/>
  <c r="EV92"/>
  <c r="EW92"/>
  <c r="EX92"/>
  <c r="EY92"/>
  <c r="EZ92"/>
  <c r="FA92"/>
  <c r="FB92"/>
  <c r="FC92"/>
  <c r="FD92"/>
  <c r="FE92"/>
  <c r="FF92"/>
  <c r="FG92"/>
  <c r="FH92"/>
  <c r="FI92"/>
  <c r="FJ92"/>
  <c r="FK92"/>
  <c r="FL92"/>
  <c r="FM92"/>
  <c r="FN92"/>
  <c r="FO92"/>
  <c r="FP92"/>
  <c r="FQ92"/>
  <c r="FR92"/>
  <c r="FS92"/>
  <c r="FT92"/>
  <c r="FU92"/>
  <c r="FV92"/>
  <c r="FW92"/>
  <c r="FX92"/>
  <c r="FY92"/>
  <c r="FZ92"/>
  <c r="GA92"/>
  <c r="GB92"/>
  <c r="GC92"/>
  <c r="GD92"/>
  <c r="GE92"/>
  <c r="GF92"/>
  <c r="GG92"/>
  <c r="GH92"/>
  <c r="GI92"/>
  <c r="GJ92"/>
  <c r="GK92"/>
  <c r="GL92"/>
  <c r="GM92"/>
  <c r="GN92"/>
  <c r="GO92"/>
  <c r="GP92"/>
  <c r="GQ92"/>
  <c r="GR92"/>
  <c r="GS92"/>
  <c r="GT92"/>
  <c r="GU92"/>
  <c r="GV92"/>
  <c r="GW92"/>
  <c r="GX92"/>
  <c r="GY92"/>
  <c r="GZ92"/>
  <c r="HA92"/>
  <c r="HB92"/>
  <c r="HC92"/>
  <c r="HD92"/>
  <c r="HE92"/>
  <c r="HF92"/>
  <c r="HG92"/>
  <c r="HH92"/>
  <c r="HI92"/>
  <c r="HJ92"/>
  <c r="HK92"/>
  <c r="HL92"/>
  <c r="HM92"/>
  <c r="HN92"/>
  <c r="HO92"/>
  <c r="HP92"/>
  <c r="HQ92"/>
  <c r="HR92"/>
  <c r="HS92"/>
  <c r="HT92"/>
  <c r="HU92"/>
  <c r="HV92"/>
  <c r="HW92"/>
  <c r="HX92"/>
  <c r="HY92"/>
  <c r="HZ92"/>
  <c r="IA92"/>
  <c r="IB92"/>
  <c r="IC92"/>
  <c r="ID92"/>
  <c r="IE92"/>
  <c r="IF92"/>
  <c r="IG92"/>
  <c r="IH92"/>
  <c r="II92"/>
  <c r="IJ92"/>
  <c r="IK92"/>
  <c r="IL92"/>
  <c r="IM92"/>
  <c r="IN92"/>
  <c r="IO92"/>
  <c r="IP92"/>
  <c r="IQ92"/>
  <c r="IR92"/>
  <c r="IS92"/>
  <c r="IT92"/>
  <c r="IU92"/>
  <c r="IV92"/>
  <c r="A91"/>
  <c r="B91"/>
  <c r="C91"/>
  <c r="D91"/>
  <c r="E91"/>
  <c r="F91"/>
  <c r="G91"/>
  <c r="H91"/>
  <c r="I91"/>
  <c r="J91"/>
  <c r="K91"/>
  <c r="L91"/>
  <c r="M91"/>
  <c r="N91"/>
  <c r="O91"/>
  <c r="P91"/>
  <c r="Q91"/>
  <c r="R91"/>
  <c r="S91"/>
  <c r="T91"/>
  <c r="U91"/>
  <c r="V91"/>
  <c r="W91"/>
  <c r="X91"/>
  <c r="Y91"/>
  <c r="Z91"/>
  <c r="AA91"/>
  <c r="AB91"/>
  <c r="AC91"/>
  <c r="AD91"/>
  <c r="AE91"/>
  <c r="AF91"/>
  <c r="AG91"/>
  <c r="AH91"/>
  <c r="AI91"/>
  <c r="AJ91"/>
  <c r="AK91"/>
  <c r="AL91"/>
  <c r="AM91"/>
  <c r="AN91"/>
  <c r="AO91"/>
  <c r="AP91"/>
  <c r="AQ91"/>
  <c r="AR91"/>
  <c r="AS91"/>
  <c r="AT91"/>
  <c r="AU91"/>
  <c r="AV91"/>
  <c r="AW91"/>
  <c r="AX91"/>
  <c r="AY91"/>
  <c r="AZ91"/>
  <c r="BA91"/>
  <c r="BB91"/>
  <c r="BC91"/>
  <c r="BD91"/>
  <c r="BE91"/>
  <c r="BF91"/>
  <c r="BG91"/>
  <c r="BH91"/>
  <c r="BI91"/>
  <c r="BJ91"/>
  <c r="BK91"/>
  <c r="BL91"/>
  <c r="BM91"/>
  <c r="BN91"/>
  <c r="BO91"/>
  <c r="BP91"/>
  <c r="BQ91"/>
  <c r="BR91"/>
  <c r="BS91"/>
  <c r="BT91"/>
  <c r="BU91"/>
  <c r="BV91"/>
  <c r="BW91"/>
  <c r="BX91"/>
  <c r="BY91"/>
  <c r="BZ91"/>
  <c r="CA91"/>
  <c r="CB91"/>
  <c r="CC91"/>
  <c r="CD91"/>
  <c r="CE91"/>
  <c r="CF91"/>
  <c r="CG91"/>
  <c r="CH91"/>
  <c r="CI91"/>
  <c r="CJ91"/>
  <c r="CK91"/>
  <c r="CL91"/>
  <c r="CM91"/>
  <c r="CN91"/>
  <c r="CO91"/>
  <c r="CP91"/>
  <c r="CQ91"/>
  <c r="CR91"/>
  <c r="CS91"/>
  <c r="CT91"/>
  <c r="CU91"/>
  <c r="CV91"/>
  <c r="CW91"/>
  <c r="CX91"/>
  <c r="CY91"/>
  <c r="CZ91"/>
  <c r="DA91"/>
  <c r="DB91"/>
  <c r="DC91"/>
  <c r="DD91"/>
  <c r="DE91"/>
  <c r="DF91"/>
  <c r="DG91"/>
  <c r="DH91"/>
  <c r="DI91"/>
  <c r="DJ91"/>
  <c r="DK91"/>
  <c r="DL91"/>
  <c r="DM91"/>
  <c r="DN91"/>
  <c r="DO91"/>
  <c r="DP91"/>
  <c r="DQ91"/>
  <c r="DR91"/>
  <c r="DS91"/>
  <c r="DT91"/>
  <c r="DU91"/>
  <c r="DV91"/>
  <c r="DW91"/>
  <c r="DX91"/>
  <c r="DY91"/>
  <c r="DZ91"/>
  <c r="EA91"/>
  <c r="EB91"/>
  <c r="EC91"/>
  <c r="ED91"/>
  <c r="EE91"/>
  <c r="EF91"/>
  <c r="EG91"/>
  <c r="EH91"/>
  <c r="EI91"/>
  <c r="EJ91"/>
  <c r="EK91"/>
  <c r="EL91"/>
  <c r="EM91"/>
  <c r="EN91"/>
  <c r="EO91"/>
  <c r="EP91"/>
  <c r="EQ91"/>
  <c r="ER91"/>
  <c r="ES91"/>
  <c r="ET91"/>
  <c r="EU91"/>
  <c r="EV91"/>
  <c r="EW91"/>
  <c r="EX91"/>
  <c r="EY91"/>
  <c r="EZ91"/>
  <c r="FA91"/>
  <c r="FB91"/>
  <c r="FC91"/>
  <c r="FD91"/>
  <c r="FE91"/>
  <c r="FF91"/>
  <c r="FG91"/>
  <c r="FH91"/>
  <c r="FI91"/>
  <c r="FJ91"/>
  <c r="FK91"/>
  <c r="FL91"/>
  <c r="FM91"/>
  <c r="FN91"/>
  <c r="FO91"/>
  <c r="FP91"/>
  <c r="FQ91"/>
  <c r="FR91"/>
  <c r="FS91"/>
  <c r="FT91"/>
  <c r="FU91"/>
  <c r="FV91"/>
  <c r="FW91"/>
  <c r="FX91"/>
  <c r="FY91"/>
  <c r="FZ91"/>
  <c r="GA91"/>
  <c r="GB91"/>
  <c r="GC91"/>
  <c r="GD91"/>
  <c r="GE91"/>
  <c r="GF91"/>
  <c r="GG91"/>
  <c r="GH91"/>
  <c r="GI91"/>
  <c r="GJ91"/>
  <c r="GK91"/>
  <c r="GL91"/>
  <c r="GM91"/>
  <c r="GN91"/>
  <c r="GO91"/>
  <c r="GP91"/>
  <c r="GQ91"/>
  <c r="GR91"/>
  <c r="GS91"/>
  <c r="GT91"/>
  <c r="GU91"/>
  <c r="GV91"/>
  <c r="GW91"/>
  <c r="GX91"/>
  <c r="GY91"/>
  <c r="GZ91"/>
  <c r="HA91"/>
  <c r="HB91"/>
  <c r="HC91"/>
  <c r="HD91"/>
  <c r="HE91"/>
  <c r="HF91"/>
  <c r="HG91"/>
  <c r="HH91"/>
  <c r="HI91"/>
  <c r="HJ91"/>
  <c r="HK91"/>
  <c r="HL91"/>
  <c r="HM91"/>
  <c r="HN91"/>
  <c r="HO91"/>
  <c r="HP91"/>
  <c r="HQ91"/>
  <c r="HR91"/>
  <c r="HS91"/>
  <c r="HT91"/>
  <c r="HU91"/>
  <c r="HV91"/>
  <c r="HW91"/>
  <c r="HX91"/>
  <c r="HY91"/>
  <c r="HZ91"/>
  <c r="IA91"/>
  <c r="IB91"/>
  <c r="IC91"/>
  <c r="ID91"/>
  <c r="IE91"/>
  <c r="IF91"/>
  <c r="IG91"/>
  <c r="IH91"/>
  <c r="II91"/>
  <c r="IJ91"/>
  <c r="IK91"/>
  <c r="IL91"/>
  <c r="IM91"/>
  <c r="IN91"/>
  <c r="IO91"/>
  <c r="IP91"/>
  <c r="IQ91"/>
  <c r="IR91"/>
  <c r="IS91"/>
  <c r="IT91"/>
  <c r="IU91"/>
  <c r="IV91"/>
  <c r="A90"/>
  <c r="B90"/>
  <c r="C90"/>
  <c r="D90"/>
  <c r="E90"/>
  <c r="F90"/>
  <c r="G90"/>
  <c r="H90"/>
  <c r="I90"/>
  <c r="J90"/>
  <c r="K90"/>
  <c r="L90"/>
  <c r="M90"/>
  <c r="N90"/>
  <c r="O90"/>
  <c r="P90"/>
  <c r="Q90"/>
  <c r="R90"/>
  <c r="S90"/>
  <c r="T90"/>
  <c r="U90"/>
  <c r="V90"/>
  <c r="W90"/>
  <c r="X90"/>
  <c r="Y90"/>
  <c r="Z90"/>
  <c r="AA90"/>
  <c r="AB90"/>
  <c r="AC90"/>
  <c r="AD90"/>
  <c r="AE90"/>
  <c r="AF90"/>
  <c r="AG90"/>
  <c r="AH90"/>
  <c r="AI90"/>
  <c r="AJ90"/>
  <c r="AK90"/>
  <c r="AL90"/>
  <c r="AM90"/>
  <c r="AN90"/>
  <c r="AO90"/>
  <c r="AP90"/>
  <c r="AQ90"/>
  <c r="AR90"/>
  <c r="AS90"/>
  <c r="AT90"/>
  <c r="AU90"/>
  <c r="AV90"/>
  <c r="AW90"/>
  <c r="AX90"/>
  <c r="AY90"/>
  <c r="AZ90"/>
  <c r="BA90"/>
  <c r="BB90"/>
  <c r="BC90"/>
  <c r="BD90"/>
  <c r="BE90"/>
  <c r="BF90"/>
  <c r="BG90"/>
  <c r="BH90"/>
  <c r="BI90"/>
  <c r="BJ90"/>
  <c r="BK90"/>
  <c r="BL90"/>
  <c r="BM90"/>
  <c r="BN90"/>
  <c r="BO90"/>
  <c r="BP90"/>
  <c r="BQ90"/>
  <c r="BR90"/>
  <c r="BS90"/>
  <c r="BT90"/>
  <c r="BU90"/>
  <c r="BV90"/>
  <c r="BW90"/>
  <c r="BX90"/>
  <c r="BY90"/>
  <c r="BZ90"/>
  <c r="CA90"/>
  <c r="CB90"/>
  <c r="CC90"/>
  <c r="CD90"/>
  <c r="CE90"/>
  <c r="CF90"/>
  <c r="CG90"/>
  <c r="CH90"/>
  <c r="CI90"/>
  <c r="CJ90"/>
  <c r="CK90"/>
  <c r="CL90"/>
  <c r="CM90"/>
  <c r="CN90"/>
  <c r="CO90"/>
  <c r="CP90"/>
  <c r="CQ90"/>
  <c r="CR90"/>
  <c r="CS90"/>
  <c r="CT90"/>
  <c r="CU90"/>
  <c r="CV90"/>
  <c r="CW90"/>
  <c r="CX90"/>
  <c r="CY90"/>
  <c r="CZ90"/>
  <c r="DA90"/>
  <c r="DB90"/>
  <c r="DC90"/>
  <c r="DD90"/>
  <c r="DE90"/>
  <c r="DF90"/>
  <c r="DG90"/>
  <c r="DH90"/>
  <c r="DI90"/>
  <c r="DJ90"/>
  <c r="DK90"/>
  <c r="DL90"/>
  <c r="DM90"/>
  <c r="DN90"/>
  <c r="DO90"/>
  <c r="DP90"/>
  <c r="DQ90"/>
  <c r="DR90"/>
  <c r="DS90"/>
  <c r="DT90"/>
  <c r="DU90"/>
  <c r="DV90"/>
  <c r="DW90"/>
  <c r="DX90"/>
  <c r="DY90"/>
  <c r="DZ90"/>
  <c r="EA90"/>
  <c r="EB90"/>
  <c r="EC90"/>
  <c r="ED90"/>
  <c r="EE90"/>
  <c r="EF90"/>
  <c r="EG90"/>
  <c r="EH90"/>
  <c r="EI90"/>
  <c r="EJ90"/>
  <c r="EK90"/>
  <c r="EL90"/>
  <c r="EM90"/>
  <c r="EN90"/>
  <c r="EO90"/>
  <c r="EP90"/>
  <c r="EQ90"/>
  <c r="ER90"/>
  <c r="ES90"/>
  <c r="ET90"/>
  <c r="EU90"/>
  <c r="EV90"/>
  <c r="EW90"/>
  <c r="EX90"/>
  <c r="EY90"/>
  <c r="EZ90"/>
  <c r="FA90"/>
  <c r="FB90"/>
  <c r="FC90"/>
  <c r="FD90"/>
  <c r="FE90"/>
  <c r="FF90"/>
  <c r="FG90"/>
  <c r="FH90"/>
  <c r="FI90"/>
  <c r="FJ90"/>
  <c r="FK90"/>
  <c r="FL90"/>
  <c r="FM90"/>
  <c r="FN90"/>
  <c r="FO90"/>
  <c r="FP90"/>
  <c r="FQ90"/>
  <c r="FR90"/>
  <c r="FS90"/>
  <c r="FT90"/>
  <c r="FU90"/>
  <c r="FV90"/>
  <c r="FW90"/>
  <c r="FX90"/>
  <c r="FY90"/>
  <c r="FZ90"/>
  <c r="GA90"/>
  <c r="GB90"/>
  <c r="GC90"/>
  <c r="GD90"/>
  <c r="GE90"/>
  <c r="GF90"/>
  <c r="GG90"/>
  <c r="GH90"/>
  <c r="GI90"/>
  <c r="GJ90"/>
  <c r="GK90"/>
  <c r="GL90"/>
  <c r="GM90"/>
  <c r="GN90"/>
  <c r="GO90"/>
  <c r="GP90"/>
  <c r="GQ90"/>
  <c r="GR90"/>
  <c r="GS90"/>
  <c r="GT90"/>
  <c r="GU90"/>
  <c r="GV90"/>
  <c r="GW90"/>
  <c r="GX90"/>
  <c r="GY90"/>
  <c r="GZ90"/>
  <c r="HA90"/>
  <c r="HB90"/>
  <c r="HC90"/>
  <c r="HD90"/>
  <c r="HE90"/>
  <c r="HF90"/>
  <c r="HG90"/>
  <c r="HH90"/>
  <c r="HI90"/>
  <c r="HJ90"/>
  <c r="HK90"/>
  <c r="HL90"/>
  <c r="HM90"/>
  <c r="HN90"/>
  <c r="HO90"/>
  <c r="HP90"/>
  <c r="HQ90"/>
  <c r="HR90"/>
  <c r="HS90"/>
  <c r="HT90"/>
  <c r="HU90"/>
  <c r="HV90"/>
  <c r="HW90"/>
  <c r="HX90"/>
  <c r="HY90"/>
  <c r="HZ90"/>
  <c r="IA90"/>
  <c r="IB90"/>
  <c r="IC90"/>
  <c r="ID90"/>
  <c r="IE90"/>
  <c r="IF90"/>
  <c r="IG90"/>
  <c r="IH90"/>
  <c r="II90"/>
  <c r="IJ90"/>
  <c r="IK90"/>
  <c r="IL90"/>
  <c r="IM90"/>
  <c r="IN90"/>
  <c r="IO90"/>
  <c r="IP90"/>
  <c r="IQ90"/>
  <c r="IR90"/>
  <c r="IS90"/>
  <c r="IT90"/>
  <c r="IU90"/>
  <c r="IV90"/>
  <c r="A89"/>
  <c r="B89"/>
  <c r="C89"/>
  <c r="D89"/>
  <c r="E89"/>
  <c r="F89"/>
  <c r="G89"/>
  <c r="H89"/>
  <c r="I89"/>
  <c r="J89"/>
  <c r="K89"/>
  <c r="L89"/>
  <c r="M89"/>
  <c r="N89"/>
  <c r="O89"/>
  <c r="P89"/>
  <c r="Q89"/>
  <c r="R89"/>
  <c r="S89"/>
  <c r="T89"/>
  <c r="U89"/>
  <c r="V89"/>
  <c r="W89"/>
  <c r="X89"/>
  <c r="Y89"/>
  <c r="Z89"/>
  <c r="AA89"/>
  <c r="AB89"/>
  <c r="AC89"/>
  <c r="AD89"/>
  <c r="AE89"/>
  <c r="AF89"/>
  <c r="AG89"/>
  <c r="AH89"/>
  <c r="AI89"/>
  <c r="AJ89"/>
  <c r="AK89"/>
  <c r="AL89"/>
  <c r="AM89"/>
  <c r="AN89"/>
  <c r="AO89"/>
  <c r="AP89"/>
  <c r="AQ89"/>
  <c r="AR89"/>
  <c r="AS89"/>
  <c r="AT89"/>
  <c r="AU89"/>
  <c r="AV89"/>
  <c r="AW89"/>
  <c r="AX89"/>
  <c r="AY89"/>
  <c r="AZ89"/>
  <c r="BA89"/>
  <c r="BB89"/>
  <c r="BC89"/>
  <c r="BD89"/>
  <c r="BE89"/>
  <c r="BF89"/>
  <c r="BG89"/>
  <c r="BH89"/>
  <c r="BI89"/>
  <c r="BJ89"/>
  <c r="BK89"/>
  <c r="BL89"/>
  <c r="BM89"/>
  <c r="BN89"/>
  <c r="BO89"/>
  <c r="BP89"/>
  <c r="BQ89"/>
  <c r="BR89"/>
  <c r="BS89"/>
  <c r="BT89"/>
  <c r="BU89"/>
  <c r="BV89"/>
  <c r="BW89"/>
  <c r="BX89"/>
  <c r="BY89"/>
  <c r="BZ89"/>
  <c r="CA89"/>
  <c r="CB89"/>
  <c r="CC89"/>
  <c r="CD89"/>
  <c r="CE89"/>
  <c r="CF89"/>
  <c r="CG89"/>
  <c r="CH89"/>
  <c r="CI89"/>
  <c r="CJ89"/>
  <c r="CK89"/>
  <c r="CL89"/>
  <c r="CM89"/>
  <c r="CN89"/>
  <c r="CO89"/>
  <c r="CP89"/>
  <c r="CQ89"/>
  <c r="CR89"/>
  <c r="CS89"/>
  <c r="CT89"/>
  <c r="CU89"/>
  <c r="CV89"/>
  <c r="CW89"/>
  <c r="CX89"/>
  <c r="CY89"/>
  <c r="CZ89"/>
  <c r="DA89"/>
  <c r="DB89"/>
  <c r="DC89"/>
  <c r="DD89"/>
  <c r="DE89"/>
  <c r="DF89"/>
  <c r="DG89"/>
  <c r="DH89"/>
  <c r="DI89"/>
  <c r="DJ89"/>
  <c r="DK89"/>
  <c r="DL89"/>
  <c r="DM89"/>
  <c r="DN89"/>
  <c r="DO89"/>
  <c r="DP89"/>
  <c r="DQ89"/>
  <c r="DR89"/>
  <c r="DS89"/>
  <c r="DT89"/>
  <c r="DU89"/>
  <c r="DV89"/>
  <c r="DW89"/>
  <c r="DX89"/>
  <c r="DY89"/>
  <c r="DZ89"/>
  <c r="EA89"/>
  <c r="EB89"/>
  <c r="EC89"/>
  <c r="ED89"/>
  <c r="EE89"/>
  <c r="EF89"/>
  <c r="EG89"/>
  <c r="EH89"/>
  <c r="EI89"/>
  <c r="EJ89"/>
  <c r="EK89"/>
  <c r="EL89"/>
  <c r="EM89"/>
  <c r="EN89"/>
  <c r="EO89"/>
  <c r="EP89"/>
  <c r="EQ89"/>
  <c r="ER89"/>
  <c r="ES89"/>
  <c r="ET89"/>
  <c r="EU89"/>
  <c r="EV89"/>
  <c r="EW89"/>
  <c r="EX89"/>
  <c r="EY89"/>
  <c r="EZ89"/>
  <c r="FA89"/>
  <c r="FB89"/>
  <c r="FC89"/>
  <c r="FD89"/>
  <c r="FE89"/>
  <c r="FF89"/>
  <c r="FG89"/>
  <c r="FH89"/>
  <c r="FI89"/>
  <c r="FJ89"/>
  <c r="FK89"/>
  <c r="FL89"/>
  <c r="FM89"/>
  <c r="FN89"/>
  <c r="FO89"/>
  <c r="FP89"/>
  <c r="FQ89"/>
  <c r="FR89"/>
  <c r="FS89"/>
  <c r="FT89"/>
  <c r="FU89"/>
  <c r="FV89"/>
  <c r="FW89"/>
  <c r="FX89"/>
  <c r="FY89"/>
  <c r="FZ89"/>
  <c r="GA89"/>
  <c r="GB89"/>
  <c r="GC89"/>
  <c r="GD89"/>
  <c r="GE89"/>
  <c r="GF89"/>
  <c r="GG89"/>
  <c r="GH89"/>
  <c r="GI89"/>
  <c r="GJ89"/>
  <c r="GK89"/>
  <c r="GL89"/>
  <c r="GM89"/>
  <c r="GN89"/>
  <c r="GO89"/>
  <c r="GP89"/>
  <c r="GQ89"/>
  <c r="GR89"/>
  <c r="GS89"/>
  <c r="GT89"/>
  <c r="GU89"/>
  <c r="GV89"/>
  <c r="GW89"/>
  <c r="GX89"/>
  <c r="GY89"/>
  <c r="GZ89"/>
  <c r="HA89"/>
  <c r="HB89"/>
  <c r="HC89"/>
  <c r="HD89"/>
  <c r="HE89"/>
  <c r="HF89"/>
  <c r="HG89"/>
  <c r="HH89"/>
  <c r="HI89"/>
  <c r="HJ89"/>
  <c r="HK89"/>
  <c r="HL89"/>
  <c r="HM89"/>
  <c r="HN89"/>
  <c r="HO89"/>
  <c r="HP89"/>
  <c r="HQ89"/>
  <c r="HR89"/>
  <c r="HS89"/>
  <c r="HT89"/>
  <c r="HU89"/>
  <c r="HV89"/>
  <c r="HW89"/>
  <c r="HX89"/>
  <c r="HY89"/>
  <c r="HZ89"/>
  <c r="IA89"/>
  <c r="IB89"/>
  <c r="IC89"/>
  <c r="ID89"/>
  <c r="IE89"/>
  <c r="IF89"/>
  <c r="IG89"/>
  <c r="IH89"/>
  <c r="II89"/>
  <c r="IJ89"/>
  <c r="IK89"/>
  <c r="IL89"/>
  <c r="IM89"/>
  <c r="IN89"/>
  <c r="IO89"/>
  <c r="IP89"/>
  <c r="IQ89"/>
  <c r="IR89"/>
  <c r="IS89"/>
  <c r="IT89"/>
  <c r="IU89"/>
  <c r="IV89"/>
  <c r="A88"/>
  <c r="B88"/>
  <c r="C88"/>
  <c r="D88"/>
  <c r="E88"/>
  <c r="F88"/>
  <c r="G88"/>
  <c r="H88"/>
  <c r="I88"/>
  <c r="J88"/>
  <c r="K88"/>
  <c r="L88"/>
  <c r="M88"/>
  <c r="N88"/>
  <c r="O88"/>
  <c r="P88"/>
  <c r="Q88"/>
  <c r="R88"/>
  <c r="S88"/>
  <c r="T88"/>
  <c r="U88"/>
  <c r="V88"/>
  <c r="W88"/>
  <c r="X88"/>
  <c r="Y88"/>
  <c r="Z88"/>
  <c r="AA88"/>
  <c r="AB88"/>
  <c r="AC88"/>
  <c r="AD88"/>
  <c r="AE88"/>
  <c r="AF88"/>
  <c r="AG88"/>
  <c r="AH88"/>
  <c r="AI88"/>
  <c r="AJ88"/>
  <c r="AK88"/>
  <c r="AL88"/>
  <c r="AM88"/>
  <c r="AN88"/>
  <c r="AO88"/>
  <c r="AP88"/>
  <c r="AQ88"/>
  <c r="AR88"/>
  <c r="AS88"/>
  <c r="AT88"/>
  <c r="AU88"/>
  <c r="AV88"/>
  <c r="AW88"/>
  <c r="AX88"/>
  <c r="AY88"/>
  <c r="AZ88"/>
  <c r="BA88"/>
  <c r="BB88"/>
  <c r="BC88"/>
  <c r="BD88"/>
  <c r="BE88"/>
  <c r="BF88"/>
  <c r="BG88"/>
  <c r="BH88"/>
  <c r="BI88"/>
  <c r="BJ88"/>
  <c r="BK88"/>
  <c r="BL88"/>
  <c r="BM88"/>
  <c r="BN88"/>
  <c r="BO88"/>
  <c r="BP88"/>
  <c r="BQ88"/>
  <c r="BR88"/>
  <c r="BS88"/>
  <c r="BT88"/>
  <c r="BU88"/>
  <c r="BV88"/>
  <c r="BW88"/>
  <c r="BX88"/>
  <c r="BY88"/>
  <c r="BZ88"/>
  <c r="CA88"/>
  <c r="CB88"/>
  <c r="CC88"/>
  <c r="CD88"/>
  <c r="CE88"/>
  <c r="CF88"/>
  <c r="CG88"/>
  <c r="CH88"/>
  <c r="CI88"/>
  <c r="CJ88"/>
  <c r="CK88"/>
  <c r="CL88"/>
  <c r="CM88"/>
  <c r="CN88"/>
  <c r="CO88"/>
  <c r="CP88"/>
  <c r="CQ88"/>
  <c r="CR88"/>
  <c r="CS88"/>
  <c r="CT88"/>
  <c r="CU88"/>
  <c r="CV88"/>
  <c r="CW88"/>
  <c r="CX88"/>
  <c r="CY88"/>
  <c r="CZ88"/>
  <c r="DA88"/>
  <c r="DB88"/>
  <c r="DC88"/>
  <c r="DD88"/>
  <c r="DE88"/>
  <c r="DF88"/>
  <c r="DG88"/>
  <c r="DH88"/>
  <c r="DI88"/>
  <c r="DJ88"/>
  <c r="DK88"/>
  <c r="DL88"/>
  <c r="DM88"/>
  <c r="DN88"/>
  <c r="DO88"/>
  <c r="DP88"/>
  <c r="DQ88"/>
  <c r="DR88"/>
  <c r="DS88"/>
  <c r="DT88"/>
  <c r="DU88"/>
  <c r="DV88"/>
  <c r="DW88"/>
  <c r="DX88"/>
  <c r="DY88"/>
  <c r="DZ88"/>
  <c r="EA88"/>
  <c r="EB88"/>
  <c r="EC88"/>
  <c r="ED88"/>
  <c r="EE88"/>
  <c r="EF88"/>
  <c r="EG88"/>
  <c r="EH88"/>
  <c r="EI88"/>
  <c r="EJ88"/>
  <c r="EK88"/>
  <c r="EL88"/>
  <c r="EM88"/>
  <c r="EN88"/>
  <c r="EO88"/>
  <c r="EP88"/>
  <c r="EQ88"/>
  <c r="ER88"/>
  <c r="ES88"/>
  <c r="ET88"/>
  <c r="EU88"/>
  <c r="EV88"/>
  <c r="EW88"/>
  <c r="EX88"/>
  <c r="EY88"/>
  <c r="EZ88"/>
  <c r="FA88"/>
  <c r="FB88"/>
  <c r="FC88"/>
  <c r="FD88"/>
  <c r="FE88"/>
  <c r="FF88"/>
  <c r="FG88"/>
  <c r="FH88"/>
  <c r="FI88"/>
  <c r="FJ88"/>
  <c r="FK88"/>
  <c r="FL88"/>
  <c r="FM88"/>
  <c r="FN88"/>
  <c r="FO88"/>
  <c r="FP88"/>
  <c r="FQ88"/>
  <c r="FR88"/>
  <c r="FS88"/>
  <c r="FT88"/>
  <c r="FU88"/>
  <c r="FV88"/>
  <c r="FW88"/>
  <c r="FX88"/>
  <c r="FY88"/>
  <c r="FZ88"/>
  <c r="GA88"/>
  <c r="GB88"/>
  <c r="GC88"/>
  <c r="GD88"/>
  <c r="GE88"/>
  <c r="GF88"/>
  <c r="GG88"/>
  <c r="GH88"/>
  <c r="GI88"/>
  <c r="GJ88"/>
  <c r="GK88"/>
  <c r="GL88"/>
  <c r="GM88"/>
  <c r="GN88"/>
  <c r="GO88"/>
  <c r="GP88"/>
  <c r="GQ88"/>
  <c r="GR88"/>
  <c r="GS88"/>
  <c r="GT88"/>
  <c r="GU88"/>
  <c r="GV88"/>
  <c r="GW88"/>
  <c r="GX88"/>
  <c r="GY88"/>
  <c r="GZ88"/>
  <c r="HA88"/>
  <c r="HB88"/>
  <c r="HC88"/>
  <c r="HD88"/>
  <c r="HE88"/>
  <c r="HF88"/>
  <c r="HG88"/>
  <c r="HH88"/>
  <c r="HI88"/>
  <c r="HJ88"/>
  <c r="HK88"/>
  <c r="HL88"/>
  <c r="HM88"/>
  <c r="HN88"/>
  <c r="HO88"/>
  <c r="HP88"/>
  <c r="HQ88"/>
  <c r="HR88"/>
  <c r="HS88"/>
  <c r="HT88"/>
  <c r="HU88"/>
  <c r="HV88"/>
  <c r="HW88"/>
  <c r="HX88"/>
  <c r="HY88"/>
  <c r="HZ88"/>
  <c r="IA88"/>
  <c r="IB88"/>
  <c r="IC88"/>
  <c r="ID88"/>
  <c r="IE88"/>
  <c r="IF88"/>
  <c r="IG88"/>
  <c r="IH88"/>
  <c r="II88"/>
  <c r="IJ88"/>
  <c r="IK88"/>
  <c r="IL88"/>
  <c r="IM88"/>
  <c r="IN88"/>
  <c r="IO88"/>
  <c r="IP88"/>
  <c r="IQ88"/>
  <c r="IR88"/>
  <c r="IS88"/>
  <c r="IT88"/>
  <c r="IU88"/>
  <c r="IV88"/>
  <c r="A87"/>
  <c r="B87"/>
  <c r="C87"/>
  <c r="D87"/>
  <c r="E87"/>
  <c r="F87"/>
  <c r="G87"/>
  <c r="H87"/>
  <c r="I87"/>
  <c r="J87"/>
  <c r="K87"/>
  <c r="L87"/>
  <c r="M87"/>
  <c r="N87"/>
  <c r="O87"/>
  <c r="P87"/>
  <c r="Q87"/>
  <c r="R87"/>
  <c r="S87"/>
  <c r="T87"/>
  <c r="U87"/>
  <c r="V87"/>
  <c r="W87"/>
  <c r="X87"/>
  <c r="Y87"/>
  <c r="Z87"/>
  <c r="AA87"/>
  <c r="AB87"/>
  <c r="AC87"/>
  <c r="AD87"/>
  <c r="AE87"/>
  <c r="AF87"/>
  <c r="AG87"/>
  <c r="AH87"/>
  <c r="AI87"/>
  <c r="AJ87"/>
  <c r="AK87"/>
  <c r="AL87"/>
  <c r="AM87"/>
  <c r="AN87"/>
  <c r="AO87"/>
  <c r="AP87"/>
  <c r="AQ87"/>
  <c r="AR87"/>
  <c r="AS87"/>
  <c r="AT87"/>
  <c r="AU87"/>
  <c r="AV87"/>
  <c r="AW87"/>
  <c r="AX87"/>
  <c r="AY87"/>
  <c r="AZ87"/>
  <c r="BA87"/>
  <c r="BB87"/>
  <c r="BC87"/>
  <c r="BD87"/>
  <c r="BE87"/>
  <c r="BF87"/>
  <c r="BG87"/>
  <c r="BH87"/>
  <c r="BI87"/>
  <c r="BJ87"/>
  <c r="BK87"/>
  <c r="BL87"/>
  <c r="BM87"/>
  <c r="BN87"/>
  <c r="BO87"/>
  <c r="BP87"/>
  <c r="BQ87"/>
  <c r="BR87"/>
  <c r="BS87"/>
  <c r="BT87"/>
  <c r="BU87"/>
  <c r="BV87"/>
  <c r="BW87"/>
  <c r="BX87"/>
  <c r="BY87"/>
  <c r="BZ87"/>
  <c r="CA87"/>
  <c r="CB87"/>
  <c r="CC87"/>
  <c r="CD87"/>
  <c r="CE87"/>
  <c r="CF87"/>
  <c r="CG87"/>
  <c r="CH87"/>
  <c r="CI87"/>
  <c r="CJ87"/>
  <c r="CK87"/>
  <c r="CL87"/>
  <c r="CM87"/>
  <c r="CN87"/>
  <c r="CO87"/>
  <c r="CP87"/>
  <c r="CQ87"/>
  <c r="CR87"/>
  <c r="CS87"/>
  <c r="CT87"/>
  <c r="CU87"/>
  <c r="CV87"/>
  <c r="CW87"/>
  <c r="CX87"/>
  <c r="CY87"/>
  <c r="CZ87"/>
  <c r="DA87"/>
  <c r="DB87"/>
  <c r="DC87"/>
  <c r="DD87"/>
  <c r="DE87"/>
  <c r="DF87"/>
  <c r="DG87"/>
  <c r="DH87"/>
  <c r="DI87"/>
  <c r="DJ87"/>
  <c r="DK87"/>
  <c r="DL87"/>
  <c r="DM87"/>
  <c r="DN87"/>
  <c r="DO87"/>
  <c r="DP87"/>
  <c r="DQ87"/>
  <c r="DR87"/>
  <c r="DS87"/>
  <c r="DT87"/>
  <c r="DU87"/>
  <c r="DV87"/>
  <c r="DW87"/>
  <c r="DX87"/>
  <c r="DY87"/>
  <c r="DZ87"/>
  <c r="EA87"/>
  <c r="EB87"/>
  <c r="EC87"/>
  <c r="ED87"/>
  <c r="EE87"/>
  <c r="EF87"/>
  <c r="EG87"/>
  <c r="EH87"/>
  <c r="EI87"/>
  <c r="EJ87"/>
  <c r="EK87"/>
  <c r="EL87"/>
  <c r="EM87"/>
  <c r="EN87"/>
  <c r="EO87"/>
  <c r="EP87"/>
  <c r="EQ87"/>
  <c r="ER87"/>
  <c r="ES87"/>
  <c r="ET87"/>
  <c r="EU87"/>
  <c r="EV87"/>
  <c r="EW87"/>
  <c r="EX87"/>
  <c r="EY87"/>
  <c r="EZ87"/>
  <c r="FA87"/>
  <c r="FB87"/>
  <c r="FC87"/>
  <c r="FD87"/>
  <c r="FE87"/>
  <c r="FF87"/>
  <c r="FG87"/>
  <c r="FH87"/>
  <c r="FI87"/>
  <c r="FJ87"/>
  <c r="FK87"/>
  <c r="FL87"/>
  <c r="FM87"/>
  <c r="FN87"/>
  <c r="FO87"/>
  <c r="FP87"/>
  <c r="FQ87"/>
  <c r="FR87"/>
  <c r="FS87"/>
  <c r="FT87"/>
  <c r="FU87"/>
  <c r="FV87"/>
  <c r="FW87"/>
  <c r="FX87"/>
  <c r="FY87"/>
  <c r="FZ87"/>
  <c r="GA87"/>
  <c r="GB87"/>
  <c r="GC87"/>
  <c r="GD87"/>
  <c r="GE87"/>
  <c r="GF87"/>
  <c r="GG87"/>
  <c r="GH87"/>
  <c r="GI87"/>
  <c r="GJ87"/>
  <c r="GK87"/>
  <c r="GL87"/>
  <c r="GM87"/>
  <c r="GN87"/>
  <c r="GO87"/>
  <c r="GP87"/>
  <c r="GQ87"/>
  <c r="GR87"/>
  <c r="GS87"/>
  <c r="GT87"/>
  <c r="GU87"/>
  <c r="GV87"/>
  <c r="GW87"/>
  <c r="GX87"/>
  <c r="GY87"/>
  <c r="GZ87"/>
  <c r="HA87"/>
  <c r="HB87"/>
  <c r="HC87"/>
  <c r="HD87"/>
  <c r="HE87"/>
  <c r="HF87"/>
  <c r="HG87"/>
  <c r="HH87"/>
  <c r="HI87"/>
  <c r="HJ87"/>
  <c r="HK87"/>
  <c r="HL87"/>
  <c r="HM87"/>
  <c r="HN87"/>
  <c r="HO87"/>
  <c r="HP87"/>
  <c r="HQ87"/>
  <c r="HR87"/>
  <c r="HS87"/>
  <c r="HT87"/>
  <c r="HU87"/>
  <c r="HV87"/>
  <c r="HW87"/>
  <c r="HX87"/>
  <c r="HY87"/>
  <c r="HZ87"/>
  <c r="IA87"/>
  <c r="IB87"/>
  <c r="IC87"/>
  <c r="ID87"/>
  <c r="IE87"/>
  <c r="IF87"/>
  <c r="IG87"/>
  <c r="IH87"/>
  <c r="II87"/>
  <c r="IJ87"/>
  <c r="IK87"/>
  <c r="IL87"/>
  <c r="IM87"/>
  <c r="IN87"/>
  <c r="IO87"/>
  <c r="IP87"/>
  <c r="IQ87"/>
  <c r="IR87"/>
  <c r="IS87"/>
  <c r="IT87"/>
  <c r="IU87"/>
  <c r="IV87"/>
  <c r="A86"/>
  <c r="B86"/>
  <c r="C86"/>
  <c r="D86"/>
  <c r="E86"/>
  <c r="F86"/>
  <c r="G86"/>
  <c r="H86"/>
  <c r="I86"/>
  <c r="J86"/>
  <c r="K86"/>
  <c r="L86"/>
  <c r="M86"/>
  <c r="N86"/>
  <c r="O86"/>
  <c r="P86"/>
  <c r="Q86"/>
  <c r="R86"/>
  <c r="S86"/>
  <c r="T86"/>
  <c r="U86"/>
  <c r="V86"/>
  <c r="W86"/>
  <c r="X86"/>
  <c r="Y86"/>
  <c r="Z86"/>
  <c r="AA86"/>
  <c r="AB86"/>
  <c r="AC86"/>
  <c r="AD86"/>
  <c r="AE86"/>
  <c r="AF86"/>
  <c r="AG86"/>
  <c r="AH86"/>
  <c r="AI86"/>
  <c r="AJ86"/>
  <c r="AK86"/>
  <c r="AL86"/>
  <c r="AM86"/>
  <c r="AN86"/>
  <c r="AO86"/>
  <c r="AP86"/>
  <c r="AQ86"/>
  <c r="AR86"/>
  <c r="AS86"/>
  <c r="AT86"/>
  <c r="AU86"/>
  <c r="AV86"/>
  <c r="AW86"/>
  <c r="AX86"/>
  <c r="AY86"/>
  <c r="AZ86"/>
  <c r="BA86"/>
  <c r="BB86"/>
  <c r="BC86"/>
  <c r="BD86"/>
  <c r="BE86"/>
  <c r="BF86"/>
  <c r="BG86"/>
  <c r="BH86"/>
  <c r="BI86"/>
  <c r="BJ86"/>
  <c r="BK86"/>
  <c r="BL86"/>
  <c r="BM86"/>
  <c r="BN86"/>
  <c r="BO86"/>
  <c r="BP86"/>
  <c r="BQ86"/>
  <c r="BR86"/>
  <c r="BS86"/>
  <c r="BT86"/>
  <c r="BU86"/>
  <c r="BV86"/>
  <c r="BW86"/>
  <c r="BX86"/>
  <c r="BY86"/>
  <c r="BZ86"/>
  <c r="CA86"/>
  <c r="CB86"/>
  <c r="CC86"/>
  <c r="CD86"/>
  <c r="CE86"/>
  <c r="CF86"/>
  <c r="CG86"/>
  <c r="CH86"/>
  <c r="CI86"/>
  <c r="CJ86"/>
  <c r="CK86"/>
  <c r="CL86"/>
  <c r="CM86"/>
  <c r="CN86"/>
  <c r="CO86"/>
  <c r="CP86"/>
  <c r="CQ86"/>
  <c r="CR86"/>
  <c r="CS86"/>
  <c r="CT86"/>
  <c r="CU86"/>
  <c r="CV86"/>
  <c r="CW86"/>
  <c r="CX86"/>
  <c r="CY86"/>
  <c r="CZ86"/>
  <c r="DA86"/>
  <c r="DB86"/>
  <c r="DC86"/>
  <c r="DD86"/>
  <c r="DE86"/>
  <c r="DF86"/>
  <c r="DG86"/>
  <c r="DH86"/>
  <c r="DI86"/>
  <c r="DJ86"/>
  <c r="DK86"/>
  <c r="DL86"/>
  <c r="DM86"/>
  <c r="DN86"/>
  <c r="DO86"/>
  <c r="DP86"/>
  <c r="DQ86"/>
  <c r="DR86"/>
  <c r="DS86"/>
  <c r="DT86"/>
  <c r="DU86"/>
  <c r="DV86"/>
  <c r="DW86"/>
  <c r="DX86"/>
  <c r="DY86"/>
  <c r="DZ86"/>
  <c r="EA86"/>
  <c r="EB86"/>
  <c r="EC86"/>
  <c r="ED86"/>
  <c r="EE86"/>
  <c r="EF86"/>
  <c r="EG86"/>
  <c r="EH86"/>
  <c r="EI86"/>
  <c r="EJ86"/>
  <c r="EK86"/>
  <c r="EL86"/>
  <c r="EM86"/>
  <c r="EN86"/>
  <c r="EO86"/>
  <c r="EP86"/>
  <c r="EQ86"/>
  <c r="ER86"/>
  <c r="ES86"/>
  <c r="ET86"/>
  <c r="EU86"/>
  <c r="EV86"/>
  <c r="EW86"/>
  <c r="EX86"/>
  <c r="EY86"/>
  <c r="EZ86"/>
  <c r="FA86"/>
  <c r="FB86"/>
  <c r="FC86"/>
  <c r="FD86"/>
  <c r="FE86"/>
  <c r="FF86"/>
  <c r="FG86"/>
  <c r="FH86"/>
  <c r="FI86"/>
  <c r="FJ86"/>
  <c r="FK86"/>
  <c r="FL86"/>
  <c r="FM86"/>
  <c r="FN86"/>
  <c r="FO86"/>
  <c r="FP86"/>
  <c r="FQ86"/>
  <c r="FR86"/>
  <c r="FS86"/>
  <c r="FT86"/>
  <c r="FU86"/>
  <c r="FV86"/>
  <c r="FW86"/>
  <c r="FX86"/>
  <c r="FY86"/>
  <c r="FZ86"/>
  <c r="GA86"/>
  <c r="GB86"/>
  <c r="GC86"/>
  <c r="GD86"/>
  <c r="GE86"/>
  <c r="GF86"/>
  <c r="GG86"/>
  <c r="GH86"/>
  <c r="GI86"/>
  <c r="GJ86"/>
  <c r="GK86"/>
  <c r="GL86"/>
  <c r="GM86"/>
  <c r="GN86"/>
  <c r="GO86"/>
  <c r="GP86"/>
  <c r="GQ86"/>
  <c r="GR86"/>
  <c r="GS86"/>
  <c r="GT86"/>
  <c r="GU86"/>
  <c r="GV86"/>
  <c r="GW86"/>
  <c r="GX86"/>
  <c r="GY86"/>
  <c r="GZ86"/>
  <c r="HA86"/>
  <c r="HB86"/>
  <c r="HC86"/>
  <c r="HD86"/>
  <c r="HE86"/>
  <c r="HF86"/>
  <c r="HG86"/>
  <c r="HH86"/>
  <c r="HI86"/>
  <c r="HJ86"/>
  <c r="HK86"/>
  <c r="HL86"/>
  <c r="HM86"/>
  <c r="HN86"/>
  <c r="HO86"/>
  <c r="HP86"/>
  <c r="HQ86"/>
  <c r="HR86"/>
  <c r="HS86"/>
  <c r="HT86"/>
  <c r="HU86"/>
  <c r="HV86"/>
  <c r="HW86"/>
  <c r="HX86"/>
  <c r="HY86"/>
  <c r="HZ86"/>
  <c r="IA86"/>
  <c r="IB86"/>
  <c r="IC86"/>
  <c r="ID86"/>
  <c r="IE86"/>
  <c r="IF86"/>
  <c r="IG86"/>
  <c r="IH86"/>
  <c r="II86"/>
  <c r="IJ86"/>
  <c r="IK86"/>
  <c r="IL86"/>
  <c r="IM86"/>
  <c r="IN86"/>
  <c r="IO86"/>
  <c r="IP86"/>
  <c r="IQ86"/>
  <c r="IR86"/>
  <c r="IS86"/>
  <c r="IT86"/>
  <c r="IU86"/>
  <c r="IV86"/>
  <c r="A85"/>
  <c r="B85"/>
  <c r="C85"/>
  <c r="D85"/>
  <c r="E85"/>
  <c r="F85"/>
  <c r="G85"/>
  <c r="H85"/>
  <c r="I85"/>
  <c r="J85"/>
  <c r="K85"/>
  <c r="L85"/>
  <c r="M85"/>
  <c r="N85"/>
  <c r="O85"/>
  <c r="P85"/>
  <c r="Q85"/>
  <c r="R85"/>
  <c r="S85"/>
  <c r="T85"/>
  <c r="U85"/>
  <c r="V85"/>
  <c r="W85"/>
  <c r="X85"/>
  <c r="Y85"/>
  <c r="Z85"/>
  <c r="AA85"/>
  <c r="AB85"/>
  <c r="AC85"/>
  <c r="AD85"/>
  <c r="AE85"/>
  <c r="AF85"/>
  <c r="AG85"/>
  <c r="AH85"/>
  <c r="AI85"/>
  <c r="AJ85"/>
  <c r="AK85"/>
  <c r="AL85"/>
  <c r="AM85"/>
  <c r="AN85"/>
  <c r="AO85"/>
  <c r="AP85"/>
  <c r="AQ85"/>
  <c r="AR85"/>
  <c r="AS85"/>
  <c r="AT85"/>
  <c r="AU85"/>
  <c r="AV85"/>
  <c r="AW85"/>
  <c r="AX85"/>
  <c r="AY85"/>
  <c r="AZ85"/>
  <c r="BA85"/>
  <c r="BB85"/>
  <c r="BC85"/>
  <c r="BD85"/>
  <c r="BE85"/>
  <c r="BF85"/>
  <c r="BG85"/>
  <c r="BH85"/>
  <c r="BI85"/>
  <c r="BJ85"/>
  <c r="BK85"/>
  <c r="BL85"/>
  <c r="BM85"/>
  <c r="BN85"/>
  <c r="BO85"/>
  <c r="BP85"/>
  <c r="BQ85"/>
  <c r="BR85"/>
  <c r="BS85"/>
  <c r="BT85"/>
  <c r="BU85"/>
  <c r="BV85"/>
  <c r="BW85"/>
  <c r="BX85"/>
  <c r="BY85"/>
  <c r="BZ85"/>
  <c r="CA85"/>
  <c r="CB85"/>
  <c r="CC85"/>
  <c r="CD85"/>
  <c r="CE85"/>
  <c r="CF85"/>
  <c r="CG85"/>
  <c r="CH85"/>
  <c r="CI85"/>
  <c r="CJ85"/>
  <c r="CK85"/>
  <c r="CL85"/>
  <c r="CM85"/>
  <c r="CN85"/>
  <c r="CO85"/>
  <c r="CP85"/>
  <c r="CQ85"/>
  <c r="CR85"/>
  <c r="CS85"/>
  <c r="CT85"/>
  <c r="CU85"/>
  <c r="CV85"/>
  <c r="CW85"/>
  <c r="CX85"/>
  <c r="CY85"/>
  <c r="CZ85"/>
  <c r="DA85"/>
  <c r="DB85"/>
  <c r="DC85"/>
  <c r="DD85"/>
  <c r="DE85"/>
  <c r="DF85"/>
  <c r="DG85"/>
  <c r="DH85"/>
  <c r="DI85"/>
  <c r="DJ85"/>
  <c r="DK85"/>
  <c r="DL85"/>
  <c r="DM85"/>
  <c r="DN85"/>
  <c r="DO85"/>
  <c r="DP85"/>
  <c r="DQ85"/>
  <c r="DR85"/>
  <c r="DS85"/>
  <c r="DT85"/>
  <c r="DU85"/>
  <c r="DV85"/>
  <c r="DW85"/>
  <c r="DX85"/>
  <c r="DY85"/>
  <c r="DZ85"/>
  <c r="EA85"/>
  <c r="EB85"/>
  <c r="EC85"/>
  <c r="ED85"/>
  <c r="EE85"/>
  <c r="EF85"/>
  <c r="EG85"/>
  <c r="EH85"/>
  <c r="EI85"/>
  <c r="EJ85"/>
  <c r="EK85"/>
  <c r="EL85"/>
  <c r="EM85"/>
  <c r="EN85"/>
  <c r="EO85"/>
  <c r="EP85"/>
  <c r="EQ85"/>
  <c r="ER85"/>
  <c r="ES85"/>
  <c r="ET85"/>
  <c r="EU85"/>
  <c r="EV85"/>
  <c r="EW85"/>
  <c r="EX85"/>
  <c r="EY85"/>
  <c r="EZ85"/>
  <c r="FA85"/>
  <c r="FB85"/>
  <c r="FC85"/>
  <c r="FD85"/>
  <c r="FE85"/>
  <c r="FF85"/>
  <c r="FG85"/>
  <c r="FH85"/>
  <c r="FI85"/>
  <c r="FJ85"/>
  <c r="FK85"/>
  <c r="FL85"/>
  <c r="FM85"/>
  <c r="FN85"/>
  <c r="FO85"/>
  <c r="FP85"/>
  <c r="FQ85"/>
  <c r="FR85"/>
  <c r="FS85"/>
  <c r="FT85"/>
  <c r="FU85"/>
  <c r="FV85"/>
  <c r="FW85"/>
  <c r="FX85"/>
  <c r="FY85"/>
  <c r="FZ85"/>
  <c r="GA85"/>
  <c r="GB85"/>
  <c r="GC85"/>
  <c r="GD85"/>
  <c r="GE85"/>
  <c r="GF85"/>
  <c r="GG85"/>
  <c r="GH85"/>
  <c r="GI85"/>
  <c r="GJ85"/>
  <c r="GK85"/>
  <c r="GL85"/>
  <c r="GM85"/>
  <c r="GN85"/>
  <c r="GO85"/>
  <c r="GP85"/>
  <c r="GQ85"/>
  <c r="GR85"/>
  <c r="GS85"/>
  <c r="GT85"/>
  <c r="GU85"/>
  <c r="GV85"/>
  <c r="GW85"/>
  <c r="GX85"/>
  <c r="GY85"/>
  <c r="GZ85"/>
  <c r="HA85"/>
  <c r="HB85"/>
  <c r="HC85"/>
  <c r="HD85"/>
  <c r="HE85"/>
  <c r="HF85"/>
  <c r="HG85"/>
  <c r="HH85"/>
  <c r="HI85"/>
  <c r="HJ85"/>
  <c r="HK85"/>
  <c r="HL85"/>
  <c r="HM85"/>
  <c r="HN85"/>
  <c r="HO85"/>
  <c r="HP85"/>
  <c r="HQ85"/>
  <c r="HR85"/>
  <c r="HS85"/>
  <c r="HT85"/>
  <c r="HU85"/>
  <c r="HV85"/>
  <c r="HW85"/>
  <c r="HX85"/>
  <c r="HY85"/>
  <c r="HZ85"/>
  <c r="IA85"/>
  <c r="IB85"/>
  <c r="IC85"/>
  <c r="ID85"/>
  <c r="IE85"/>
  <c r="IF85"/>
  <c r="IG85"/>
  <c r="IH85"/>
  <c r="II85"/>
  <c r="IJ85"/>
  <c r="IK85"/>
  <c r="IL85"/>
  <c r="IM85"/>
  <c r="IN85"/>
  <c r="IO85"/>
  <c r="IP85"/>
  <c r="IQ85"/>
  <c r="IR85"/>
  <c r="IS85"/>
  <c r="IT85"/>
  <c r="IU85"/>
  <c r="IV85"/>
  <c r="A84"/>
  <c r="B84"/>
  <c r="C84"/>
  <c r="D84"/>
  <c r="E84"/>
  <c r="F84"/>
  <c r="G84"/>
  <c r="H84"/>
  <c r="I84"/>
  <c r="J84"/>
  <c r="K84"/>
  <c r="L84"/>
  <c r="M84"/>
  <c r="N84"/>
  <c r="O84"/>
  <c r="P84"/>
  <c r="Q84"/>
  <c r="R84"/>
  <c r="S84"/>
  <c r="T84"/>
  <c r="U84"/>
  <c r="V84"/>
  <c r="W84"/>
  <c r="X84"/>
  <c r="Y84"/>
  <c r="Z84"/>
  <c r="AA84"/>
  <c r="AB84"/>
  <c r="AC84"/>
  <c r="AD84"/>
  <c r="AE84"/>
  <c r="AF84"/>
  <c r="AG84"/>
  <c r="AH84"/>
  <c r="AI84"/>
  <c r="AJ84"/>
  <c r="AK84"/>
  <c r="AL84"/>
  <c r="AM84"/>
  <c r="AN84"/>
  <c r="AO84"/>
  <c r="AP84"/>
  <c r="AQ84"/>
  <c r="AR84"/>
  <c r="AS84"/>
  <c r="AT84"/>
  <c r="AU84"/>
  <c r="AV84"/>
  <c r="AW84"/>
  <c r="AX84"/>
  <c r="AY84"/>
  <c r="AZ84"/>
  <c r="BA84"/>
  <c r="BB84"/>
  <c r="BC84"/>
  <c r="BD84"/>
  <c r="BE84"/>
  <c r="BF84"/>
  <c r="BG84"/>
  <c r="BH84"/>
  <c r="BI84"/>
  <c r="BJ84"/>
  <c r="BK84"/>
  <c r="BL84"/>
  <c r="BM84"/>
  <c r="BN84"/>
  <c r="BO84"/>
  <c r="BP84"/>
  <c r="BQ84"/>
  <c r="BR84"/>
  <c r="BS84"/>
  <c r="BT84"/>
  <c r="BU84"/>
  <c r="BV84"/>
  <c r="BW84"/>
  <c r="BX84"/>
  <c r="BY84"/>
  <c r="BZ84"/>
  <c r="CA84"/>
  <c r="CB84"/>
  <c r="CC84"/>
  <c r="CD84"/>
  <c r="CE84"/>
  <c r="CF84"/>
  <c r="CG84"/>
  <c r="CH84"/>
  <c r="CI84"/>
  <c r="CJ84"/>
  <c r="CK84"/>
  <c r="CL84"/>
  <c r="CM84"/>
  <c r="CN84"/>
  <c r="CO84"/>
  <c r="CP84"/>
  <c r="CQ84"/>
  <c r="CR84"/>
  <c r="CS84"/>
  <c r="CT84"/>
  <c r="CU84"/>
  <c r="CV84"/>
  <c r="CW84"/>
  <c r="CX84"/>
  <c r="CY84"/>
  <c r="CZ84"/>
  <c r="DA84"/>
  <c r="DB84"/>
  <c r="DC84"/>
  <c r="DD84"/>
  <c r="DE84"/>
  <c r="DF84"/>
  <c r="DG84"/>
  <c r="DH84"/>
  <c r="DI84"/>
  <c r="DJ84"/>
  <c r="DK84"/>
  <c r="DL84"/>
  <c r="DM84"/>
  <c r="DN84"/>
  <c r="DO84"/>
  <c r="DP84"/>
  <c r="DQ84"/>
  <c r="DR84"/>
  <c r="DS84"/>
  <c r="DT84"/>
  <c r="DU84"/>
  <c r="DV84"/>
  <c r="DW84"/>
  <c r="DX84"/>
  <c r="DY84"/>
  <c r="DZ84"/>
  <c r="EA84"/>
  <c r="EB84"/>
  <c r="EC84"/>
  <c r="ED84"/>
  <c r="EE84"/>
  <c r="EF84"/>
  <c r="EG84"/>
  <c r="EH84"/>
  <c r="EI84"/>
  <c r="EJ84"/>
  <c r="EK84"/>
  <c r="EL84"/>
  <c r="EM84"/>
  <c r="EN84"/>
  <c r="EO84"/>
  <c r="EP84"/>
  <c r="EQ84"/>
  <c r="ER84"/>
  <c r="ES84"/>
  <c r="ET84"/>
  <c r="EU84"/>
  <c r="EV84"/>
  <c r="EW84"/>
  <c r="EX84"/>
  <c r="EY84"/>
  <c r="EZ84"/>
  <c r="FA84"/>
  <c r="FB84"/>
  <c r="FC84"/>
  <c r="FD84"/>
  <c r="FE84"/>
  <c r="FF84"/>
  <c r="FG84"/>
  <c r="FH84"/>
  <c r="FI84"/>
  <c r="FJ84"/>
  <c r="FK84"/>
  <c r="FL84"/>
  <c r="FM84"/>
  <c r="FN84"/>
  <c r="FO84"/>
  <c r="FP84"/>
  <c r="FQ84"/>
  <c r="FR84"/>
  <c r="FS84"/>
  <c r="FT84"/>
  <c r="FU84"/>
  <c r="FV84"/>
  <c r="FW84"/>
  <c r="FX84"/>
  <c r="FY84"/>
  <c r="FZ84"/>
  <c r="GA84"/>
  <c r="GB84"/>
  <c r="GC84"/>
  <c r="GD84"/>
  <c r="GE84"/>
  <c r="GF84"/>
  <c r="GG84"/>
  <c r="GH84"/>
  <c r="GI84"/>
  <c r="GJ84"/>
  <c r="GK84"/>
  <c r="GL84"/>
  <c r="GM84"/>
  <c r="GN84"/>
  <c r="GO84"/>
  <c r="GP84"/>
  <c r="GQ84"/>
  <c r="GR84"/>
  <c r="GS84"/>
  <c r="GT84"/>
  <c r="GU84"/>
  <c r="GV84"/>
  <c r="GW84"/>
  <c r="GX84"/>
  <c r="GY84"/>
  <c r="GZ84"/>
  <c r="HA84"/>
  <c r="HB84"/>
  <c r="HC84"/>
  <c r="HD84"/>
  <c r="HE84"/>
  <c r="HF84"/>
  <c r="HG84"/>
  <c r="HH84"/>
  <c r="HI84"/>
  <c r="HJ84"/>
  <c r="HK84"/>
  <c r="HL84"/>
  <c r="HM84"/>
  <c r="HN84"/>
  <c r="HO84"/>
  <c r="HP84"/>
  <c r="HQ84"/>
  <c r="HR84"/>
  <c r="HS84"/>
  <c r="HT84"/>
  <c r="HU84"/>
  <c r="HV84"/>
  <c r="HW84"/>
  <c r="HX84"/>
  <c r="HY84"/>
  <c r="HZ84"/>
  <c r="IA84"/>
  <c r="IB84"/>
  <c r="IC84"/>
  <c r="ID84"/>
  <c r="IE84"/>
  <c r="IF84"/>
  <c r="IG84"/>
  <c r="IH84"/>
  <c r="II84"/>
  <c r="IJ84"/>
  <c r="IK84"/>
  <c r="IL84"/>
  <c r="IM84"/>
  <c r="IN84"/>
  <c r="IO84"/>
  <c r="IP84"/>
  <c r="IQ84"/>
  <c r="IR84"/>
  <c r="IS84"/>
  <c r="IT84"/>
  <c r="IU84"/>
  <c r="IV84"/>
  <c r="A83"/>
  <c r="B83"/>
  <c r="C83"/>
  <c r="D83"/>
  <c r="E83"/>
  <c r="F83"/>
  <c r="G83"/>
  <c r="H83"/>
  <c r="I83"/>
  <c r="J83"/>
  <c r="K83"/>
  <c r="L83"/>
  <c r="M83"/>
  <c r="N83"/>
  <c r="O83"/>
  <c r="P83"/>
  <c r="Q83"/>
  <c r="R83"/>
  <c r="S83"/>
  <c r="T83"/>
  <c r="U83"/>
  <c r="V83"/>
  <c r="W83"/>
  <c r="X83"/>
  <c r="Y83"/>
  <c r="Z83"/>
  <c r="AA83"/>
  <c r="AB83"/>
  <c r="AC83"/>
  <c r="AD83"/>
  <c r="AE83"/>
  <c r="AF83"/>
  <c r="AG83"/>
  <c r="AH83"/>
  <c r="AI83"/>
  <c r="AJ83"/>
  <c r="AK83"/>
  <c r="AL83"/>
  <c r="AM83"/>
  <c r="AN83"/>
  <c r="AO83"/>
  <c r="AP83"/>
  <c r="AQ83"/>
  <c r="AR83"/>
  <c r="AS83"/>
  <c r="AT83"/>
  <c r="AU83"/>
  <c r="AV83"/>
  <c r="AW83"/>
  <c r="AX83"/>
  <c r="AY83"/>
  <c r="AZ83"/>
  <c r="BA83"/>
  <c r="BB83"/>
  <c r="BC83"/>
  <c r="BD83"/>
  <c r="BE83"/>
  <c r="BF83"/>
  <c r="BG83"/>
  <c r="BH83"/>
  <c r="BI83"/>
  <c r="BJ83"/>
  <c r="BK83"/>
  <c r="BL83"/>
  <c r="BM83"/>
  <c r="BN83"/>
  <c r="BO83"/>
  <c r="BP83"/>
  <c r="BQ83"/>
  <c r="BR83"/>
  <c r="BS83"/>
  <c r="BT83"/>
  <c r="BU83"/>
  <c r="BV83"/>
  <c r="BW83"/>
  <c r="BX83"/>
  <c r="BY83"/>
  <c r="BZ83"/>
  <c r="CA83"/>
  <c r="CB83"/>
  <c r="CC83"/>
  <c r="CD83"/>
  <c r="CE83"/>
  <c r="CF83"/>
  <c r="CG83"/>
  <c r="CH83"/>
  <c r="CI83"/>
  <c r="CJ83"/>
  <c r="CK83"/>
  <c r="CL83"/>
  <c r="CM83"/>
  <c r="CN83"/>
  <c r="CO83"/>
  <c r="CP83"/>
  <c r="CQ83"/>
  <c r="CR83"/>
  <c r="CS83"/>
  <c r="CT83"/>
  <c r="CU83"/>
  <c r="CV83"/>
  <c r="CW83"/>
  <c r="CX83"/>
  <c r="CY83"/>
  <c r="CZ83"/>
  <c r="DA83"/>
  <c r="DB83"/>
  <c r="DC83"/>
  <c r="DD83"/>
  <c r="DE83"/>
  <c r="DF83"/>
  <c r="DG83"/>
  <c r="DH83"/>
  <c r="DI83"/>
  <c r="DJ83"/>
  <c r="DK83"/>
  <c r="DL83"/>
  <c r="DM83"/>
  <c r="DN83"/>
  <c r="DO83"/>
  <c r="DP83"/>
  <c r="DQ83"/>
  <c r="DR83"/>
  <c r="DS83"/>
  <c r="DT83"/>
  <c r="DU83"/>
  <c r="DV83"/>
  <c r="DW83"/>
  <c r="DX83"/>
  <c r="DY83"/>
  <c r="DZ83"/>
  <c r="EA83"/>
  <c r="EB83"/>
  <c r="EC83"/>
  <c r="ED83"/>
  <c r="EE83"/>
  <c r="EF83"/>
  <c r="EG83"/>
  <c r="EH83"/>
  <c r="EI83"/>
  <c r="EJ83"/>
  <c r="EK83"/>
  <c r="EL83"/>
  <c r="EM83"/>
  <c r="EN83"/>
  <c r="EO83"/>
  <c r="EP83"/>
  <c r="EQ83"/>
  <c r="ER83"/>
  <c r="ES83"/>
  <c r="ET83"/>
  <c r="EU83"/>
  <c r="EV83"/>
  <c r="EW83"/>
  <c r="EX83"/>
  <c r="EY83"/>
  <c r="EZ83"/>
  <c r="FA83"/>
  <c r="FB83"/>
  <c r="FC83"/>
  <c r="FD83"/>
  <c r="FE83"/>
  <c r="FF83"/>
  <c r="FG83"/>
  <c r="FH83"/>
  <c r="FI83"/>
  <c r="FJ83"/>
  <c r="FK83"/>
  <c r="FL83"/>
  <c r="FM83"/>
  <c r="FN83"/>
  <c r="FO83"/>
  <c r="FP83"/>
  <c r="FQ83"/>
  <c r="FR83"/>
  <c r="FS83"/>
  <c r="FT83"/>
  <c r="FU83"/>
  <c r="FV83"/>
  <c r="FW83"/>
  <c r="FX83"/>
  <c r="FY83"/>
  <c r="FZ83"/>
  <c r="GA83"/>
  <c r="GB83"/>
  <c r="GC83"/>
  <c r="GD83"/>
  <c r="GE83"/>
  <c r="GF83"/>
  <c r="GG83"/>
  <c r="GH83"/>
  <c r="GI83"/>
  <c r="GJ83"/>
  <c r="GK83"/>
  <c r="GL83"/>
  <c r="GM83"/>
  <c r="GN83"/>
  <c r="GO83"/>
  <c r="GP83"/>
  <c r="GQ83"/>
  <c r="GR83"/>
  <c r="GS83"/>
  <c r="GT83"/>
  <c r="GU83"/>
  <c r="GV83"/>
  <c r="GW83"/>
  <c r="GX83"/>
  <c r="GY83"/>
  <c r="GZ83"/>
  <c r="HA83"/>
  <c r="HB83"/>
  <c r="HC83"/>
  <c r="HD83"/>
  <c r="HE83"/>
  <c r="HF83"/>
  <c r="HG83"/>
  <c r="HH83"/>
  <c r="HI83"/>
  <c r="HJ83"/>
  <c r="HK83"/>
  <c r="HL83"/>
  <c r="HM83"/>
  <c r="HN83"/>
  <c r="HO83"/>
  <c r="HP83"/>
  <c r="HQ83"/>
  <c r="HR83"/>
  <c r="HS83"/>
  <c r="HT83"/>
  <c r="HU83"/>
  <c r="HV83"/>
  <c r="HW83"/>
  <c r="HX83"/>
  <c r="HY83"/>
  <c r="HZ83"/>
  <c r="IA83"/>
  <c r="IB83"/>
  <c r="IC83"/>
  <c r="ID83"/>
  <c r="IE83"/>
  <c r="IF83"/>
  <c r="IG83"/>
  <c r="IH83"/>
  <c r="II83"/>
  <c r="IJ83"/>
  <c r="IK83"/>
  <c r="IL83"/>
  <c r="IM83"/>
  <c r="IN83"/>
  <c r="IO83"/>
  <c r="IP83"/>
  <c r="IQ83"/>
  <c r="IR83"/>
  <c r="IS83"/>
  <c r="IT83"/>
  <c r="IU83"/>
  <c r="IV83"/>
  <c r="A82"/>
  <c r="B82"/>
  <c r="C82"/>
  <c r="D82"/>
  <c r="E82"/>
  <c r="F82"/>
  <c r="G82"/>
  <c r="H82"/>
  <c r="I82"/>
  <c r="J82"/>
  <c r="K82"/>
  <c r="L82"/>
  <c r="M82"/>
  <c r="N82"/>
  <c r="O82"/>
  <c r="P82"/>
  <c r="Q82"/>
  <c r="R82"/>
  <c r="S82"/>
  <c r="T82"/>
  <c r="U82"/>
  <c r="V82"/>
  <c r="W82"/>
  <c r="X82"/>
  <c r="Y82"/>
  <c r="Z82"/>
  <c r="AA82"/>
  <c r="AB82"/>
  <c r="AC82"/>
  <c r="AD82"/>
  <c r="AE82"/>
  <c r="AF82"/>
  <c r="AG82"/>
  <c r="AH82"/>
  <c r="AI82"/>
  <c r="AJ82"/>
  <c r="AK82"/>
  <c r="AL82"/>
  <c r="AM82"/>
  <c r="AN82"/>
  <c r="AO82"/>
  <c r="AP82"/>
  <c r="AQ82"/>
  <c r="AR82"/>
  <c r="AS82"/>
  <c r="AT82"/>
  <c r="AU82"/>
  <c r="AV82"/>
  <c r="AW82"/>
  <c r="AX82"/>
  <c r="AY82"/>
  <c r="AZ82"/>
  <c r="BA82"/>
  <c r="BB82"/>
  <c r="BC82"/>
  <c r="BD82"/>
  <c r="BE82"/>
  <c r="BF82"/>
  <c r="BG82"/>
  <c r="BH82"/>
  <c r="BI82"/>
  <c r="BJ82"/>
  <c r="BK82"/>
  <c r="BL82"/>
  <c r="BM82"/>
  <c r="BN82"/>
  <c r="BO82"/>
  <c r="BP82"/>
  <c r="BQ82"/>
  <c r="BR82"/>
  <c r="BS82"/>
  <c r="BT82"/>
  <c r="BU82"/>
  <c r="BV82"/>
  <c r="BW82"/>
  <c r="BX82"/>
  <c r="BY82"/>
  <c r="BZ82"/>
  <c r="CA82"/>
  <c r="CB82"/>
  <c r="CC82"/>
  <c r="CD82"/>
  <c r="CE82"/>
  <c r="CF82"/>
  <c r="CG82"/>
  <c r="CH82"/>
  <c r="CI82"/>
  <c r="CJ82"/>
  <c r="CK82"/>
  <c r="CL82"/>
  <c r="CM82"/>
  <c r="CN82"/>
  <c r="CO82"/>
  <c r="CP82"/>
  <c r="CQ82"/>
  <c r="CR82"/>
  <c r="CS82"/>
  <c r="CT82"/>
  <c r="CU82"/>
  <c r="CV82"/>
  <c r="CW82"/>
  <c r="CX82"/>
  <c r="CY82"/>
  <c r="CZ82"/>
  <c r="DA82"/>
  <c r="DB82"/>
  <c r="DC82"/>
  <c r="DD82"/>
  <c r="DE82"/>
  <c r="DF82"/>
  <c r="DG82"/>
  <c r="DH82"/>
  <c r="DI82"/>
  <c r="DJ82"/>
  <c r="DK82"/>
  <c r="DL82"/>
  <c r="DM82"/>
  <c r="DN82"/>
  <c r="DO82"/>
  <c r="DP82"/>
  <c r="DQ82"/>
  <c r="DR82"/>
  <c r="DS82"/>
  <c r="DT82"/>
  <c r="DU82"/>
  <c r="DV82"/>
  <c r="DW82"/>
  <c r="DX82"/>
  <c r="DY82"/>
  <c r="DZ82"/>
  <c r="EA82"/>
  <c r="EB82"/>
  <c r="EC82"/>
  <c r="ED82"/>
  <c r="EE82"/>
  <c r="EF82"/>
  <c r="EG82"/>
  <c r="EH82"/>
  <c r="EI82"/>
  <c r="EJ82"/>
  <c r="EK82"/>
  <c r="EL82"/>
  <c r="EM82"/>
  <c r="EN82"/>
  <c r="EO82"/>
  <c r="EP82"/>
  <c r="EQ82"/>
  <c r="ER82"/>
  <c r="ES82"/>
  <c r="ET82"/>
  <c r="EU82"/>
  <c r="EV82"/>
  <c r="EW82"/>
  <c r="EX82"/>
  <c r="EY82"/>
  <c r="EZ82"/>
  <c r="FA82"/>
  <c r="FB82"/>
  <c r="FC82"/>
  <c r="FD82"/>
  <c r="FE82"/>
  <c r="FF82"/>
  <c r="FG82"/>
  <c r="FH82"/>
  <c r="FI82"/>
  <c r="FJ82"/>
  <c r="FK82"/>
  <c r="FL82"/>
  <c r="FM82"/>
  <c r="FN82"/>
  <c r="FO82"/>
  <c r="FP82"/>
  <c r="FQ82"/>
  <c r="FR82"/>
  <c r="FS82"/>
  <c r="FT82"/>
  <c r="FU82"/>
  <c r="FV82"/>
  <c r="FW82"/>
  <c r="FX82"/>
  <c r="FY82"/>
  <c r="FZ82"/>
  <c r="GA82"/>
  <c r="GB82"/>
  <c r="GC82"/>
  <c r="GD82"/>
  <c r="GE82"/>
  <c r="GF82"/>
  <c r="GG82"/>
  <c r="GH82"/>
  <c r="GI82"/>
  <c r="GJ82"/>
  <c r="GK82"/>
  <c r="GL82"/>
  <c r="GM82"/>
  <c r="GN82"/>
  <c r="GO82"/>
  <c r="GP82"/>
  <c r="GQ82"/>
  <c r="GR82"/>
  <c r="GS82"/>
  <c r="GT82"/>
  <c r="GU82"/>
  <c r="GV82"/>
  <c r="GW82"/>
  <c r="GX82"/>
  <c r="GY82"/>
  <c r="GZ82"/>
  <c r="HA82"/>
  <c r="HB82"/>
  <c r="HC82"/>
  <c r="HD82"/>
  <c r="HE82"/>
  <c r="HF82"/>
  <c r="HG82"/>
  <c r="HH82"/>
  <c r="HI82"/>
  <c r="HJ82"/>
  <c r="HK82"/>
  <c r="HL82"/>
  <c r="HM82"/>
  <c r="HN82"/>
  <c r="HO82"/>
  <c r="HP82"/>
  <c r="HQ82"/>
  <c r="HR82"/>
  <c r="HS82"/>
  <c r="HT82"/>
  <c r="HU82"/>
  <c r="HV82"/>
  <c r="HW82"/>
  <c r="HX82"/>
  <c r="HY82"/>
  <c r="HZ82"/>
  <c r="IA82"/>
  <c r="IB82"/>
  <c r="IC82"/>
  <c r="ID82"/>
  <c r="IE82"/>
  <c r="IF82"/>
  <c r="IG82"/>
  <c r="IH82"/>
  <c r="II82"/>
  <c r="IJ82"/>
  <c r="IK82"/>
  <c r="IL82"/>
  <c r="IM82"/>
  <c r="IN82"/>
  <c r="IO82"/>
  <c r="IP82"/>
  <c r="IQ82"/>
  <c r="IR82"/>
  <c r="IS82"/>
  <c r="IT82"/>
  <c r="IU82"/>
  <c r="IV82"/>
  <c r="A81"/>
  <c r="B81"/>
  <c r="C81"/>
  <c r="D81"/>
  <c r="E81"/>
  <c r="F81"/>
  <c r="G81"/>
  <c r="H81"/>
  <c r="I81"/>
  <c r="J81"/>
  <c r="K81"/>
  <c r="L81"/>
  <c r="M81"/>
  <c r="N81"/>
  <c r="O81"/>
  <c r="P81"/>
  <c r="Q81"/>
  <c r="R81"/>
  <c r="S81"/>
  <c r="T81"/>
  <c r="U81"/>
  <c r="V81"/>
  <c r="W81"/>
  <c r="X81"/>
  <c r="Y81"/>
  <c r="Z81"/>
  <c r="AA81"/>
  <c r="AB81"/>
  <c r="AC81"/>
  <c r="AD81"/>
  <c r="AE81"/>
  <c r="AF81"/>
  <c r="AG81"/>
  <c r="AH81"/>
  <c r="AI81"/>
  <c r="AJ81"/>
  <c r="AK81"/>
  <c r="AL81"/>
  <c r="AM81"/>
  <c r="AN81"/>
  <c r="AO81"/>
  <c r="AP81"/>
  <c r="AQ81"/>
  <c r="AR81"/>
  <c r="AS81"/>
  <c r="AT81"/>
  <c r="AU81"/>
  <c r="AV81"/>
  <c r="AW81"/>
  <c r="AX81"/>
  <c r="AY81"/>
  <c r="AZ81"/>
  <c r="BA81"/>
  <c r="BB81"/>
  <c r="BC81"/>
  <c r="BD81"/>
  <c r="BE81"/>
  <c r="BF81"/>
  <c r="BG81"/>
  <c r="BH81"/>
  <c r="BI81"/>
  <c r="BJ81"/>
  <c r="BK81"/>
  <c r="BL81"/>
  <c r="BM81"/>
  <c r="BN81"/>
  <c r="BO81"/>
  <c r="BP81"/>
  <c r="BQ81"/>
  <c r="BR81"/>
  <c r="BS81"/>
  <c r="BT81"/>
  <c r="BU81"/>
  <c r="BV81"/>
  <c r="BW81"/>
  <c r="BX81"/>
  <c r="BY81"/>
  <c r="BZ81"/>
  <c r="CA81"/>
  <c r="CB81"/>
  <c r="CC81"/>
  <c r="CD81"/>
  <c r="CE81"/>
  <c r="CF81"/>
  <c r="CG81"/>
  <c r="CH81"/>
  <c r="CI81"/>
  <c r="CJ81"/>
  <c r="CK81"/>
  <c r="CL81"/>
  <c r="CM81"/>
  <c r="CN81"/>
  <c r="CO81"/>
  <c r="CP81"/>
  <c r="CQ81"/>
  <c r="CR81"/>
  <c r="CS81"/>
  <c r="CT81"/>
  <c r="CU81"/>
  <c r="CV81"/>
  <c r="CW81"/>
  <c r="CX81"/>
  <c r="CY81"/>
  <c r="CZ81"/>
  <c r="DA81"/>
  <c r="DB81"/>
  <c r="DC81"/>
  <c r="DD81"/>
  <c r="DE81"/>
  <c r="DF81"/>
  <c r="DG81"/>
  <c r="DH81"/>
  <c r="DI81"/>
  <c r="DJ81"/>
  <c r="DK81"/>
  <c r="DL81"/>
  <c r="DM81"/>
  <c r="DN81"/>
  <c r="DO81"/>
  <c r="DP81"/>
  <c r="DQ81"/>
  <c r="DR81"/>
  <c r="DS81"/>
  <c r="DT81"/>
  <c r="DU81"/>
  <c r="DV81"/>
  <c r="DW81"/>
  <c r="DX81"/>
  <c r="DY81"/>
  <c r="DZ81"/>
  <c r="EA81"/>
  <c r="EB81"/>
  <c r="EC81"/>
  <c r="ED81"/>
  <c r="EE81"/>
  <c r="EF81"/>
  <c r="EG81"/>
  <c r="EH81"/>
  <c r="EI81"/>
  <c r="EJ81"/>
  <c r="EK81"/>
  <c r="EL81"/>
  <c r="EM81"/>
  <c r="EN81"/>
  <c r="EO81"/>
  <c r="EP81"/>
  <c r="EQ81"/>
  <c r="ER81"/>
  <c r="ES81"/>
  <c r="ET81"/>
  <c r="EU81"/>
  <c r="EV81"/>
  <c r="EW81"/>
  <c r="EX81"/>
  <c r="EY81"/>
  <c r="EZ81"/>
  <c r="FA81"/>
  <c r="FB81"/>
  <c r="FC81"/>
  <c r="FD81"/>
  <c r="FE81"/>
  <c r="FF81"/>
  <c r="FG81"/>
  <c r="FH81"/>
  <c r="FI81"/>
  <c r="FJ81"/>
  <c r="FK81"/>
  <c r="FL81"/>
  <c r="FM81"/>
  <c r="FN81"/>
  <c r="FO81"/>
  <c r="FP81"/>
  <c r="FQ81"/>
  <c r="FR81"/>
  <c r="FS81"/>
  <c r="FT81"/>
  <c r="FU81"/>
  <c r="FV81"/>
  <c r="FW81"/>
  <c r="FX81"/>
  <c r="FY81"/>
  <c r="FZ81"/>
  <c r="GA81"/>
  <c r="GB81"/>
  <c r="GC81"/>
  <c r="GD81"/>
  <c r="GE81"/>
  <c r="GF81"/>
  <c r="GG81"/>
  <c r="GH81"/>
  <c r="GI81"/>
  <c r="GJ81"/>
  <c r="GK81"/>
  <c r="GL81"/>
  <c r="GM81"/>
  <c r="GN81"/>
  <c r="GO81"/>
  <c r="GP81"/>
  <c r="GQ81"/>
  <c r="GR81"/>
  <c r="GS81"/>
  <c r="GT81"/>
  <c r="GU81"/>
  <c r="GV81"/>
  <c r="GW81"/>
  <c r="GX81"/>
  <c r="GY81"/>
  <c r="GZ81"/>
  <c r="HA81"/>
  <c r="HB81"/>
  <c r="HC81"/>
  <c r="HD81"/>
  <c r="HE81"/>
  <c r="HF81"/>
  <c r="HG81"/>
  <c r="HH81"/>
  <c r="HI81"/>
  <c r="HJ81"/>
  <c r="HK81"/>
  <c r="HL81"/>
  <c r="HM81"/>
  <c r="HN81"/>
  <c r="HO81"/>
  <c r="HP81"/>
  <c r="HQ81"/>
  <c r="HR81"/>
  <c r="HS81"/>
  <c r="HT81"/>
  <c r="HU81"/>
  <c r="HV81"/>
  <c r="HW81"/>
  <c r="HX81"/>
  <c r="HY81"/>
  <c r="HZ81"/>
  <c r="IA81"/>
  <c r="IB81"/>
  <c r="IC81"/>
  <c r="ID81"/>
  <c r="IE81"/>
  <c r="IF81"/>
  <c r="IG81"/>
  <c r="IH81"/>
  <c r="II81"/>
  <c r="IJ81"/>
  <c r="IK81"/>
  <c r="IL81"/>
  <c r="IM81"/>
  <c r="IN81"/>
  <c r="IO81"/>
  <c r="IP81"/>
  <c r="IQ81"/>
  <c r="IR81"/>
  <c r="IS81"/>
  <c r="IT81"/>
  <c r="IU81"/>
  <c r="IV81"/>
  <c r="A80"/>
  <c r="B80"/>
  <c r="C80"/>
  <c r="D80"/>
  <c r="E80"/>
  <c r="F80"/>
  <c r="G80"/>
  <c r="H80"/>
  <c r="I80"/>
  <c r="J80"/>
  <c r="K80"/>
  <c r="L80"/>
  <c r="M80"/>
  <c r="N80"/>
  <c r="O80"/>
  <c r="P80"/>
  <c r="Q80"/>
  <c r="R80"/>
  <c r="S80"/>
  <c r="T80"/>
  <c r="U80"/>
  <c r="V80"/>
  <c r="W80"/>
  <c r="X80"/>
  <c r="Y80"/>
  <c r="Z80"/>
  <c r="AA80"/>
  <c r="AB80"/>
  <c r="AC80"/>
  <c r="AD80"/>
  <c r="AE80"/>
  <c r="AF80"/>
  <c r="AG80"/>
  <c r="AH80"/>
  <c r="AI80"/>
  <c r="AJ80"/>
  <c r="AK80"/>
  <c r="AL80"/>
  <c r="AM80"/>
  <c r="AN80"/>
  <c r="AO80"/>
  <c r="AP80"/>
  <c r="AQ80"/>
  <c r="AR80"/>
  <c r="AS80"/>
  <c r="AT80"/>
  <c r="AU80"/>
  <c r="AV80"/>
  <c r="AW80"/>
  <c r="AX80"/>
  <c r="AY80"/>
  <c r="AZ80"/>
  <c r="BA80"/>
  <c r="BB80"/>
  <c r="BC80"/>
  <c r="BD80"/>
  <c r="BE80"/>
  <c r="BF80"/>
  <c r="BG80"/>
  <c r="BH80"/>
  <c r="BI80"/>
  <c r="BJ80"/>
  <c r="BK80"/>
  <c r="BL80"/>
  <c r="BM80"/>
  <c r="BN80"/>
  <c r="BO80"/>
  <c r="BP80"/>
  <c r="BQ80"/>
  <c r="BR80"/>
  <c r="BS80"/>
  <c r="BT80"/>
  <c r="BU80"/>
  <c r="BV80"/>
  <c r="BW80"/>
  <c r="BX80"/>
  <c r="BY80"/>
  <c r="BZ80"/>
  <c r="CA80"/>
  <c r="CB80"/>
  <c r="CC80"/>
  <c r="CD80"/>
  <c r="CE80"/>
  <c r="CF80"/>
  <c r="CG80"/>
  <c r="CH80"/>
  <c r="CI80"/>
  <c r="CJ80"/>
  <c r="CK80"/>
  <c r="CL80"/>
  <c r="CM80"/>
  <c r="CN80"/>
  <c r="CO80"/>
  <c r="CP80"/>
  <c r="CQ80"/>
  <c r="CR80"/>
  <c r="CS80"/>
  <c r="CT80"/>
  <c r="CU80"/>
  <c r="CV80"/>
  <c r="CW80"/>
  <c r="CX80"/>
  <c r="CY80"/>
  <c r="CZ80"/>
  <c r="DA80"/>
  <c r="DB80"/>
  <c r="DC80"/>
  <c r="DD80"/>
  <c r="DE80"/>
  <c r="DF80"/>
  <c r="DG80"/>
  <c r="DH80"/>
  <c r="DI80"/>
  <c r="DJ80"/>
  <c r="DK80"/>
  <c r="DL80"/>
  <c r="DM80"/>
  <c r="DN80"/>
  <c r="DO80"/>
  <c r="DP80"/>
  <c r="DQ80"/>
  <c r="DR80"/>
  <c r="DS80"/>
  <c r="DT80"/>
  <c r="DU80"/>
  <c r="DV80"/>
  <c r="DW80"/>
  <c r="DX80"/>
  <c r="DY80"/>
  <c r="DZ80"/>
  <c r="EA80"/>
  <c r="EB80"/>
  <c r="EC80"/>
  <c r="ED80"/>
  <c r="EE80"/>
  <c r="EF80"/>
  <c r="EG80"/>
  <c r="EH80"/>
  <c r="EI80"/>
  <c r="EJ80"/>
  <c r="EK80"/>
  <c r="EL80"/>
  <c r="EM80"/>
  <c r="EN80"/>
  <c r="EO80"/>
  <c r="EP80"/>
  <c r="EQ80"/>
  <c r="ER80"/>
  <c r="ES80"/>
  <c r="ET80"/>
  <c r="EU80"/>
  <c r="EV80"/>
  <c r="EW80"/>
  <c r="EX80"/>
  <c r="EY80"/>
  <c r="EZ80"/>
  <c r="FA80"/>
  <c r="FB80"/>
  <c r="FC80"/>
  <c r="FD80"/>
  <c r="FE80"/>
  <c r="FF80"/>
  <c r="FG80"/>
  <c r="FH80"/>
  <c r="FI80"/>
  <c r="FJ80"/>
  <c r="FK80"/>
  <c r="FL80"/>
  <c r="FM80"/>
  <c r="FN80"/>
  <c r="FO80"/>
  <c r="FP80"/>
  <c r="FQ80"/>
  <c r="FR80"/>
  <c r="FS80"/>
  <c r="FT80"/>
  <c r="FU80"/>
  <c r="FV80"/>
  <c r="FW80"/>
  <c r="FX80"/>
  <c r="FY80"/>
  <c r="FZ80"/>
  <c r="GA80"/>
  <c r="GB80"/>
  <c r="GC80"/>
  <c r="GD80"/>
  <c r="GE80"/>
  <c r="GF80"/>
  <c r="GG80"/>
  <c r="GH80"/>
  <c r="GI80"/>
  <c r="GJ80"/>
  <c r="GK80"/>
  <c r="GL80"/>
  <c r="GM80"/>
  <c r="GN80"/>
  <c r="GO80"/>
  <c r="GP80"/>
  <c r="GQ80"/>
  <c r="GR80"/>
  <c r="GS80"/>
  <c r="GT80"/>
  <c r="GU80"/>
  <c r="GV80"/>
  <c r="GW80"/>
  <c r="GX80"/>
  <c r="GY80"/>
  <c r="GZ80"/>
  <c r="HA80"/>
  <c r="HB80"/>
  <c r="HC80"/>
  <c r="HD80"/>
  <c r="HE80"/>
  <c r="HF80"/>
  <c r="HG80"/>
  <c r="HH80"/>
  <c r="HI80"/>
  <c r="HJ80"/>
  <c r="HK80"/>
  <c r="HL80"/>
  <c r="HM80"/>
  <c r="HN80"/>
  <c r="HO80"/>
  <c r="HP80"/>
  <c r="HQ80"/>
  <c r="HR80"/>
  <c r="HS80"/>
  <c r="HT80"/>
  <c r="HU80"/>
  <c r="HV80"/>
  <c r="HW80"/>
  <c r="HX80"/>
  <c r="HY80"/>
  <c r="HZ80"/>
  <c r="IA80"/>
  <c r="IB80"/>
  <c r="IC80"/>
  <c r="ID80"/>
  <c r="IE80"/>
  <c r="IF80"/>
  <c r="IG80"/>
  <c r="IH80"/>
  <c r="II80"/>
  <c r="IJ80"/>
  <c r="IK80"/>
  <c r="IL80"/>
  <c r="IM80"/>
  <c r="IN80"/>
  <c r="IO80"/>
  <c r="IP80"/>
  <c r="IQ80"/>
  <c r="IR80"/>
  <c r="IS80"/>
  <c r="IT80"/>
  <c r="IU80"/>
  <c r="IV80"/>
  <c r="A79"/>
  <c r="B79"/>
  <c r="C79"/>
  <c r="D79"/>
  <c r="E79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X79"/>
  <c r="Y79"/>
  <c r="Z79"/>
  <c r="AA79"/>
  <c r="AB79"/>
  <c r="AC79"/>
  <c r="AD79"/>
  <c r="AE79"/>
  <c r="AF79"/>
  <c r="AG79"/>
  <c r="AH79"/>
  <c r="AI79"/>
  <c r="AJ79"/>
  <c r="AK79"/>
  <c r="AL79"/>
  <c r="AM79"/>
  <c r="AN79"/>
  <c r="AO79"/>
  <c r="AP79"/>
  <c r="AQ79"/>
  <c r="AR79"/>
  <c r="AS79"/>
  <c r="AT79"/>
  <c r="AU79"/>
  <c r="AV79"/>
  <c r="AW79"/>
  <c r="AX79"/>
  <c r="AY79"/>
  <c r="AZ79"/>
  <c r="BA79"/>
  <c r="BB79"/>
  <c r="BC79"/>
  <c r="BD79"/>
  <c r="BE79"/>
  <c r="BF79"/>
  <c r="BG79"/>
  <c r="BH79"/>
  <c r="BI79"/>
  <c r="BJ79"/>
  <c r="BK79"/>
  <c r="BL79"/>
  <c r="BM79"/>
  <c r="BN79"/>
  <c r="BO79"/>
  <c r="BP79"/>
  <c r="BQ79"/>
  <c r="BR79"/>
  <c r="BS79"/>
  <c r="BT79"/>
  <c r="BU79"/>
  <c r="BV79"/>
  <c r="BW79"/>
  <c r="BX79"/>
  <c r="BY79"/>
  <c r="BZ79"/>
  <c r="CA79"/>
  <c r="CB79"/>
  <c r="CC79"/>
  <c r="CD79"/>
  <c r="CE79"/>
  <c r="CF79"/>
  <c r="CG79"/>
  <c r="CH79"/>
  <c r="CI79"/>
  <c r="CJ79"/>
  <c r="CK79"/>
  <c r="CL79"/>
  <c r="CM79"/>
  <c r="CN79"/>
  <c r="CO79"/>
  <c r="CP79"/>
  <c r="CQ79"/>
  <c r="CR79"/>
  <c r="CS79"/>
  <c r="CT79"/>
  <c r="CU79"/>
  <c r="CV79"/>
  <c r="CW79"/>
  <c r="CX79"/>
  <c r="CY79"/>
  <c r="CZ79"/>
  <c r="DA79"/>
  <c r="DB79"/>
  <c r="DC79"/>
  <c r="DD79"/>
  <c r="DE79"/>
  <c r="DF79"/>
  <c r="DG79"/>
  <c r="DH79"/>
  <c r="DI79"/>
  <c r="DJ79"/>
  <c r="DK79"/>
  <c r="DL79"/>
  <c r="DM79"/>
  <c r="DN79"/>
  <c r="DO79"/>
  <c r="DP79"/>
  <c r="DQ79"/>
  <c r="DR79"/>
  <c r="DS79"/>
  <c r="DT79"/>
  <c r="DU79"/>
  <c r="DV79"/>
  <c r="DW79"/>
  <c r="DX79"/>
  <c r="DY79"/>
  <c r="DZ79"/>
  <c r="EA79"/>
  <c r="EB79"/>
  <c r="EC79"/>
  <c r="ED79"/>
  <c r="EE79"/>
  <c r="EF79"/>
  <c r="EG79"/>
  <c r="EH79"/>
  <c r="EI79"/>
  <c r="EJ79"/>
  <c r="EK79"/>
  <c r="EL79"/>
  <c r="EM79"/>
  <c r="EN79"/>
  <c r="EO79"/>
  <c r="EP79"/>
  <c r="EQ79"/>
  <c r="ER79"/>
  <c r="ES79"/>
  <c r="ET79"/>
  <c r="EU79"/>
  <c r="EV79"/>
  <c r="EW79"/>
  <c r="EX79"/>
  <c r="EY79"/>
  <c r="EZ79"/>
  <c r="FA79"/>
  <c r="FB79"/>
  <c r="FC79"/>
  <c r="FD79"/>
  <c r="FE79"/>
  <c r="FF79"/>
  <c r="FG79"/>
  <c r="FH79"/>
  <c r="FI79"/>
  <c r="FJ79"/>
  <c r="FK79"/>
  <c r="FL79"/>
  <c r="FM79"/>
  <c r="FN79"/>
  <c r="FO79"/>
  <c r="FP79"/>
  <c r="FQ79"/>
  <c r="FR79"/>
  <c r="FS79"/>
  <c r="FT79"/>
  <c r="FU79"/>
  <c r="FV79"/>
  <c r="FW79"/>
  <c r="FX79"/>
  <c r="FY79"/>
  <c r="FZ79"/>
  <c r="GA79"/>
  <c r="GB79"/>
  <c r="GC79"/>
  <c r="GD79"/>
  <c r="GE79"/>
  <c r="GF79"/>
  <c r="GG79"/>
  <c r="GH79"/>
  <c r="GI79"/>
  <c r="GJ79"/>
  <c r="GK79"/>
  <c r="GL79"/>
  <c r="GM79"/>
  <c r="GN79"/>
  <c r="GO79"/>
  <c r="GP79"/>
  <c r="GQ79"/>
  <c r="GR79"/>
  <c r="GS79"/>
  <c r="GT79"/>
  <c r="GU79"/>
  <c r="GV79"/>
  <c r="GW79"/>
  <c r="GX79"/>
  <c r="GY79"/>
  <c r="GZ79"/>
  <c r="HA79"/>
  <c r="HB79"/>
  <c r="HC79"/>
  <c r="HD79"/>
  <c r="HE79"/>
  <c r="HF79"/>
  <c r="HG79"/>
  <c r="HH79"/>
  <c r="HI79"/>
  <c r="HJ79"/>
  <c r="HK79"/>
  <c r="HL79"/>
  <c r="HM79"/>
  <c r="HN79"/>
  <c r="HO79"/>
  <c r="HP79"/>
  <c r="HQ79"/>
  <c r="HR79"/>
  <c r="HS79"/>
  <c r="HT79"/>
  <c r="HU79"/>
  <c r="HV79"/>
  <c r="HW79"/>
  <c r="HX79"/>
  <c r="HY79"/>
  <c r="HZ79"/>
  <c r="IA79"/>
  <c r="IB79"/>
  <c r="IC79"/>
  <c r="ID79"/>
  <c r="IE79"/>
  <c r="IF79"/>
  <c r="IG79"/>
  <c r="IH79"/>
  <c r="II79"/>
  <c r="IJ79"/>
  <c r="IK79"/>
  <c r="IL79"/>
  <c r="IM79"/>
  <c r="IN79"/>
  <c r="IO79"/>
  <c r="IP79"/>
  <c r="IQ79"/>
  <c r="IR79"/>
  <c r="IS79"/>
  <c r="IT79"/>
  <c r="IU79"/>
  <c r="IV79"/>
  <c r="A78"/>
  <c r="B78"/>
  <c r="C78"/>
  <c r="D78"/>
  <c r="E78"/>
  <c r="F78"/>
  <c r="G78"/>
  <c r="H78"/>
  <c r="I78"/>
  <c r="J78"/>
  <c r="K78"/>
  <c r="L78"/>
  <c r="M78"/>
  <c r="N78"/>
  <c r="O78"/>
  <c r="P78"/>
  <c r="Q78"/>
  <c r="R78"/>
  <c r="S78"/>
  <c r="T78"/>
  <c r="U78"/>
  <c r="V78"/>
  <c r="W78"/>
  <c r="X78"/>
  <c r="Y78"/>
  <c r="Z78"/>
  <c r="AA78"/>
  <c r="AB78"/>
  <c r="AC78"/>
  <c r="AD78"/>
  <c r="AE78"/>
  <c r="AF78"/>
  <c r="AG78"/>
  <c r="AH78"/>
  <c r="AI78"/>
  <c r="AJ78"/>
  <c r="AK78"/>
  <c r="AL78"/>
  <c r="AM78"/>
  <c r="AN78"/>
  <c r="AO78"/>
  <c r="AP78"/>
  <c r="AQ78"/>
  <c r="AR78"/>
  <c r="AS78"/>
  <c r="AT78"/>
  <c r="AU78"/>
  <c r="AV78"/>
  <c r="AW78"/>
  <c r="AX78"/>
  <c r="AY78"/>
  <c r="AZ78"/>
  <c r="BA78"/>
  <c r="BB78"/>
  <c r="BC78"/>
  <c r="BD78"/>
  <c r="BE78"/>
  <c r="BF78"/>
  <c r="BG78"/>
  <c r="BH78"/>
  <c r="BI78"/>
  <c r="BJ78"/>
  <c r="BK78"/>
  <c r="BL78"/>
  <c r="BM78"/>
  <c r="BN78"/>
  <c r="BO78"/>
  <c r="BP78"/>
  <c r="BQ78"/>
  <c r="BR78"/>
  <c r="BS78"/>
  <c r="BT78"/>
  <c r="BU78"/>
  <c r="BV78"/>
  <c r="BW78"/>
  <c r="BX78"/>
  <c r="BY78"/>
  <c r="BZ78"/>
  <c r="CA78"/>
  <c r="CB78"/>
  <c r="CC78"/>
  <c r="CD78"/>
  <c r="CE78"/>
  <c r="CF78"/>
  <c r="CG78"/>
  <c r="CH78"/>
  <c r="CI78"/>
  <c r="CJ78"/>
  <c r="CK78"/>
  <c r="CL78"/>
  <c r="CM78"/>
  <c r="CN78"/>
  <c r="CO78"/>
  <c r="CP78"/>
  <c r="CQ78"/>
  <c r="CR78"/>
  <c r="CS78"/>
  <c r="CT78"/>
  <c r="CU78"/>
  <c r="CV78"/>
  <c r="CW78"/>
  <c r="CX78"/>
  <c r="CY78"/>
  <c r="CZ78"/>
  <c r="DA78"/>
  <c r="DB78"/>
  <c r="DC78"/>
  <c r="DD78"/>
  <c r="DE78"/>
  <c r="DF78"/>
  <c r="DG78"/>
  <c r="DH78"/>
  <c r="DI78"/>
  <c r="DJ78"/>
  <c r="DK78"/>
  <c r="DL78"/>
  <c r="DM78"/>
  <c r="DN78"/>
  <c r="DO78"/>
  <c r="DP78"/>
  <c r="DQ78"/>
  <c r="DR78"/>
  <c r="DS78"/>
  <c r="DT78"/>
  <c r="DU78"/>
  <c r="DV78"/>
  <c r="DW78"/>
  <c r="DX78"/>
  <c r="DY78"/>
  <c r="DZ78"/>
  <c r="EA78"/>
  <c r="EB78"/>
  <c r="EC78"/>
  <c r="ED78"/>
  <c r="EE78"/>
  <c r="EF78"/>
  <c r="EG78"/>
  <c r="EH78"/>
  <c r="EI78"/>
  <c r="EJ78"/>
  <c r="EK78"/>
  <c r="EL78"/>
  <c r="EM78"/>
  <c r="EN78"/>
  <c r="EO78"/>
  <c r="EP78"/>
  <c r="EQ78"/>
  <c r="ER78"/>
  <c r="ES78"/>
  <c r="ET78"/>
  <c r="EU78"/>
  <c r="EV78"/>
  <c r="EW78"/>
  <c r="EX78"/>
  <c r="EY78"/>
  <c r="EZ78"/>
  <c r="FA78"/>
  <c r="FB78"/>
  <c r="FC78"/>
  <c r="FD78"/>
  <c r="FE78"/>
  <c r="FF78"/>
  <c r="FG78"/>
  <c r="FH78"/>
  <c r="FI78"/>
  <c r="FJ78"/>
  <c r="FK78"/>
  <c r="FL78"/>
  <c r="FM78"/>
  <c r="FN78"/>
  <c r="FO78"/>
  <c r="FP78"/>
  <c r="FQ78"/>
  <c r="FR78"/>
  <c r="FS78"/>
  <c r="FT78"/>
  <c r="FU78"/>
  <c r="FV78"/>
  <c r="FW78"/>
  <c r="FX78"/>
  <c r="FY78"/>
  <c r="FZ78"/>
  <c r="GA78"/>
  <c r="GB78"/>
  <c r="GC78"/>
  <c r="GD78"/>
  <c r="GE78"/>
  <c r="GF78"/>
  <c r="GG78"/>
  <c r="GH78"/>
  <c r="GI78"/>
  <c r="GJ78"/>
  <c r="GK78"/>
  <c r="GL78"/>
  <c r="GM78"/>
  <c r="GN78"/>
  <c r="GO78"/>
  <c r="GP78"/>
  <c r="GQ78"/>
  <c r="GR78"/>
  <c r="GS78"/>
  <c r="GT78"/>
  <c r="GU78"/>
  <c r="GV78"/>
  <c r="GW78"/>
  <c r="GX78"/>
  <c r="GY78"/>
  <c r="GZ78"/>
  <c r="HA78"/>
  <c r="HB78"/>
  <c r="HC78"/>
  <c r="HD78"/>
  <c r="HE78"/>
  <c r="HF78"/>
  <c r="HG78"/>
  <c r="HH78"/>
  <c r="HI78"/>
  <c r="HJ78"/>
  <c r="HK78"/>
  <c r="HL78"/>
  <c r="HM78"/>
  <c r="HN78"/>
  <c r="HO78"/>
  <c r="HP78"/>
  <c r="HQ78"/>
  <c r="HR78"/>
  <c r="HS78"/>
  <c r="HT78"/>
  <c r="HU78"/>
  <c r="HV78"/>
  <c r="HW78"/>
  <c r="HX78"/>
  <c r="HY78"/>
  <c r="HZ78"/>
  <c r="IA78"/>
  <c r="IB78"/>
  <c r="IC78"/>
  <c r="ID78"/>
  <c r="IE78"/>
  <c r="IF78"/>
  <c r="IG78"/>
  <c r="IH78"/>
  <c r="II78"/>
  <c r="IJ78"/>
  <c r="IK78"/>
  <c r="IL78"/>
  <c r="IM78"/>
  <c r="IN78"/>
  <c r="IO78"/>
  <c r="IP78"/>
  <c r="IQ78"/>
  <c r="IR78"/>
  <c r="IS78"/>
  <c r="IT78"/>
  <c r="IU78"/>
  <c r="IV78"/>
  <c r="A77"/>
  <c r="B77"/>
  <c r="C77"/>
  <c r="D77"/>
  <c r="E77"/>
  <c r="F77"/>
  <c r="G77"/>
  <c r="H77"/>
  <c r="I77"/>
  <c r="J77"/>
  <c r="K77"/>
  <c r="L77"/>
  <c r="M77"/>
  <c r="N77"/>
  <c r="O77"/>
  <c r="P77"/>
  <c r="Q77"/>
  <c r="R77"/>
  <c r="S77"/>
  <c r="T77"/>
  <c r="U77"/>
  <c r="V77"/>
  <c r="W77"/>
  <c r="X77"/>
  <c r="Y77"/>
  <c r="Z77"/>
  <c r="AA77"/>
  <c r="AB77"/>
  <c r="AC77"/>
  <c r="AD77"/>
  <c r="AE77"/>
  <c r="AF77"/>
  <c r="AG77"/>
  <c r="AH77"/>
  <c r="AI77"/>
  <c r="AJ77"/>
  <c r="AK77"/>
  <c r="AL77"/>
  <c r="AM77"/>
  <c r="AN77"/>
  <c r="AO77"/>
  <c r="AP77"/>
  <c r="AQ77"/>
  <c r="AR77"/>
  <c r="AS77"/>
  <c r="AT77"/>
  <c r="AU77"/>
  <c r="AV77"/>
  <c r="AW77"/>
  <c r="AX77"/>
  <c r="AY77"/>
  <c r="AZ77"/>
  <c r="BA77"/>
  <c r="BB77"/>
  <c r="BC77"/>
  <c r="BD77"/>
  <c r="BE77"/>
  <c r="BF77"/>
  <c r="BG77"/>
  <c r="BH77"/>
  <c r="BI77"/>
  <c r="BJ77"/>
  <c r="BK77"/>
  <c r="BL77"/>
  <c r="BM77"/>
  <c r="BN77"/>
  <c r="BO77"/>
  <c r="BP77"/>
  <c r="BQ77"/>
  <c r="BR77"/>
  <c r="BS77"/>
  <c r="BT77"/>
  <c r="BU77"/>
  <c r="BV77"/>
  <c r="BW77"/>
  <c r="BX77"/>
  <c r="BY77"/>
  <c r="BZ77"/>
  <c r="CA77"/>
  <c r="CB77"/>
  <c r="CC77"/>
  <c r="CD77"/>
  <c r="CE77"/>
  <c r="CF77"/>
  <c r="CG77"/>
  <c r="CH77"/>
  <c r="CI77"/>
  <c r="CJ77"/>
  <c r="CK77"/>
  <c r="CL77"/>
  <c r="CM77"/>
  <c r="CN77"/>
  <c r="CO77"/>
  <c r="CP77"/>
  <c r="CQ77"/>
  <c r="CR77"/>
  <c r="CS77"/>
  <c r="CT77"/>
  <c r="CU77"/>
  <c r="CV77"/>
  <c r="CW77"/>
  <c r="CX77"/>
  <c r="CY77"/>
  <c r="CZ77"/>
  <c r="DA77"/>
  <c r="DB77"/>
  <c r="DC77"/>
  <c r="DD77"/>
  <c r="DE77"/>
  <c r="DF77"/>
  <c r="DG77"/>
  <c r="DH77"/>
  <c r="DI77"/>
  <c r="DJ77"/>
  <c r="DK77"/>
  <c r="DL77"/>
  <c r="DM77"/>
  <c r="DN77"/>
  <c r="DO77"/>
  <c r="DP77"/>
  <c r="DQ77"/>
  <c r="DR77"/>
  <c r="DS77"/>
  <c r="DT77"/>
  <c r="DU77"/>
  <c r="DV77"/>
  <c r="DW77"/>
  <c r="DX77"/>
  <c r="DY77"/>
  <c r="DZ77"/>
  <c r="EA77"/>
  <c r="EB77"/>
  <c r="EC77"/>
  <c r="ED77"/>
  <c r="EE77"/>
  <c r="EF77"/>
  <c r="EG77"/>
  <c r="EH77"/>
  <c r="EI77"/>
  <c r="EJ77"/>
  <c r="EK77"/>
  <c r="EL77"/>
  <c r="EM77"/>
  <c r="EN77"/>
  <c r="EO77"/>
  <c r="EP77"/>
  <c r="EQ77"/>
  <c r="ER77"/>
  <c r="ES77"/>
  <c r="ET77"/>
  <c r="EU77"/>
  <c r="EV77"/>
  <c r="EW77"/>
  <c r="EX77"/>
  <c r="EY77"/>
  <c r="EZ77"/>
  <c r="FA77"/>
  <c r="FB77"/>
  <c r="FC77"/>
  <c r="FD77"/>
  <c r="FE77"/>
  <c r="FF77"/>
  <c r="FG77"/>
  <c r="FH77"/>
  <c r="FI77"/>
  <c r="FJ77"/>
  <c r="FK77"/>
  <c r="FL77"/>
  <c r="FM77"/>
  <c r="FN77"/>
  <c r="FO77"/>
  <c r="FP77"/>
  <c r="FQ77"/>
  <c r="FR77"/>
  <c r="FS77"/>
  <c r="FT77"/>
  <c r="FU77"/>
  <c r="FV77"/>
  <c r="FW77"/>
  <c r="FX77"/>
  <c r="FY77"/>
  <c r="FZ77"/>
  <c r="GA77"/>
  <c r="GB77"/>
  <c r="GC77"/>
  <c r="GD77"/>
  <c r="GE77"/>
  <c r="GF77"/>
  <c r="GG77"/>
  <c r="GH77"/>
  <c r="GI77"/>
  <c r="GJ77"/>
  <c r="GK77"/>
  <c r="GL77"/>
  <c r="GM77"/>
  <c r="GN77"/>
  <c r="GO77"/>
  <c r="GP77"/>
  <c r="GQ77"/>
  <c r="GR77"/>
  <c r="GS77"/>
  <c r="GT77"/>
  <c r="GU77"/>
  <c r="GV77"/>
  <c r="GW77"/>
  <c r="GX77"/>
  <c r="GY77"/>
  <c r="GZ77"/>
  <c r="HA77"/>
  <c r="HB77"/>
  <c r="HC77"/>
  <c r="HD77"/>
  <c r="HE77"/>
  <c r="HF77"/>
  <c r="HG77"/>
  <c r="HH77"/>
  <c r="HI77"/>
  <c r="HJ77"/>
  <c r="HK77"/>
  <c r="HL77"/>
  <c r="HM77"/>
  <c r="HN77"/>
  <c r="HO77"/>
  <c r="HP77"/>
  <c r="HQ77"/>
  <c r="HR77"/>
  <c r="HS77"/>
  <c r="HT77"/>
  <c r="HU77"/>
  <c r="HV77"/>
  <c r="HW77"/>
  <c r="HX77"/>
  <c r="HY77"/>
  <c r="HZ77"/>
  <c r="IA77"/>
  <c r="IB77"/>
  <c r="IC77"/>
  <c r="ID77"/>
  <c r="IE77"/>
  <c r="IF77"/>
  <c r="IG77"/>
  <c r="IH77"/>
  <c r="II77"/>
  <c r="IJ77"/>
  <c r="IK77"/>
  <c r="IL77"/>
  <c r="IM77"/>
  <c r="IN77"/>
  <c r="IO77"/>
  <c r="IP77"/>
  <c r="IQ77"/>
  <c r="IR77"/>
  <c r="IS77"/>
  <c r="IT77"/>
  <c r="IU77"/>
  <c r="IV77"/>
  <c r="A76"/>
  <c r="B76"/>
  <c r="C76"/>
  <c r="D76"/>
  <c r="E76"/>
  <c r="F76"/>
  <c r="G76"/>
  <c r="H76"/>
  <c r="I76"/>
  <c r="J76"/>
  <c r="K76"/>
  <c r="L76"/>
  <c r="M76"/>
  <c r="N76"/>
  <c r="O76"/>
  <c r="P76"/>
  <c r="Q76"/>
  <c r="R76"/>
  <c r="S76"/>
  <c r="T76"/>
  <c r="U76"/>
  <c r="V76"/>
  <c r="W76"/>
  <c r="X76"/>
  <c r="Y76"/>
  <c r="Z76"/>
  <c r="AA76"/>
  <c r="AB76"/>
  <c r="AC76"/>
  <c r="AD76"/>
  <c r="AE76"/>
  <c r="AF76"/>
  <c r="AG76"/>
  <c r="AH76"/>
  <c r="AI76"/>
  <c r="AJ76"/>
  <c r="AK76"/>
  <c r="AL76"/>
  <c r="AM76"/>
  <c r="AN76"/>
  <c r="AO76"/>
  <c r="AP76"/>
  <c r="AQ76"/>
  <c r="AR76"/>
  <c r="AS76"/>
  <c r="AT76"/>
  <c r="AU76"/>
  <c r="AV76"/>
  <c r="AW76"/>
  <c r="AX76"/>
  <c r="AY76"/>
  <c r="AZ76"/>
  <c r="BA76"/>
  <c r="BB76"/>
  <c r="BC76"/>
  <c r="BD76"/>
  <c r="BE76"/>
  <c r="BF76"/>
  <c r="BG76"/>
  <c r="BH76"/>
  <c r="BI76"/>
  <c r="BJ76"/>
  <c r="BK76"/>
  <c r="BL76"/>
  <c r="BM76"/>
  <c r="BN76"/>
  <c r="BO76"/>
  <c r="BP76"/>
  <c r="BQ76"/>
  <c r="BR76"/>
  <c r="BS76"/>
  <c r="BT76"/>
  <c r="BU76"/>
  <c r="BV76"/>
  <c r="BW76"/>
  <c r="BX76"/>
  <c r="BY76"/>
  <c r="BZ76"/>
  <c r="CA76"/>
  <c r="CB76"/>
  <c r="CC76"/>
  <c r="CD76"/>
  <c r="CE76"/>
  <c r="CF76"/>
  <c r="CG76"/>
  <c r="CH76"/>
  <c r="CI76"/>
  <c r="CJ76"/>
  <c r="CK76"/>
  <c r="CL76"/>
  <c r="CM76"/>
  <c r="CN76"/>
  <c r="CO76"/>
  <c r="CP76"/>
  <c r="CQ76"/>
  <c r="CR76"/>
  <c r="CS76"/>
  <c r="CT76"/>
  <c r="CU76"/>
  <c r="CV76"/>
  <c r="CW76"/>
  <c r="CX76"/>
  <c r="CY76"/>
  <c r="CZ76"/>
  <c r="DA76"/>
  <c r="DB76"/>
  <c r="DC76"/>
  <c r="DD76"/>
  <c r="DE76"/>
  <c r="DF76"/>
  <c r="DG76"/>
  <c r="DH76"/>
  <c r="DI76"/>
  <c r="DJ76"/>
  <c r="DK76"/>
  <c r="DL76"/>
  <c r="DM76"/>
  <c r="DN76"/>
  <c r="DO76"/>
  <c r="DP76"/>
  <c r="DQ76"/>
  <c r="DR76"/>
  <c r="DS76"/>
  <c r="DT76"/>
  <c r="DU76"/>
  <c r="DV76"/>
  <c r="DW76"/>
  <c r="DX76"/>
  <c r="DY76"/>
  <c r="DZ76"/>
  <c r="EA76"/>
  <c r="EB76"/>
  <c r="EC76"/>
  <c r="ED76"/>
  <c r="EE76"/>
  <c r="EF76"/>
  <c r="EG76"/>
  <c r="EH76"/>
  <c r="EI76"/>
  <c r="EJ76"/>
  <c r="EK76"/>
  <c r="EL76"/>
  <c r="EM76"/>
  <c r="EN76"/>
  <c r="EO76"/>
  <c r="EP76"/>
  <c r="EQ76"/>
  <c r="ER76"/>
  <c r="ES76"/>
  <c r="ET76"/>
  <c r="EU76"/>
  <c r="EV76"/>
  <c r="EW76"/>
  <c r="EX76"/>
  <c r="EY76"/>
  <c r="EZ76"/>
  <c r="FA76"/>
  <c r="FB76"/>
  <c r="FC76"/>
  <c r="FD76"/>
  <c r="FE76"/>
  <c r="FF76"/>
  <c r="FG76"/>
  <c r="FH76"/>
  <c r="FI76"/>
  <c r="FJ76"/>
  <c r="FK76"/>
  <c r="FL76"/>
  <c r="FM76"/>
  <c r="FN76"/>
  <c r="FO76"/>
  <c r="FP76"/>
  <c r="FQ76"/>
  <c r="FR76"/>
  <c r="FS76"/>
  <c r="FT76"/>
  <c r="FU76"/>
  <c r="FV76"/>
  <c r="FW76"/>
  <c r="FX76"/>
  <c r="FY76"/>
  <c r="FZ76"/>
  <c r="GA76"/>
  <c r="GB76"/>
  <c r="GC76"/>
  <c r="GD76"/>
  <c r="GE76"/>
  <c r="GF76"/>
  <c r="GG76"/>
  <c r="GH76"/>
  <c r="GI76"/>
  <c r="GJ76"/>
  <c r="GK76"/>
  <c r="GL76"/>
  <c r="GM76"/>
  <c r="GN76"/>
  <c r="GO76"/>
  <c r="GP76"/>
  <c r="GQ76"/>
  <c r="GR76"/>
  <c r="GS76"/>
  <c r="GT76"/>
  <c r="GU76"/>
  <c r="GV76"/>
  <c r="GW76"/>
  <c r="GX76"/>
  <c r="GY76"/>
  <c r="GZ76"/>
  <c r="HA76"/>
  <c r="HB76"/>
  <c r="HC76"/>
  <c r="HD76"/>
  <c r="HE76"/>
  <c r="HF76"/>
  <c r="HG76"/>
  <c r="HH76"/>
  <c r="HI76"/>
  <c r="HJ76"/>
  <c r="HK76"/>
  <c r="HL76"/>
  <c r="HM76"/>
  <c r="HN76"/>
  <c r="HO76"/>
  <c r="HP76"/>
  <c r="HQ76"/>
  <c r="HR76"/>
  <c r="HS76"/>
  <c r="HT76"/>
  <c r="HU76"/>
  <c r="HV76"/>
  <c r="HW76"/>
  <c r="HX76"/>
  <c r="HY76"/>
  <c r="HZ76"/>
  <c r="IA76"/>
  <c r="IB76"/>
  <c r="IC76"/>
  <c r="ID76"/>
  <c r="IE76"/>
  <c r="IF76"/>
  <c r="IG76"/>
  <c r="IH76"/>
  <c r="II76"/>
  <c r="IJ76"/>
  <c r="IK76"/>
  <c r="IL76"/>
  <c r="IM76"/>
  <c r="IN76"/>
  <c r="IO76"/>
  <c r="IP76"/>
  <c r="IQ76"/>
  <c r="IR76"/>
  <c r="IS76"/>
  <c r="IT76"/>
  <c r="IU76"/>
  <c r="IV76"/>
  <c r="A75"/>
  <c r="B75"/>
  <c r="C75"/>
  <c r="D75"/>
  <c r="E75"/>
  <c r="F75"/>
  <c r="G75"/>
  <c r="H75"/>
  <c r="I75"/>
  <c r="J75"/>
  <c r="K75"/>
  <c r="L75"/>
  <c r="M75"/>
  <c r="N75"/>
  <c r="O75"/>
  <c r="P75"/>
  <c r="Q75"/>
  <c r="R75"/>
  <c r="S75"/>
  <c r="T75"/>
  <c r="U75"/>
  <c r="V75"/>
  <c r="W75"/>
  <c r="X75"/>
  <c r="Y75"/>
  <c r="Z75"/>
  <c r="AA75"/>
  <c r="AB75"/>
  <c r="AC75"/>
  <c r="AD75"/>
  <c r="AE75"/>
  <c r="AF75"/>
  <c r="AG75"/>
  <c r="AH75"/>
  <c r="AI75"/>
  <c r="AJ75"/>
  <c r="AK75"/>
  <c r="AL75"/>
  <c r="AM75"/>
  <c r="AN75"/>
  <c r="AO75"/>
  <c r="AP75"/>
  <c r="AQ75"/>
  <c r="AR75"/>
  <c r="AS75"/>
  <c r="AT75"/>
  <c r="AU75"/>
  <c r="AV75"/>
  <c r="AW75"/>
  <c r="AX75"/>
  <c r="AY75"/>
  <c r="AZ75"/>
  <c r="BA75"/>
  <c r="BB75"/>
  <c r="BC75"/>
  <c r="BD75"/>
  <c r="BE75"/>
  <c r="BF75"/>
  <c r="BG75"/>
  <c r="BH75"/>
  <c r="BI75"/>
  <c r="BJ75"/>
  <c r="BK75"/>
  <c r="BL75"/>
  <c r="BM75"/>
  <c r="BN75"/>
  <c r="BO75"/>
  <c r="BP75"/>
  <c r="BQ75"/>
  <c r="BR75"/>
  <c r="BS75"/>
  <c r="BT75"/>
  <c r="BU75"/>
  <c r="BV75"/>
  <c r="BW75"/>
  <c r="BX75"/>
  <c r="BY75"/>
  <c r="BZ75"/>
  <c r="CA75"/>
  <c r="CB75"/>
  <c r="CC75"/>
  <c r="CD75"/>
  <c r="CE75"/>
  <c r="CF75"/>
  <c r="CG75"/>
  <c r="CH75"/>
  <c r="CI75"/>
  <c r="CJ75"/>
  <c r="CK75"/>
  <c r="CL75"/>
  <c r="CM75"/>
  <c r="CN75"/>
  <c r="CO75"/>
  <c r="CP75"/>
  <c r="CQ75"/>
  <c r="CR75"/>
  <c r="CS75"/>
  <c r="CT75"/>
  <c r="CU75"/>
  <c r="CV75"/>
  <c r="CW75"/>
  <c r="CX75"/>
  <c r="CY75"/>
  <c r="CZ75"/>
  <c r="DA75"/>
  <c r="DB75"/>
  <c r="DC75"/>
  <c r="DD75"/>
  <c r="DE75"/>
  <c r="DF75"/>
  <c r="DG75"/>
  <c r="DH75"/>
  <c r="DI75"/>
  <c r="DJ75"/>
  <c r="DK75"/>
  <c r="DL75"/>
  <c r="DM75"/>
  <c r="DN75"/>
  <c r="DO75"/>
  <c r="DP75"/>
  <c r="DQ75"/>
  <c r="DR75"/>
  <c r="DS75"/>
  <c r="DT75"/>
  <c r="DU75"/>
  <c r="DV75"/>
  <c r="DW75"/>
  <c r="DX75"/>
  <c r="DY75"/>
  <c r="DZ75"/>
  <c r="EA75"/>
  <c r="EB75"/>
  <c r="EC75"/>
  <c r="ED75"/>
  <c r="EE75"/>
  <c r="EF75"/>
  <c r="EG75"/>
  <c r="EH75"/>
  <c r="EI75"/>
  <c r="EJ75"/>
  <c r="EK75"/>
  <c r="EL75"/>
  <c r="EM75"/>
  <c r="EN75"/>
  <c r="EO75"/>
  <c r="EP75"/>
  <c r="EQ75"/>
  <c r="ER75"/>
  <c r="ES75"/>
  <c r="ET75"/>
  <c r="EU75"/>
  <c r="EV75"/>
  <c r="EW75"/>
  <c r="EX75"/>
  <c r="EY75"/>
  <c r="EZ75"/>
  <c r="FA75"/>
  <c r="FB75"/>
  <c r="FC75"/>
  <c r="FD75"/>
  <c r="FE75"/>
  <c r="FF75"/>
  <c r="FG75"/>
  <c r="FH75"/>
  <c r="FI75"/>
  <c r="FJ75"/>
  <c r="FK75"/>
  <c r="FL75"/>
  <c r="FM75"/>
  <c r="FN75"/>
  <c r="FO75"/>
  <c r="FP75"/>
  <c r="FQ75"/>
  <c r="FR75"/>
  <c r="FS75"/>
  <c r="FT75"/>
  <c r="FU75"/>
  <c r="FV75"/>
  <c r="FW75"/>
  <c r="FX75"/>
  <c r="FY75"/>
  <c r="FZ75"/>
  <c r="GA75"/>
  <c r="GB75"/>
  <c r="GC75"/>
  <c r="GD75"/>
  <c r="GE75"/>
  <c r="GF75"/>
  <c r="GG75"/>
  <c r="GH75"/>
  <c r="GI75"/>
  <c r="GJ75"/>
  <c r="GK75"/>
  <c r="GL75"/>
  <c r="GM75"/>
  <c r="GN75"/>
  <c r="GO75"/>
  <c r="GP75"/>
  <c r="GQ75"/>
  <c r="GR75"/>
  <c r="GS75"/>
  <c r="GT75"/>
  <c r="GU75"/>
  <c r="GV75"/>
  <c r="GW75"/>
  <c r="GX75"/>
  <c r="GY75"/>
  <c r="GZ75"/>
  <c r="HA75"/>
  <c r="HB75"/>
  <c r="HC75"/>
  <c r="HD75"/>
  <c r="HE75"/>
  <c r="HF75"/>
  <c r="HG75"/>
  <c r="HH75"/>
  <c r="HI75"/>
  <c r="HJ75"/>
  <c r="HK75"/>
  <c r="HL75"/>
  <c r="HM75"/>
  <c r="HN75"/>
  <c r="HO75"/>
  <c r="HP75"/>
  <c r="HQ75"/>
  <c r="HR75"/>
  <c r="HS75"/>
  <c r="HT75"/>
  <c r="HU75"/>
  <c r="HV75"/>
  <c r="HW75"/>
  <c r="HX75"/>
  <c r="HY75"/>
  <c r="HZ75"/>
  <c r="IA75"/>
  <c r="IB75"/>
  <c r="IC75"/>
  <c r="ID75"/>
  <c r="IE75"/>
  <c r="IF75"/>
  <c r="IG75"/>
  <c r="IH75"/>
  <c r="II75"/>
  <c r="IJ75"/>
  <c r="IK75"/>
  <c r="IL75"/>
  <c r="IM75"/>
  <c r="IN75"/>
  <c r="IO75"/>
  <c r="IP75"/>
  <c r="IQ75"/>
  <c r="IR75"/>
  <c r="IS75"/>
  <c r="IT75"/>
  <c r="IU75"/>
  <c r="IV75"/>
  <c r="A74"/>
  <c r="B74"/>
  <c r="C74"/>
  <c r="D74"/>
  <c r="E74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X74"/>
  <c r="Y74"/>
  <c r="Z74"/>
  <c r="AA74"/>
  <c r="AB74"/>
  <c r="AC74"/>
  <c r="AD74"/>
  <c r="AE74"/>
  <c r="AF74"/>
  <c r="AG74"/>
  <c r="AH74"/>
  <c r="AI74"/>
  <c r="AJ74"/>
  <c r="AK74"/>
  <c r="AL74"/>
  <c r="AM74"/>
  <c r="AN74"/>
  <c r="AO74"/>
  <c r="AP74"/>
  <c r="AQ74"/>
  <c r="AR74"/>
  <c r="AS74"/>
  <c r="AT74"/>
  <c r="AU74"/>
  <c r="AV74"/>
  <c r="AW74"/>
  <c r="AX74"/>
  <c r="AY74"/>
  <c r="AZ74"/>
  <c r="BA74"/>
  <c r="BB74"/>
  <c r="BC74"/>
  <c r="BD74"/>
  <c r="BE74"/>
  <c r="BF74"/>
  <c r="BG74"/>
  <c r="BH74"/>
  <c r="BI74"/>
  <c r="BJ74"/>
  <c r="BK74"/>
  <c r="BL74"/>
  <c r="BM74"/>
  <c r="BN74"/>
  <c r="BO74"/>
  <c r="BP74"/>
  <c r="BQ74"/>
  <c r="BR74"/>
  <c r="BS74"/>
  <c r="BT74"/>
  <c r="BU74"/>
  <c r="BV74"/>
  <c r="BW74"/>
  <c r="BX74"/>
  <c r="BY74"/>
  <c r="BZ74"/>
  <c r="CA74"/>
  <c r="CB74"/>
  <c r="CC74"/>
  <c r="CD74"/>
  <c r="CE74"/>
  <c r="CF74"/>
  <c r="CG74"/>
  <c r="CH74"/>
  <c r="CI74"/>
  <c r="CJ74"/>
  <c r="CK74"/>
  <c r="CL74"/>
  <c r="CM74"/>
  <c r="CN74"/>
  <c r="CO74"/>
  <c r="CP74"/>
  <c r="CQ74"/>
  <c r="CR74"/>
  <c r="CS74"/>
  <c r="CT74"/>
  <c r="CU74"/>
  <c r="CV74"/>
  <c r="CW74"/>
  <c r="CX74"/>
  <c r="CY74"/>
  <c r="CZ74"/>
  <c r="DA74"/>
  <c r="DB74"/>
  <c r="DC74"/>
  <c r="DD74"/>
  <c r="DE74"/>
  <c r="DF74"/>
  <c r="DG74"/>
  <c r="DH74"/>
  <c r="DI74"/>
  <c r="DJ74"/>
  <c r="DK74"/>
  <c r="DL74"/>
  <c r="DM74"/>
  <c r="DN74"/>
  <c r="DO74"/>
  <c r="DP74"/>
  <c r="DQ74"/>
  <c r="DR74"/>
  <c r="DS74"/>
  <c r="DT74"/>
  <c r="DU74"/>
  <c r="DV74"/>
  <c r="DW74"/>
  <c r="DX74"/>
  <c r="DY74"/>
  <c r="DZ74"/>
  <c r="EA74"/>
  <c r="EB74"/>
  <c r="EC74"/>
  <c r="ED74"/>
  <c r="EE74"/>
  <c r="EF74"/>
  <c r="EG74"/>
  <c r="EH74"/>
  <c r="EI74"/>
  <c r="EJ74"/>
  <c r="EK74"/>
  <c r="EL74"/>
  <c r="EM74"/>
  <c r="EN74"/>
  <c r="EO74"/>
  <c r="EP74"/>
  <c r="EQ74"/>
  <c r="ER74"/>
  <c r="ES74"/>
  <c r="ET74"/>
  <c r="EU74"/>
  <c r="EV74"/>
  <c r="EW74"/>
  <c r="EX74"/>
  <c r="EY74"/>
  <c r="EZ74"/>
  <c r="FA74"/>
  <c r="FB74"/>
  <c r="FC74"/>
  <c r="FD74"/>
  <c r="FE74"/>
  <c r="FF74"/>
  <c r="FG74"/>
  <c r="FH74"/>
  <c r="FI74"/>
  <c r="FJ74"/>
  <c r="FK74"/>
  <c r="FL74"/>
  <c r="FM74"/>
  <c r="FN74"/>
  <c r="FO74"/>
  <c r="FP74"/>
  <c r="FQ74"/>
  <c r="FR74"/>
  <c r="FS74"/>
  <c r="FT74"/>
  <c r="FU74"/>
  <c r="FV74"/>
  <c r="FW74"/>
  <c r="FX74"/>
  <c r="FY74"/>
  <c r="FZ74"/>
  <c r="GA74"/>
  <c r="GB74"/>
  <c r="GC74"/>
  <c r="GD74"/>
  <c r="GE74"/>
  <c r="GF74"/>
  <c r="GG74"/>
  <c r="GH74"/>
  <c r="GI74"/>
  <c r="GJ74"/>
  <c r="GK74"/>
  <c r="GL74"/>
  <c r="GM74"/>
  <c r="GN74"/>
  <c r="GO74"/>
  <c r="GP74"/>
  <c r="GQ74"/>
  <c r="GR74"/>
  <c r="GS74"/>
  <c r="GT74"/>
  <c r="GU74"/>
  <c r="GV74"/>
  <c r="GW74"/>
  <c r="GX74"/>
  <c r="GY74"/>
  <c r="GZ74"/>
  <c r="HA74"/>
  <c r="HB74"/>
  <c r="HC74"/>
  <c r="HD74"/>
  <c r="HE74"/>
  <c r="HF74"/>
  <c r="HG74"/>
  <c r="HH74"/>
  <c r="HI74"/>
  <c r="HJ74"/>
  <c r="HK74"/>
  <c r="HL74"/>
  <c r="HM74"/>
  <c r="HN74"/>
  <c r="HO74"/>
  <c r="HP74"/>
  <c r="HQ74"/>
  <c r="HR74"/>
  <c r="HS74"/>
  <c r="HT74"/>
  <c r="HU74"/>
  <c r="HV74"/>
  <c r="HW74"/>
  <c r="HX74"/>
  <c r="HY74"/>
  <c r="HZ74"/>
  <c r="IA74"/>
  <c r="IB74"/>
  <c r="IC74"/>
  <c r="ID74"/>
  <c r="IE74"/>
  <c r="IF74"/>
  <c r="IG74"/>
  <c r="IH74"/>
  <c r="II74"/>
  <c r="IJ74"/>
  <c r="IK74"/>
  <c r="IL74"/>
  <c r="IM74"/>
  <c r="IN74"/>
  <c r="IO74"/>
  <c r="IP74"/>
  <c r="IQ74"/>
  <c r="IR74"/>
  <c r="IS74"/>
  <c r="IT74"/>
  <c r="IU74"/>
  <c r="IV74"/>
  <c r="A73"/>
  <c r="B73"/>
  <c r="C73"/>
  <c r="D73"/>
  <c r="E73"/>
  <c r="F73"/>
  <c r="G73"/>
  <c r="H73"/>
  <c r="I73"/>
  <c r="J73"/>
  <c r="K73"/>
  <c r="L73"/>
  <c r="M73"/>
  <c r="N73"/>
  <c r="O73"/>
  <c r="P73"/>
  <c r="Q73"/>
  <c r="R73"/>
  <c r="S73"/>
  <c r="T73"/>
  <c r="U73"/>
  <c r="V73"/>
  <c r="W73"/>
  <c r="X73"/>
  <c r="Y73"/>
  <c r="Z73"/>
  <c r="AA73"/>
  <c r="AB73"/>
  <c r="AC73"/>
  <c r="AD73"/>
  <c r="AE73"/>
  <c r="AF73"/>
  <c r="AG73"/>
  <c r="AH73"/>
  <c r="AI73"/>
  <c r="AJ73"/>
  <c r="AK73"/>
  <c r="AL73"/>
  <c r="AM73"/>
  <c r="AN73"/>
  <c r="AO73"/>
  <c r="AP73"/>
  <c r="AQ73"/>
  <c r="AR73"/>
  <c r="AS73"/>
  <c r="AT73"/>
  <c r="AU73"/>
  <c r="AV73"/>
  <c r="AW73"/>
  <c r="AX73"/>
  <c r="AY73"/>
  <c r="AZ73"/>
  <c r="BA73"/>
  <c r="BB73"/>
  <c r="BC73"/>
  <c r="BD73"/>
  <c r="BE73"/>
  <c r="BF73"/>
  <c r="BG73"/>
  <c r="BH73"/>
  <c r="BI73"/>
  <c r="BJ73"/>
  <c r="BK73"/>
  <c r="BL73"/>
  <c r="BM73"/>
  <c r="BN73"/>
  <c r="BO73"/>
  <c r="BP73"/>
  <c r="BQ73"/>
  <c r="BR73"/>
  <c r="BS73"/>
  <c r="BT73"/>
  <c r="BU73"/>
  <c r="BV73"/>
  <c r="BW73"/>
  <c r="BX73"/>
  <c r="BY73"/>
  <c r="BZ73"/>
  <c r="CA73"/>
  <c r="CB73"/>
  <c r="CC73"/>
  <c r="CD73"/>
  <c r="CE73"/>
  <c r="CF73"/>
  <c r="CG73"/>
  <c r="CH73"/>
  <c r="CI73"/>
  <c r="CJ73"/>
  <c r="CK73"/>
  <c r="CL73"/>
  <c r="CM73"/>
  <c r="CN73"/>
  <c r="CO73"/>
  <c r="CP73"/>
  <c r="CQ73"/>
  <c r="CR73"/>
  <c r="CS73"/>
  <c r="CT73"/>
  <c r="CU73"/>
  <c r="CV73"/>
  <c r="CW73"/>
  <c r="CX73"/>
  <c r="CY73"/>
  <c r="CZ73"/>
  <c r="DA73"/>
  <c r="DB73"/>
  <c r="DC73"/>
  <c r="DD73"/>
  <c r="DE73"/>
  <c r="DF73"/>
  <c r="DG73"/>
  <c r="DH73"/>
  <c r="DI73"/>
  <c r="DJ73"/>
  <c r="DK73"/>
  <c r="DL73"/>
  <c r="DM73"/>
  <c r="DN73"/>
  <c r="DO73"/>
  <c r="DP73"/>
  <c r="DQ73"/>
  <c r="DR73"/>
  <c r="DS73"/>
  <c r="DT73"/>
  <c r="DU73"/>
  <c r="DV73"/>
  <c r="DW73"/>
  <c r="DX73"/>
  <c r="DY73"/>
  <c r="DZ73"/>
  <c r="EA73"/>
  <c r="EB73"/>
  <c r="EC73"/>
  <c r="ED73"/>
  <c r="EE73"/>
  <c r="EF73"/>
  <c r="EG73"/>
  <c r="EH73"/>
  <c r="EI73"/>
  <c r="EJ73"/>
  <c r="EK73"/>
  <c r="EL73"/>
  <c r="EM73"/>
  <c r="EN73"/>
  <c r="EO73"/>
  <c r="EP73"/>
  <c r="EQ73"/>
  <c r="ER73"/>
  <c r="ES73"/>
  <c r="ET73"/>
  <c r="EU73"/>
  <c r="EV73"/>
  <c r="EW73"/>
  <c r="EX73"/>
  <c r="EY73"/>
  <c r="EZ73"/>
  <c r="FA73"/>
  <c r="FB73"/>
  <c r="FC73"/>
  <c r="FD73"/>
  <c r="FE73"/>
  <c r="FF73"/>
  <c r="FG73"/>
  <c r="FH73"/>
  <c r="FI73"/>
  <c r="FJ73"/>
  <c r="FK73"/>
  <c r="FL73"/>
  <c r="FM73"/>
  <c r="FN73"/>
  <c r="FO73"/>
  <c r="FP73"/>
  <c r="FQ73"/>
  <c r="FR73"/>
  <c r="FS73"/>
  <c r="FT73"/>
  <c r="FU73"/>
  <c r="FV73"/>
  <c r="FW73"/>
  <c r="FX73"/>
  <c r="FY73"/>
  <c r="FZ73"/>
  <c r="GA73"/>
  <c r="GB73"/>
  <c r="GC73"/>
  <c r="GD73"/>
  <c r="GE73"/>
  <c r="GF73"/>
  <c r="GG73"/>
  <c r="GH73"/>
  <c r="GI73"/>
  <c r="GJ73"/>
  <c r="GK73"/>
  <c r="GL73"/>
  <c r="GM73"/>
  <c r="GN73"/>
  <c r="GO73"/>
  <c r="GP73"/>
  <c r="GQ73"/>
  <c r="GR73"/>
  <c r="GS73"/>
  <c r="GT73"/>
  <c r="GU73"/>
  <c r="GV73"/>
  <c r="GW73"/>
  <c r="GX73"/>
  <c r="GY73"/>
  <c r="GZ73"/>
  <c r="HA73"/>
  <c r="HB73"/>
  <c r="HC73"/>
  <c r="HD73"/>
  <c r="HE73"/>
  <c r="HF73"/>
  <c r="HG73"/>
  <c r="HH73"/>
  <c r="HI73"/>
  <c r="HJ73"/>
  <c r="HK73"/>
  <c r="HL73"/>
  <c r="HM73"/>
  <c r="HN73"/>
  <c r="HO73"/>
  <c r="HP73"/>
  <c r="HQ73"/>
  <c r="HR73"/>
  <c r="HS73"/>
  <c r="HT73"/>
  <c r="HU73"/>
  <c r="HV73"/>
  <c r="HW73"/>
  <c r="HX73"/>
  <c r="HY73"/>
  <c r="HZ73"/>
  <c r="IA73"/>
  <c r="IB73"/>
  <c r="IC73"/>
  <c r="ID73"/>
  <c r="IE73"/>
  <c r="IF73"/>
  <c r="IG73"/>
  <c r="IH73"/>
  <c r="II73"/>
  <c r="IJ73"/>
  <c r="IK73"/>
  <c r="IL73"/>
  <c r="IM73"/>
  <c r="IN73"/>
  <c r="IO73"/>
  <c r="IP73"/>
  <c r="IQ73"/>
  <c r="IR73"/>
  <c r="IS73"/>
  <c r="IT73"/>
  <c r="IU73"/>
  <c r="IV73"/>
  <c r="A72"/>
  <c r="B72"/>
  <c r="C72"/>
  <c r="D72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X72"/>
  <c r="Y72"/>
  <c r="Z72"/>
  <c r="AA72"/>
  <c r="AB72"/>
  <c r="AC72"/>
  <c r="AD72"/>
  <c r="AE72"/>
  <c r="AF72"/>
  <c r="AG72"/>
  <c r="AH72"/>
  <c r="AI72"/>
  <c r="AJ72"/>
  <c r="AK72"/>
  <c r="AL72"/>
  <c r="AM72"/>
  <c r="AN72"/>
  <c r="AO72"/>
  <c r="AP72"/>
  <c r="AQ72"/>
  <c r="AR72"/>
  <c r="AS72"/>
  <c r="AT72"/>
  <c r="AU72"/>
  <c r="AV72"/>
  <c r="AW72"/>
  <c r="AX72"/>
  <c r="AY72"/>
  <c r="AZ72"/>
  <c r="BA72"/>
  <c r="BB72"/>
  <c r="BC72"/>
  <c r="BD72"/>
  <c r="BE72"/>
  <c r="BF72"/>
  <c r="BG72"/>
  <c r="BH72"/>
  <c r="BI72"/>
  <c r="BJ72"/>
  <c r="BK72"/>
  <c r="BL72"/>
  <c r="BM72"/>
  <c r="BN72"/>
  <c r="BO72"/>
  <c r="BP72"/>
  <c r="BQ72"/>
  <c r="BR72"/>
  <c r="BS72"/>
  <c r="BT72"/>
  <c r="BU72"/>
  <c r="BV72"/>
  <c r="BW72"/>
  <c r="BX72"/>
  <c r="BY72"/>
  <c r="BZ72"/>
  <c r="CA72"/>
  <c r="CB72"/>
  <c r="CC72"/>
  <c r="CD72"/>
  <c r="CE72"/>
  <c r="CF72"/>
  <c r="CG72"/>
  <c r="CH72"/>
  <c r="CI72"/>
  <c r="CJ72"/>
  <c r="CK72"/>
  <c r="CL72"/>
  <c r="CM72"/>
  <c r="CN72"/>
  <c r="CO72"/>
  <c r="CP72"/>
  <c r="CQ72"/>
  <c r="CR72"/>
  <c r="CS72"/>
  <c r="CT72"/>
  <c r="CU72"/>
  <c r="CV72"/>
  <c r="CW72"/>
  <c r="CX72"/>
  <c r="CY72"/>
  <c r="CZ72"/>
  <c r="DA72"/>
  <c r="DB72"/>
  <c r="DC72"/>
  <c r="DD72"/>
  <c r="DE72"/>
  <c r="DF72"/>
  <c r="DG72"/>
  <c r="DH72"/>
  <c r="DI72"/>
  <c r="DJ72"/>
  <c r="DK72"/>
  <c r="DL72"/>
  <c r="DM72"/>
  <c r="DN72"/>
  <c r="DO72"/>
  <c r="DP72"/>
  <c r="DQ72"/>
  <c r="DR72"/>
  <c r="DS72"/>
  <c r="DT72"/>
  <c r="DU72"/>
  <c r="DV72"/>
  <c r="DW72"/>
  <c r="DX72"/>
  <c r="DY72"/>
  <c r="DZ72"/>
  <c r="EA72"/>
  <c r="EB72"/>
  <c r="EC72"/>
  <c r="ED72"/>
  <c r="EE72"/>
  <c r="EF72"/>
  <c r="EG72"/>
  <c r="EH72"/>
  <c r="EI72"/>
  <c r="EJ72"/>
  <c r="EK72"/>
  <c r="EL72"/>
  <c r="EM72"/>
  <c r="EN72"/>
  <c r="EO72"/>
  <c r="EP72"/>
  <c r="EQ72"/>
  <c r="ER72"/>
  <c r="ES72"/>
  <c r="ET72"/>
  <c r="EU72"/>
  <c r="EV72"/>
  <c r="EW72"/>
  <c r="EX72"/>
  <c r="EY72"/>
  <c r="EZ72"/>
  <c r="FA72"/>
  <c r="FB72"/>
  <c r="FC72"/>
  <c r="FD72"/>
  <c r="FE72"/>
  <c r="FF72"/>
  <c r="FG72"/>
  <c r="FH72"/>
  <c r="FI72"/>
  <c r="FJ72"/>
  <c r="FK72"/>
  <c r="FL72"/>
  <c r="FM72"/>
  <c r="FN72"/>
  <c r="FO72"/>
  <c r="FP72"/>
  <c r="FQ72"/>
  <c r="FR72"/>
  <c r="FS72"/>
  <c r="FT72"/>
  <c r="FU72"/>
  <c r="FV72"/>
  <c r="FW72"/>
  <c r="FX72"/>
  <c r="FY72"/>
  <c r="FZ72"/>
  <c r="GA72"/>
  <c r="GB72"/>
  <c r="GC72"/>
  <c r="GD72"/>
  <c r="GE72"/>
  <c r="GF72"/>
  <c r="GG72"/>
  <c r="GH72"/>
  <c r="GI72"/>
  <c r="GJ72"/>
  <c r="GK72"/>
  <c r="GL72"/>
  <c r="GM72"/>
  <c r="GN72"/>
  <c r="GO72"/>
  <c r="GP72"/>
  <c r="GQ72"/>
  <c r="GR72"/>
  <c r="GS72"/>
  <c r="GT72"/>
  <c r="GU72"/>
  <c r="GV72"/>
  <c r="GW72"/>
  <c r="GX72"/>
  <c r="GY72"/>
  <c r="GZ72"/>
  <c r="HA72"/>
  <c r="HB72"/>
  <c r="HC72"/>
  <c r="HD72"/>
  <c r="HE72"/>
  <c r="HF72"/>
  <c r="HG72"/>
  <c r="HH72"/>
  <c r="HI72"/>
  <c r="HJ72"/>
  <c r="HK72"/>
  <c r="HL72"/>
  <c r="HM72"/>
  <c r="HN72"/>
  <c r="HO72"/>
  <c r="HP72"/>
  <c r="HQ72"/>
  <c r="HR72"/>
  <c r="HS72"/>
  <c r="HT72"/>
  <c r="HU72"/>
  <c r="HV72"/>
  <c r="HW72"/>
  <c r="HX72"/>
  <c r="HY72"/>
  <c r="HZ72"/>
  <c r="IA72"/>
  <c r="IB72"/>
  <c r="IC72"/>
  <c r="ID72"/>
  <c r="IE72"/>
  <c r="IF72"/>
  <c r="IG72"/>
  <c r="IH72"/>
  <c r="II72"/>
  <c r="IJ72"/>
  <c r="IK72"/>
  <c r="IL72"/>
  <c r="IM72"/>
  <c r="IN72"/>
  <c r="IO72"/>
  <c r="IP72"/>
  <c r="IQ72"/>
  <c r="IR72"/>
  <c r="IS72"/>
  <c r="IT72"/>
  <c r="IU72"/>
  <c r="IV72"/>
  <c r="A71"/>
  <c r="B71"/>
  <c r="C71"/>
  <c r="D71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X71"/>
  <c r="Y71"/>
  <c r="Z71"/>
  <c r="AA71"/>
  <c r="AB71"/>
  <c r="AC71"/>
  <c r="AD71"/>
  <c r="AE71"/>
  <c r="AF71"/>
  <c r="AG71"/>
  <c r="AH71"/>
  <c r="AI71"/>
  <c r="AJ71"/>
  <c r="AK71"/>
  <c r="AL71"/>
  <c r="AM71"/>
  <c r="AN71"/>
  <c r="AO71"/>
  <c r="AP71"/>
  <c r="AQ71"/>
  <c r="AR71"/>
  <c r="AS71"/>
  <c r="AT71"/>
  <c r="AU71"/>
  <c r="AV71"/>
  <c r="AW71"/>
  <c r="AX71"/>
  <c r="AY71"/>
  <c r="AZ71"/>
  <c r="BA71"/>
  <c r="BB71"/>
  <c r="BC71"/>
  <c r="BD71"/>
  <c r="BE71"/>
  <c r="BF71"/>
  <c r="BG71"/>
  <c r="BH71"/>
  <c r="BI71"/>
  <c r="BJ71"/>
  <c r="BK71"/>
  <c r="BL71"/>
  <c r="BM71"/>
  <c r="BN71"/>
  <c r="BO71"/>
  <c r="BP71"/>
  <c r="BQ71"/>
  <c r="BR71"/>
  <c r="BS71"/>
  <c r="BT71"/>
  <c r="BU71"/>
  <c r="BV71"/>
  <c r="BW71"/>
  <c r="BX71"/>
  <c r="BY71"/>
  <c r="BZ71"/>
  <c r="CA71"/>
  <c r="CB71"/>
  <c r="CC71"/>
  <c r="CD71"/>
  <c r="CE71"/>
  <c r="CF71"/>
  <c r="CG71"/>
  <c r="CH71"/>
  <c r="CI71"/>
  <c r="CJ71"/>
  <c r="CK71"/>
  <c r="CL71"/>
  <c r="CM71"/>
  <c r="CN71"/>
  <c r="CO71"/>
  <c r="CP71"/>
  <c r="CQ71"/>
  <c r="CR71"/>
  <c r="CS71"/>
  <c r="CT71"/>
  <c r="CU71"/>
  <c r="CV71"/>
  <c r="CW71"/>
  <c r="CX71"/>
  <c r="CY71"/>
  <c r="CZ71"/>
  <c r="DA71"/>
  <c r="DB71"/>
  <c r="DC71"/>
  <c r="DD71"/>
  <c r="DE71"/>
  <c r="DF71"/>
  <c r="DG71"/>
  <c r="DH71"/>
  <c r="DI71"/>
  <c r="DJ71"/>
  <c r="DK71"/>
  <c r="DL71"/>
  <c r="DM71"/>
  <c r="DN71"/>
  <c r="DO71"/>
  <c r="DP71"/>
  <c r="DQ71"/>
  <c r="DR71"/>
  <c r="DS71"/>
  <c r="DT71"/>
  <c r="DU71"/>
  <c r="DV71"/>
  <c r="DW71"/>
  <c r="DX71"/>
  <c r="DY71"/>
  <c r="DZ71"/>
  <c r="EA71"/>
  <c r="EB71"/>
  <c r="EC71"/>
  <c r="ED71"/>
  <c r="EE71"/>
  <c r="EF71"/>
  <c r="EG71"/>
  <c r="EH71"/>
  <c r="EI71"/>
  <c r="EJ71"/>
  <c r="EK71"/>
  <c r="EL71"/>
  <c r="EM71"/>
  <c r="EN71"/>
  <c r="EO71"/>
  <c r="EP71"/>
  <c r="EQ71"/>
  <c r="ER71"/>
  <c r="ES71"/>
  <c r="ET71"/>
  <c r="EU71"/>
  <c r="EV71"/>
  <c r="EW71"/>
  <c r="EX71"/>
  <c r="EY71"/>
  <c r="EZ71"/>
  <c r="FA71"/>
  <c r="FB71"/>
  <c r="FC71"/>
  <c r="FD71"/>
  <c r="FE71"/>
  <c r="FF71"/>
  <c r="FG71"/>
  <c r="FH71"/>
  <c r="FI71"/>
  <c r="FJ71"/>
  <c r="FK71"/>
  <c r="FL71"/>
  <c r="FM71"/>
  <c r="FN71"/>
  <c r="FO71"/>
  <c r="FP71"/>
  <c r="FQ71"/>
  <c r="FR71"/>
  <c r="FS71"/>
  <c r="FT71"/>
  <c r="FU71"/>
  <c r="FV71"/>
  <c r="FW71"/>
  <c r="FX71"/>
  <c r="FY71"/>
  <c r="FZ71"/>
  <c r="GA71"/>
  <c r="GB71"/>
  <c r="GC71"/>
  <c r="GD71"/>
  <c r="GE71"/>
  <c r="GF71"/>
  <c r="GG71"/>
  <c r="GH71"/>
  <c r="GI71"/>
  <c r="GJ71"/>
  <c r="GK71"/>
  <c r="GL71"/>
  <c r="GM71"/>
  <c r="GN71"/>
  <c r="GO71"/>
  <c r="GP71"/>
  <c r="GQ71"/>
  <c r="GR71"/>
  <c r="GS71"/>
  <c r="GT71"/>
  <c r="GU71"/>
  <c r="GV71"/>
  <c r="GW71"/>
  <c r="GX71"/>
  <c r="GY71"/>
  <c r="GZ71"/>
  <c r="HA71"/>
  <c r="HB71"/>
  <c r="HC71"/>
  <c r="HD71"/>
  <c r="HE71"/>
  <c r="HF71"/>
  <c r="HG71"/>
  <c r="HH71"/>
  <c r="HI71"/>
  <c r="HJ71"/>
  <c r="HK71"/>
  <c r="HL71"/>
  <c r="HM71"/>
  <c r="HN71"/>
  <c r="HO71"/>
  <c r="HP71"/>
  <c r="HQ71"/>
  <c r="HR71"/>
  <c r="HS71"/>
  <c r="HT71"/>
  <c r="HU71"/>
  <c r="HV71"/>
  <c r="HW71"/>
  <c r="HX71"/>
  <c r="HY71"/>
  <c r="HZ71"/>
  <c r="IA71"/>
  <c r="IB71"/>
  <c r="IC71"/>
  <c r="ID71"/>
  <c r="IE71"/>
  <c r="IF71"/>
  <c r="IG71"/>
  <c r="IH71"/>
  <c r="II71"/>
  <c r="IJ71"/>
  <c r="IK71"/>
  <c r="IL71"/>
  <c r="IM71"/>
  <c r="IN71"/>
  <c r="IO71"/>
  <c r="IP71"/>
  <c r="IQ71"/>
  <c r="IR71"/>
  <c r="IS71"/>
  <c r="IT71"/>
  <c r="IU71"/>
  <c r="IV71"/>
  <c r="A70"/>
  <c r="B70"/>
  <c r="C70"/>
  <c r="D70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X70"/>
  <c r="Y70"/>
  <c r="Z70"/>
  <c r="AA70"/>
  <c r="AB70"/>
  <c r="AC70"/>
  <c r="AD70"/>
  <c r="AE70"/>
  <c r="AF70"/>
  <c r="AG70"/>
  <c r="AH70"/>
  <c r="AI70"/>
  <c r="AJ70"/>
  <c r="AK70"/>
  <c r="AL70"/>
  <c r="AM70"/>
  <c r="AN70"/>
  <c r="AO70"/>
  <c r="AP70"/>
  <c r="AQ70"/>
  <c r="AR70"/>
  <c r="AS70"/>
  <c r="AT70"/>
  <c r="AU70"/>
  <c r="AV70"/>
  <c r="AW70"/>
  <c r="AX70"/>
  <c r="AY70"/>
  <c r="AZ70"/>
  <c r="BA70"/>
  <c r="BB70"/>
  <c r="BC70"/>
  <c r="BD70"/>
  <c r="BE70"/>
  <c r="BF70"/>
  <c r="BG70"/>
  <c r="BH70"/>
  <c r="BI70"/>
  <c r="BJ70"/>
  <c r="BK70"/>
  <c r="BL70"/>
  <c r="BM70"/>
  <c r="BN70"/>
  <c r="BO70"/>
  <c r="BP70"/>
  <c r="BQ70"/>
  <c r="BR70"/>
  <c r="BS70"/>
  <c r="BT70"/>
  <c r="BU70"/>
  <c r="BV70"/>
  <c r="BW70"/>
  <c r="BX70"/>
  <c r="BY70"/>
  <c r="BZ70"/>
  <c r="CA70"/>
  <c r="CB70"/>
  <c r="CC70"/>
  <c r="CD70"/>
  <c r="CE70"/>
  <c r="CF70"/>
  <c r="CG70"/>
  <c r="CH70"/>
  <c r="CI70"/>
  <c r="CJ70"/>
  <c r="CK70"/>
  <c r="CL70"/>
  <c r="CM70"/>
  <c r="CN70"/>
  <c r="CO70"/>
  <c r="CP70"/>
  <c r="CQ70"/>
  <c r="CR70"/>
  <c r="CS70"/>
  <c r="CT70"/>
  <c r="CU70"/>
  <c r="CV70"/>
  <c r="CW70"/>
  <c r="CX70"/>
  <c r="CY70"/>
  <c r="CZ70"/>
  <c r="DA70"/>
  <c r="DB70"/>
  <c r="DC70"/>
  <c r="DD70"/>
  <c r="DE70"/>
  <c r="DF70"/>
  <c r="DG70"/>
  <c r="DH70"/>
  <c r="DI70"/>
  <c r="DJ70"/>
  <c r="DK70"/>
  <c r="DL70"/>
  <c r="DM70"/>
  <c r="DN70"/>
  <c r="DO70"/>
  <c r="DP70"/>
  <c r="DQ70"/>
  <c r="DR70"/>
  <c r="DS70"/>
  <c r="DT70"/>
  <c r="DU70"/>
  <c r="DV70"/>
  <c r="DW70"/>
  <c r="DX70"/>
  <c r="DY70"/>
  <c r="DZ70"/>
  <c r="EA70"/>
  <c r="EB70"/>
  <c r="EC70"/>
  <c r="ED70"/>
  <c r="EE70"/>
  <c r="EF70"/>
  <c r="EG70"/>
  <c r="EH70"/>
  <c r="EI70"/>
  <c r="EJ70"/>
  <c r="EK70"/>
  <c r="EL70"/>
  <c r="EM70"/>
  <c r="EN70"/>
  <c r="EO70"/>
  <c r="EP70"/>
  <c r="EQ70"/>
  <c r="ER70"/>
  <c r="ES70"/>
  <c r="ET70"/>
  <c r="EU70"/>
  <c r="EV70"/>
  <c r="EW70"/>
  <c r="EX70"/>
  <c r="EY70"/>
  <c r="EZ70"/>
  <c r="FA70"/>
  <c r="FB70"/>
  <c r="FC70"/>
  <c r="FD70"/>
  <c r="FE70"/>
  <c r="FF70"/>
  <c r="FG70"/>
  <c r="FH70"/>
  <c r="FI70"/>
  <c r="FJ70"/>
  <c r="FK70"/>
  <c r="FL70"/>
  <c r="FM70"/>
  <c r="FN70"/>
  <c r="FO70"/>
  <c r="FP70"/>
  <c r="FQ70"/>
  <c r="FR70"/>
  <c r="FS70"/>
  <c r="FT70"/>
  <c r="FU70"/>
  <c r="FV70"/>
  <c r="FW70"/>
  <c r="FX70"/>
  <c r="FY70"/>
  <c r="FZ70"/>
  <c r="GA70"/>
  <c r="GB70"/>
  <c r="GC70"/>
  <c r="GD70"/>
  <c r="GE70"/>
  <c r="GF70"/>
  <c r="GG70"/>
  <c r="GH70"/>
  <c r="GI70"/>
  <c r="GJ70"/>
  <c r="GK70"/>
  <c r="GL70"/>
  <c r="GM70"/>
  <c r="GN70"/>
  <c r="GO70"/>
  <c r="GP70"/>
  <c r="GQ70"/>
  <c r="GR70"/>
  <c r="GS70"/>
  <c r="GT70"/>
  <c r="GU70"/>
  <c r="GV70"/>
  <c r="GW70"/>
  <c r="GX70"/>
  <c r="GY70"/>
  <c r="GZ70"/>
  <c r="HA70"/>
  <c r="HB70"/>
  <c r="HC70"/>
  <c r="HD70"/>
  <c r="HE70"/>
  <c r="HF70"/>
  <c r="HG70"/>
  <c r="HH70"/>
  <c r="HI70"/>
  <c r="HJ70"/>
  <c r="HK70"/>
  <c r="HL70"/>
  <c r="HM70"/>
  <c r="HN70"/>
  <c r="HO70"/>
  <c r="HP70"/>
  <c r="HQ70"/>
  <c r="HR70"/>
  <c r="HS70"/>
  <c r="HT70"/>
  <c r="HU70"/>
  <c r="HV70"/>
  <c r="HW70"/>
  <c r="HX70"/>
  <c r="HY70"/>
  <c r="HZ70"/>
  <c r="IA70"/>
  <c r="IB70"/>
  <c r="IC70"/>
  <c r="ID70"/>
  <c r="IE70"/>
  <c r="IF70"/>
  <c r="IG70"/>
  <c r="IH70"/>
  <c r="II70"/>
  <c r="IJ70"/>
  <c r="IK70"/>
  <c r="IL70"/>
  <c r="IM70"/>
  <c r="IN70"/>
  <c r="IO70"/>
  <c r="IP70"/>
  <c r="IQ70"/>
  <c r="IR70"/>
  <c r="IS70"/>
  <c r="IT70"/>
  <c r="IU70"/>
  <c r="IV70"/>
  <c r="A69"/>
  <c r="B69"/>
  <c r="C69"/>
  <c r="D69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X69"/>
  <c r="Y69"/>
  <c r="Z69"/>
  <c r="AA69"/>
  <c r="AB69"/>
  <c r="AC69"/>
  <c r="AD69"/>
  <c r="AE69"/>
  <c r="AF69"/>
  <c r="AG69"/>
  <c r="AH69"/>
  <c r="AI69"/>
  <c r="AJ69"/>
  <c r="AK69"/>
  <c r="AL69"/>
  <c r="AM69"/>
  <c r="AN69"/>
  <c r="AO69"/>
  <c r="AP69"/>
  <c r="AQ69"/>
  <c r="AR69"/>
  <c r="AS69"/>
  <c r="AT69"/>
  <c r="AU69"/>
  <c r="AV69"/>
  <c r="AW69"/>
  <c r="AX69"/>
  <c r="AY69"/>
  <c r="AZ69"/>
  <c r="BA69"/>
  <c r="BB69"/>
  <c r="BC69"/>
  <c r="BD69"/>
  <c r="BE69"/>
  <c r="BF69"/>
  <c r="BG69"/>
  <c r="BH69"/>
  <c r="BI69"/>
  <c r="BJ69"/>
  <c r="BK69"/>
  <c r="BL69"/>
  <c r="BM69"/>
  <c r="BN69"/>
  <c r="BO69"/>
  <c r="BP69"/>
  <c r="BQ69"/>
  <c r="BR69"/>
  <c r="BS69"/>
  <c r="BT69"/>
  <c r="BU69"/>
  <c r="BV69"/>
  <c r="BW69"/>
  <c r="BX69"/>
  <c r="BY69"/>
  <c r="BZ69"/>
  <c r="CA69"/>
  <c r="CB69"/>
  <c r="CC69"/>
  <c r="CD69"/>
  <c r="CE69"/>
  <c r="CF69"/>
  <c r="CG69"/>
  <c r="CH69"/>
  <c r="CI69"/>
  <c r="CJ69"/>
  <c r="CK69"/>
  <c r="CL69"/>
  <c r="CM69"/>
  <c r="CN69"/>
  <c r="CO69"/>
  <c r="CP69"/>
  <c r="CQ69"/>
  <c r="CR69"/>
  <c r="CS69"/>
  <c r="CT69"/>
  <c r="CU69"/>
  <c r="CV69"/>
  <c r="CW69"/>
  <c r="CX69"/>
  <c r="CY69"/>
  <c r="CZ69"/>
  <c r="DA69"/>
  <c r="DB69"/>
  <c r="DC69"/>
  <c r="DD69"/>
  <c r="DE69"/>
  <c r="DF69"/>
  <c r="DG69"/>
  <c r="DH69"/>
  <c r="DI69"/>
  <c r="DJ69"/>
  <c r="DK69"/>
  <c r="DL69"/>
  <c r="DM69"/>
  <c r="DN69"/>
  <c r="DO69"/>
  <c r="DP69"/>
  <c r="DQ69"/>
  <c r="DR69"/>
  <c r="DS69"/>
  <c r="DT69"/>
  <c r="DU69"/>
  <c r="DV69"/>
  <c r="DW69"/>
  <c r="DX69"/>
  <c r="DY69"/>
  <c r="DZ69"/>
  <c r="EA69"/>
  <c r="EB69"/>
  <c r="EC69"/>
  <c r="ED69"/>
  <c r="EE69"/>
  <c r="EF69"/>
  <c r="EG69"/>
  <c r="EH69"/>
  <c r="EI69"/>
  <c r="EJ69"/>
  <c r="EK69"/>
  <c r="EL69"/>
  <c r="EM69"/>
  <c r="EN69"/>
  <c r="EO69"/>
  <c r="EP69"/>
  <c r="EQ69"/>
  <c r="ER69"/>
  <c r="ES69"/>
  <c r="ET69"/>
  <c r="EU69"/>
  <c r="EV69"/>
  <c r="EW69"/>
  <c r="EX69"/>
  <c r="EY69"/>
  <c r="EZ69"/>
  <c r="FA69"/>
  <c r="FB69"/>
  <c r="FC69"/>
  <c r="FD69"/>
  <c r="FE69"/>
  <c r="FF69"/>
  <c r="FG69"/>
  <c r="FH69"/>
  <c r="FI69"/>
  <c r="FJ69"/>
  <c r="FK69"/>
  <c r="FL69"/>
  <c r="FM69"/>
  <c r="FN69"/>
  <c r="FO69"/>
  <c r="FP69"/>
  <c r="FQ69"/>
  <c r="FR69"/>
  <c r="FS69"/>
  <c r="FT69"/>
  <c r="FU69"/>
  <c r="FV69"/>
  <c r="FW69"/>
  <c r="FX69"/>
  <c r="FY69"/>
  <c r="FZ69"/>
  <c r="GA69"/>
  <c r="GB69"/>
  <c r="GC69"/>
  <c r="GD69"/>
  <c r="GE69"/>
  <c r="GF69"/>
  <c r="GG69"/>
  <c r="GH69"/>
  <c r="GI69"/>
  <c r="GJ69"/>
  <c r="GK69"/>
  <c r="GL69"/>
  <c r="GM69"/>
  <c r="GN69"/>
  <c r="GO69"/>
  <c r="GP69"/>
  <c r="GQ69"/>
  <c r="GR69"/>
  <c r="GS69"/>
  <c r="GT69"/>
  <c r="GU69"/>
  <c r="GV69"/>
  <c r="GW69"/>
  <c r="GX69"/>
  <c r="GY69"/>
  <c r="GZ69"/>
  <c r="HA69"/>
  <c r="HB69"/>
  <c r="HC69"/>
  <c r="HD69"/>
  <c r="HE69"/>
  <c r="HF69"/>
  <c r="HG69"/>
  <c r="HH69"/>
  <c r="HI69"/>
  <c r="HJ69"/>
  <c r="HK69"/>
  <c r="HL69"/>
  <c r="HM69"/>
  <c r="HN69"/>
  <c r="HO69"/>
  <c r="HP69"/>
  <c r="HQ69"/>
  <c r="HR69"/>
  <c r="HS69"/>
  <c r="HT69"/>
  <c r="HU69"/>
  <c r="HV69"/>
  <c r="HW69"/>
  <c r="HX69"/>
  <c r="HY69"/>
  <c r="HZ69"/>
  <c r="IA69"/>
  <c r="IB69"/>
  <c r="IC69"/>
  <c r="ID69"/>
  <c r="IE69"/>
  <c r="IF69"/>
  <c r="IG69"/>
  <c r="IH69"/>
  <c r="II69"/>
  <c r="IJ69"/>
  <c r="IK69"/>
  <c r="IL69"/>
  <c r="IM69"/>
  <c r="IN69"/>
  <c r="IO69"/>
  <c r="IP69"/>
  <c r="IQ69"/>
  <c r="IR69"/>
  <c r="IS69"/>
  <c r="IT69"/>
  <c r="IU69"/>
  <c r="IV69"/>
  <c r="A68"/>
  <c r="B68"/>
  <c r="C68"/>
  <c r="D68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A68"/>
  <c r="AB68"/>
  <c r="AC68"/>
  <c r="AD68"/>
  <c r="AE68"/>
  <c r="AF68"/>
  <c r="AG68"/>
  <c r="AH68"/>
  <c r="AI68"/>
  <c r="AJ68"/>
  <c r="AK68"/>
  <c r="AL68"/>
  <c r="AM68"/>
  <c r="AN68"/>
  <c r="AO68"/>
  <c r="AP68"/>
  <c r="AQ68"/>
  <c r="AR68"/>
  <c r="AS68"/>
  <c r="AT68"/>
  <c r="AU68"/>
  <c r="AV68"/>
  <c r="AW68"/>
  <c r="AX68"/>
  <c r="AY68"/>
  <c r="AZ68"/>
  <c r="BA68"/>
  <c r="BB68"/>
  <c r="BC68"/>
  <c r="BD68"/>
  <c r="BE68"/>
  <c r="BF68"/>
  <c r="BG68"/>
  <c r="BH68"/>
  <c r="BI68"/>
  <c r="BJ68"/>
  <c r="BK68"/>
  <c r="BL68"/>
  <c r="BM68"/>
  <c r="BN68"/>
  <c r="BO68"/>
  <c r="BP68"/>
  <c r="BQ68"/>
  <c r="BR68"/>
  <c r="BS68"/>
  <c r="BT68"/>
  <c r="BU68"/>
  <c r="BV68"/>
  <c r="BW68"/>
  <c r="BX68"/>
  <c r="BY68"/>
  <c r="BZ68"/>
  <c r="CA68"/>
  <c r="CB68"/>
  <c r="CC68"/>
  <c r="CD68"/>
  <c r="CE68"/>
  <c r="CF68"/>
  <c r="CG68"/>
  <c r="CH68"/>
  <c r="CI68"/>
  <c r="CJ68"/>
  <c r="CK68"/>
  <c r="CL68"/>
  <c r="CM68"/>
  <c r="CN68"/>
  <c r="CO68"/>
  <c r="CP68"/>
  <c r="CQ68"/>
  <c r="CR68"/>
  <c r="CS68"/>
  <c r="CT68"/>
  <c r="CU68"/>
  <c r="CV68"/>
  <c r="CW68"/>
  <c r="CX68"/>
  <c r="CY68"/>
  <c r="CZ68"/>
  <c r="DA68"/>
  <c r="DB68"/>
  <c r="DC68"/>
  <c r="DD68"/>
  <c r="DE68"/>
  <c r="DF68"/>
  <c r="DG68"/>
  <c r="DH68"/>
  <c r="DI68"/>
  <c r="DJ68"/>
  <c r="DK68"/>
  <c r="DL68"/>
  <c r="DM68"/>
  <c r="DN68"/>
  <c r="DO68"/>
  <c r="DP68"/>
  <c r="DQ68"/>
  <c r="DR68"/>
  <c r="DS68"/>
  <c r="DT68"/>
  <c r="DU68"/>
  <c r="DV68"/>
  <c r="DW68"/>
  <c r="DX68"/>
  <c r="DY68"/>
  <c r="DZ68"/>
  <c r="EA68"/>
  <c r="EB68"/>
  <c r="EC68"/>
  <c r="ED68"/>
  <c r="EE68"/>
  <c r="EF68"/>
  <c r="EG68"/>
  <c r="EH68"/>
  <c r="EI68"/>
  <c r="EJ68"/>
  <c r="EK68"/>
  <c r="EL68"/>
  <c r="EM68"/>
  <c r="EN68"/>
  <c r="EO68"/>
  <c r="EP68"/>
  <c r="EQ68"/>
  <c r="ER68"/>
  <c r="ES68"/>
  <c r="ET68"/>
  <c r="EU68"/>
  <c r="EV68"/>
  <c r="EW68"/>
  <c r="EX68"/>
  <c r="EY68"/>
  <c r="EZ68"/>
  <c r="FA68"/>
  <c r="FB68"/>
  <c r="FC68"/>
  <c r="FD68"/>
  <c r="FE68"/>
  <c r="FF68"/>
  <c r="FG68"/>
  <c r="FH68"/>
  <c r="FI68"/>
  <c r="FJ68"/>
  <c r="FK68"/>
  <c r="FL68"/>
  <c r="FM68"/>
  <c r="FN68"/>
  <c r="FO68"/>
  <c r="FP68"/>
  <c r="FQ68"/>
  <c r="FR68"/>
  <c r="FS68"/>
  <c r="FT68"/>
  <c r="FU68"/>
  <c r="FV68"/>
  <c r="FW68"/>
  <c r="FX68"/>
  <c r="FY68"/>
  <c r="FZ68"/>
  <c r="GA68"/>
  <c r="GB68"/>
  <c r="GC68"/>
  <c r="GD68"/>
  <c r="GE68"/>
  <c r="GF68"/>
  <c r="GG68"/>
  <c r="GH68"/>
  <c r="GI68"/>
  <c r="GJ68"/>
  <c r="GK68"/>
  <c r="GL68"/>
  <c r="GM68"/>
  <c r="GN68"/>
  <c r="GO68"/>
  <c r="GP68"/>
  <c r="GQ68"/>
  <c r="GR68"/>
  <c r="GS68"/>
  <c r="GT68"/>
  <c r="GU68"/>
  <c r="GV68"/>
  <c r="GW68"/>
  <c r="GX68"/>
  <c r="GY68"/>
  <c r="GZ68"/>
  <c r="HA68"/>
  <c r="HB68"/>
  <c r="HC68"/>
  <c r="HD68"/>
  <c r="HE68"/>
  <c r="HF68"/>
  <c r="HG68"/>
  <c r="HH68"/>
  <c r="HI68"/>
  <c r="HJ68"/>
  <c r="HK68"/>
  <c r="HL68"/>
  <c r="HM68"/>
  <c r="HN68"/>
  <c r="HO68"/>
  <c r="HP68"/>
  <c r="HQ68"/>
  <c r="HR68"/>
  <c r="HS68"/>
  <c r="HT68"/>
  <c r="HU68"/>
  <c r="HV68"/>
  <c r="HW68"/>
  <c r="HX68"/>
  <c r="HY68"/>
  <c r="HZ68"/>
  <c r="IA68"/>
  <c r="IB68"/>
  <c r="IC68"/>
  <c r="ID68"/>
  <c r="IE68"/>
  <c r="IF68"/>
  <c r="IG68"/>
  <c r="IH68"/>
  <c r="II68"/>
  <c r="IJ68"/>
  <c r="IK68"/>
  <c r="IL68"/>
  <c r="IM68"/>
  <c r="IN68"/>
  <c r="IO68"/>
  <c r="IP68"/>
  <c r="IQ68"/>
  <c r="IR68"/>
  <c r="IS68"/>
  <c r="IT68"/>
  <c r="IU68"/>
  <c r="IV68"/>
  <c r="A67"/>
  <c r="B67"/>
  <c r="C67"/>
  <c r="D67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X67"/>
  <c r="Y67"/>
  <c r="Z67"/>
  <c r="AA67"/>
  <c r="AB67"/>
  <c r="AC67"/>
  <c r="AD67"/>
  <c r="AE67"/>
  <c r="AF67"/>
  <c r="AG67"/>
  <c r="AH67"/>
  <c r="AI67"/>
  <c r="AJ67"/>
  <c r="AK67"/>
  <c r="AL67"/>
  <c r="AM67"/>
  <c r="AN67"/>
  <c r="AO67"/>
  <c r="AP67"/>
  <c r="AQ67"/>
  <c r="AR67"/>
  <c r="AS67"/>
  <c r="AT67"/>
  <c r="AU67"/>
  <c r="AV67"/>
  <c r="AW67"/>
  <c r="AX67"/>
  <c r="AY67"/>
  <c r="AZ67"/>
  <c r="BA67"/>
  <c r="BB67"/>
  <c r="BC67"/>
  <c r="BD67"/>
  <c r="BE67"/>
  <c r="BF67"/>
  <c r="BG67"/>
  <c r="BH67"/>
  <c r="BI67"/>
  <c r="BJ67"/>
  <c r="BK67"/>
  <c r="BL67"/>
  <c r="BM67"/>
  <c r="BN67"/>
  <c r="BO67"/>
  <c r="BP67"/>
  <c r="BQ67"/>
  <c r="BR67"/>
  <c r="BS67"/>
  <c r="BT67"/>
  <c r="BU67"/>
  <c r="BV67"/>
  <c r="BW67"/>
  <c r="BX67"/>
  <c r="BY67"/>
  <c r="BZ67"/>
  <c r="CA67"/>
  <c r="CB67"/>
  <c r="CC67"/>
  <c r="CD67"/>
  <c r="CE67"/>
  <c r="CF67"/>
  <c r="CG67"/>
  <c r="CH67"/>
  <c r="CI67"/>
  <c r="CJ67"/>
  <c r="CK67"/>
  <c r="CL67"/>
  <c r="CM67"/>
  <c r="CN67"/>
  <c r="CO67"/>
  <c r="CP67"/>
  <c r="CQ67"/>
  <c r="CR67"/>
  <c r="CS67"/>
  <c r="CT67"/>
  <c r="CU67"/>
  <c r="CV67"/>
  <c r="CW67"/>
  <c r="CX67"/>
  <c r="CY67"/>
  <c r="CZ67"/>
  <c r="DA67"/>
  <c r="DB67"/>
  <c r="DC67"/>
  <c r="DD67"/>
  <c r="DE67"/>
  <c r="DF67"/>
  <c r="DG67"/>
  <c r="DH67"/>
  <c r="DI67"/>
  <c r="DJ67"/>
  <c r="DK67"/>
  <c r="DL67"/>
  <c r="DM67"/>
  <c r="DN67"/>
  <c r="DO67"/>
  <c r="DP67"/>
  <c r="DQ67"/>
  <c r="DR67"/>
  <c r="DS67"/>
  <c r="DT67"/>
  <c r="DU67"/>
  <c r="DV67"/>
  <c r="DW67"/>
  <c r="DX67"/>
  <c r="DY67"/>
  <c r="DZ67"/>
  <c r="EA67"/>
  <c r="EB67"/>
  <c r="EC67"/>
  <c r="ED67"/>
  <c r="EE67"/>
  <c r="EF67"/>
  <c r="EG67"/>
  <c r="EH67"/>
  <c r="EI67"/>
  <c r="EJ67"/>
  <c r="EK67"/>
  <c r="EL67"/>
  <c r="EM67"/>
  <c r="EN67"/>
  <c r="EO67"/>
  <c r="EP67"/>
  <c r="EQ67"/>
  <c r="ER67"/>
  <c r="ES67"/>
  <c r="ET67"/>
  <c r="EU67"/>
  <c r="EV67"/>
  <c r="EW67"/>
  <c r="EX67"/>
  <c r="EY67"/>
  <c r="EZ67"/>
  <c r="FA67"/>
  <c r="FB67"/>
  <c r="FC67"/>
  <c r="FD67"/>
  <c r="FE67"/>
  <c r="FF67"/>
  <c r="FG67"/>
  <c r="FH67"/>
  <c r="FI67"/>
  <c r="FJ67"/>
  <c r="FK67"/>
  <c r="FL67"/>
  <c r="FM67"/>
  <c r="FN67"/>
  <c r="FO67"/>
  <c r="FP67"/>
  <c r="FQ67"/>
  <c r="FR67"/>
  <c r="FS67"/>
  <c r="FT67"/>
  <c r="FU67"/>
  <c r="FV67"/>
  <c r="FW67"/>
  <c r="FX67"/>
  <c r="FY67"/>
  <c r="FZ67"/>
  <c r="GA67"/>
  <c r="GB67"/>
  <c r="GC67"/>
  <c r="GD67"/>
  <c r="GE67"/>
  <c r="GF67"/>
  <c r="GG67"/>
  <c r="GH67"/>
  <c r="GI67"/>
  <c r="GJ67"/>
  <c r="GK67"/>
  <c r="GL67"/>
  <c r="GM67"/>
  <c r="GN67"/>
  <c r="GO67"/>
  <c r="GP67"/>
  <c r="GQ67"/>
  <c r="GR67"/>
  <c r="GS67"/>
  <c r="GT67"/>
  <c r="GU67"/>
  <c r="GV67"/>
  <c r="GW67"/>
  <c r="GX67"/>
  <c r="GY67"/>
  <c r="GZ67"/>
  <c r="HA67"/>
  <c r="HB67"/>
  <c r="HC67"/>
  <c r="HD67"/>
  <c r="HE67"/>
  <c r="HF67"/>
  <c r="HG67"/>
  <c r="HH67"/>
  <c r="HI67"/>
  <c r="HJ67"/>
  <c r="HK67"/>
  <c r="HL67"/>
  <c r="HM67"/>
  <c r="HN67"/>
  <c r="HO67"/>
  <c r="HP67"/>
  <c r="HQ67"/>
  <c r="HR67"/>
  <c r="HS67"/>
  <c r="HT67"/>
  <c r="HU67"/>
  <c r="HV67"/>
  <c r="HW67"/>
  <c r="HX67"/>
  <c r="HY67"/>
  <c r="HZ67"/>
  <c r="IA67"/>
  <c r="IB67"/>
  <c r="IC67"/>
  <c r="ID67"/>
  <c r="IE67"/>
  <c r="IF67"/>
  <c r="IG67"/>
  <c r="IH67"/>
  <c r="II67"/>
  <c r="IJ67"/>
  <c r="IK67"/>
  <c r="IL67"/>
  <c r="IM67"/>
  <c r="IN67"/>
  <c r="IO67"/>
  <c r="IP67"/>
  <c r="IQ67"/>
  <c r="IR67"/>
  <c r="IS67"/>
  <c r="IT67"/>
  <c r="IU67"/>
  <c r="IV67"/>
  <c r="A66"/>
  <c r="B66"/>
  <c r="C66"/>
  <c r="D66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Y66"/>
  <c r="Z66"/>
  <c r="AA66"/>
  <c r="AB66"/>
  <c r="AC66"/>
  <c r="AD66"/>
  <c r="AE66"/>
  <c r="AF66"/>
  <c r="AG66"/>
  <c r="AH66"/>
  <c r="AI66"/>
  <c r="AJ66"/>
  <c r="AK66"/>
  <c r="AL66"/>
  <c r="AM66"/>
  <c r="AN66"/>
  <c r="AO66"/>
  <c r="AP66"/>
  <c r="AQ66"/>
  <c r="AR66"/>
  <c r="AS66"/>
  <c r="AT66"/>
  <c r="AU66"/>
  <c r="AV66"/>
  <c r="AW66"/>
  <c r="AX66"/>
  <c r="AY66"/>
  <c r="AZ66"/>
  <c r="BA66"/>
  <c r="BB66"/>
  <c r="BC66"/>
  <c r="BD66"/>
  <c r="BE66"/>
  <c r="BF66"/>
  <c r="BG66"/>
  <c r="BH66"/>
  <c r="BI66"/>
  <c r="BJ66"/>
  <c r="BK66"/>
  <c r="BL66"/>
  <c r="BM66"/>
  <c r="BN66"/>
  <c r="BO66"/>
  <c r="BP66"/>
  <c r="BQ66"/>
  <c r="BR66"/>
  <c r="BS66"/>
  <c r="BT66"/>
  <c r="BU66"/>
  <c r="BV66"/>
  <c r="BW66"/>
  <c r="BX66"/>
  <c r="BY66"/>
  <c r="BZ66"/>
  <c r="CA66"/>
  <c r="CB66"/>
  <c r="CC66"/>
  <c r="CD66"/>
  <c r="CE66"/>
  <c r="CF66"/>
  <c r="CG66"/>
  <c r="CH66"/>
  <c r="CI66"/>
  <c r="CJ66"/>
  <c r="CK66"/>
  <c r="CL66"/>
  <c r="CM66"/>
  <c r="CN66"/>
  <c r="CO66"/>
  <c r="CP66"/>
  <c r="CQ66"/>
  <c r="CR66"/>
  <c r="CS66"/>
  <c r="CT66"/>
  <c r="CU66"/>
  <c r="CV66"/>
  <c r="CW66"/>
  <c r="CX66"/>
  <c r="CY66"/>
  <c r="CZ66"/>
  <c r="DA66"/>
  <c r="DB66"/>
  <c r="DC66"/>
  <c r="DD66"/>
  <c r="DE66"/>
  <c r="DF66"/>
  <c r="DG66"/>
  <c r="DH66"/>
  <c r="DI66"/>
  <c r="DJ66"/>
  <c r="DK66"/>
  <c r="DL66"/>
  <c r="DM66"/>
  <c r="DN66"/>
  <c r="DO66"/>
  <c r="DP66"/>
  <c r="DQ66"/>
  <c r="DR66"/>
  <c r="DS66"/>
  <c r="DT66"/>
  <c r="DU66"/>
  <c r="DV66"/>
  <c r="DW66"/>
  <c r="DX66"/>
  <c r="DY66"/>
  <c r="DZ66"/>
  <c r="EA66"/>
  <c r="EB66"/>
  <c r="EC66"/>
  <c r="ED66"/>
  <c r="EE66"/>
  <c r="EF66"/>
  <c r="EG66"/>
  <c r="EH66"/>
  <c r="EI66"/>
  <c r="EJ66"/>
  <c r="EK66"/>
  <c r="EL66"/>
  <c r="EM66"/>
  <c r="EN66"/>
  <c r="EO66"/>
  <c r="EP66"/>
  <c r="EQ66"/>
  <c r="ER66"/>
  <c r="ES66"/>
  <c r="ET66"/>
  <c r="EU66"/>
  <c r="EV66"/>
  <c r="EW66"/>
  <c r="EX66"/>
  <c r="EY66"/>
  <c r="EZ66"/>
  <c r="FA66"/>
  <c r="FB66"/>
  <c r="FC66"/>
  <c r="FD66"/>
  <c r="FE66"/>
  <c r="FF66"/>
  <c r="FG66"/>
  <c r="FH66"/>
  <c r="FI66"/>
  <c r="FJ66"/>
  <c r="FK66"/>
  <c r="FL66"/>
  <c r="FM66"/>
  <c r="FN66"/>
  <c r="FO66"/>
  <c r="FP66"/>
  <c r="FQ66"/>
  <c r="FR66"/>
  <c r="FS66"/>
  <c r="FT66"/>
  <c r="FU66"/>
  <c r="FV66"/>
  <c r="FW66"/>
  <c r="FX66"/>
  <c r="FY66"/>
  <c r="FZ66"/>
  <c r="GA66"/>
  <c r="GB66"/>
  <c r="GC66"/>
  <c r="GD66"/>
  <c r="GE66"/>
  <c r="GF66"/>
  <c r="GG66"/>
  <c r="GH66"/>
  <c r="GI66"/>
  <c r="GJ66"/>
  <c r="GK66"/>
  <c r="GL66"/>
  <c r="GM66"/>
  <c r="GN66"/>
  <c r="GO66"/>
  <c r="GP66"/>
  <c r="GQ66"/>
  <c r="GR66"/>
  <c r="GS66"/>
  <c r="GT66"/>
  <c r="GU66"/>
  <c r="GV66"/>
  <c r="GW66"/>
  <c r="GX66"/>
  <c r="GY66"/>
  <c r="GZ66"/>
  <c r="HA66"/>
  <c r="HB66"/>
  <c r="HC66"/>
  <c r="HD66"/>
  <c r="HE66"/>
  <c r="HF66"/>
  <c r="HG66"/>
  <c r="HH66"/>
  <c r="HI66"/>
  <c r="HJ66"/>
  <c r="HK66"/>
  <c r="HL66"/>
  <c r="HM66"/>
  <c r="HN66"/>
  <c r="HO66"/>
  <c r="HP66"/>
  <c r="HQ66"/>
  <c r="HR66"/>
  <c r="HS66"/>
  <c r="HT66"/>
  <c r="HU66"/>
  <c r="HV66"/>
  <c r="HW66"/>
  <c r="HX66"/>
  <c r="HY66"/>
  <c r="HZ66"/>
  <c r="IA66"/>
  <c r="IB66"/>
  <c r="IC66"/>
  <c r="ID66"/>
  <c r="IE66"/>
  <c r="IF66"/>
  <c r="IG66"/>
  <c r="IH66"/>
  <c r="II66"/>
  <c r="IJ66"/>
  <c r="IK66"/>
  <c r="IL66"/>
  <c r="IM66"/>
  <c r="IN66"/>
  <c r="IO66"/>
  <c r="IP66"/>
  <c r="IQ66"/>
  <c r="IR66"/>
  <c r="IS66"/>
  <c r="IT66"/>
  <c r="IU66"/>
  <c r="IV66"/>
  <c r="A65"/>
  <c r="B65"/>
  <c r="C65"/>
  <c r="D65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AA65"/>
  <c r="AB65"/>
  <c r="AC65"/>
  <c r="AD65"/>
  <c r="AE65"/>
  <c r="AF65"/>
  <c r="AG65"/>
  <c r="AH65"/>
  <c r="AI65"/>
  <c r="AJ65"/>
  <c r="AK65"/>
  <c r="AL65"/>
  <c r="AM65"/>
  <c r="AN65"/>
  <c r="AO65"/>
  <c r="AP65"/>
  <c r="AQ65"/>
  <c r="AR65"/>
  <c r="AS65"/>
  <c r="AT65"/>
  <c r="AU65"/>
  <c r="AV65"/>
  <c r="AW65"/>
  <c r="AX65"/>
  <c r="AY65"/>
  <c r="AZ65"/>
  <c r="BA65"/>
  <c r="BB65"/>
  <c r="BC65"/>
  <c r="BD65"/>
  <c r="BE65"/>
  <c r="BF65"/>
  <c r="BG65"/>
  <c r="BH65"/>
  <c r="BI65"/>
  <c r="BJ65"/>
  <c r="BK65"/>
  <c r="BL65"/>
  <c r="BM65"/>
  <c r="BN65"/>
  <c r="BO65"/>
  <c r="BP65"/>
  <c r="BQ65"/>
  <c r="BR65"/>
  <c r="BS65"/>
  <c r="BT65"/>
  <c r="BU65"/>
  <c r="BV65"/>
  <c r="BW65"/>
  <c r="BX65"/>
  <c r="BY65"/>
  <c r="BZ65"/>
  <c r="CA65"/>
  <c r="CB65"/>
  <c r="CC65"/>
  <c r="CD65"/>
  <c r="CE65"/>
  <c r="CF65"/>
  <c r="CG65"/>
  <c r="CH65"/>
  <c r="CI65"/>
  <c r="CJ65"/>
  <c r="CK65"/>
  <c r="CL65"/>
  <c r="CM65"/>
  <c r="CN65"/>
  <c r="CO65"/>
  <c r="CP65"/>
  <c r="CQ65"/>
  <c r="CR65"/>
  <c r="CS65"/>
  <c r="CT65"/>
  <c r="CU65"/>
  <c r="CV65"/>
  <c r="CW65"/>
  <c r="CX65"/>
  <c r="CY65"/>
  <c r="CZ65"/>
  <c r="DA65"/>
  <c r="DB65"/>
  <c r="DC65"/>
  <c r="DD65"/>
  <c r="DE65"/>
  <c r="DF65"/>
  <c r="DG65"/>
  <c r="DH65"/>
  <c r="DI65"/>
  <c r="DJ65"/>
  <c r="DK65"/>
  <c r="DL65"/>
  <c r="DM65"/>
  <c r="DN65"/>
  <c r="DO65"/>
  <c r="DP65"/>
  <c r="DQ65"/>
  <c r="DR65"/>
  <c r="DS65"/>
  <c r="DT65"/>
  <c r="DU65"/>
  <c r="DV65"/>
  <c r="DW65"/>
  <c r="DX65"/>
  <c r="DY65"/>
  <c r="DZ65"/>
  <c r="EA65"/>
  <c r="EB65"/>
  <c r="EC65"/>
  <c r="ED65"/>
  <c r="EE65"/>
  <c r="EF65"/>
  <c r="EG65"/>
  <c r="EH65"/>
  <c r="EI65"/>
  <c r="EJ65"/>
  <c r="EK65"/>
  <c r="EL65"/>
  <c r="EM65"/>
  <c r="EN65"/>
  <c r="EO65"/>
  <c r="EP65"/>
  <c r="EQ65"/>
  <c r="ER65"/>
  <c r="ES65"/>
  <c r="ET65"/>
  <c r="EU65"/>
  <c r="EV65"/>
  <c r="EW65"/>
  <c r="EX65"/>
  <c r="EY65"/>
  <c r="EZ65"/>
  <c r="FA65"/>
  <c r="FB65"/>
  <c r="FC65"/>
  <c r="FD65"/>
  <c r="FE65"/>
  <c r="FF65"/>
  <c r="FG65"/>
  <c r="FH65"/>
  <c r="FI65"/>
  <c r="FJ65"/>
  <c r="FK65"/>
  <c r="FL65"/>
  <c r="FM65"/>
  <c r="FN65"/>
  <c r="FO65"/>
  <c r="FP65"/>
  <c r="FQ65"/>
  <c r="FR65"/>
  <c r="FS65"/>
  <c r="FT65"/>
  <c r="FU65"/>
  <c r="FV65"/>
  <c r="FW65"/>
  <c r="FX65"/>
  <c r="FY65"/>
  <c r="FZ65"/>
  <c r="GA65"/>
  <c r="GB65"/>
  <c r="GC65"/>
  <c r="GD65"/>
  <c r="GE65"/>
  <c r="GF65"/>
  <c r="GG65"/>
  <c r="GH65"/>
  <c r="GI65"/>
  <c r="GJ65"/>
  <c r="GK65"/>
  <c r="GL65"/>
  <c r="GM65"/>
  <c r="GN65"/>
  <c r="GO65"/>
  <c r="GP65"/>
  <c r="GQ65"/>
  <c r="GR65"/>
  <c r="GS65"/>
  <c r="GT65"/>
  <c r="GU65"/>
  <c r="GV65"/>
  <c r="GW65"/>
  <c r="GX65"/>
  <c r="GY65"/>
  <c r="GZ65"/>
  <c r="HA65"/>
  <c r="HB65"/>
  <c r="HC65"/>
  <c r="HD65"/>
  <c r="HE65"/>
  <c r="HF65"/>
  <c r="HG65"/>
  <c r="HH65"/>
  <c r="HI65"/>
  <c r="HJ65"/>
  <c r="HK65"/>
  <c r="HL65"/>
  <c r="HM65"/>
  <c r="HN65"/>
  <c r="HO65"/>
  <c r="HP65"/>
  <c r="HQ65"/>
  <c r="HR65"/>
  <c r="HS65"/>
  <c r="HT65"/>
  <c r="HU65"/>
  <c r="HV65"/>
  <c r="HW65"/>
  <c r="HX65"/>
  <c r="HY65"/>
  <c r="HZ65"/>
  <c r="IA65"/>
  <c r="IB65"/>
  <c r="IC65"/>
  <c r="ID65"/>
  <c r="IE65"/>
  <c r="IF65"/>
  <c r="IG65"/>
  <c r="IH65"/>
  <c r="II65"/>
  <c r="IJ65"/>
  <c r="IK65"/>
  <c r="IL65"/>
  <c r="IM65"/>
  <c r="IN65"/>
  <c r="IO65"/>
  <c r="IP65"/>
  <c r="IQ65"/>
  <c r="IR65"/>
  <c r="IS65"/>
  <c r="IT65"/>
  <c r="IU65"/>
  <c r="IV65"/>
  <c r="A64"/>
  <c r="B64"/>
  <c r="C64"/>
  <c r="D64"/>
  <c r="E64"/>
  <c r="F64"/>
  <c r="G64"/>
  <c r="H64"/>
  <c r="I64"/>
  <c r="J64"/>
  <c r="K64"/>
  <c r="L64"/>
  <c r="M64"/>
  <c r="N64"/>
  <c r="O64"/>
  <c r="P64"/>
  <c r="Q64"/>
  <c r="R64"/>
  <c r="S64"/>
  <c r="T64"/>
  <c r="U64"/>
  <c r="V64"/>
  <c r="W64"/>
  <c r="X64"/>
  <c r="Y64"/>
  <c r="Z64"/>
  <c r="AA64"/>
  <c r="AB64"/>
  <c r="AC64"/>
  <c r="AD64"/>
  <c r="AE64"/>
  <c r="AF64"/>
  <c r="AG64"/>
  <c r="AH64"/>
  <c r="AI64"/>
  <c r="AJ64"/>
  <c r="AK64"/>
  <c r="AL64"/>
  <c r="AM64"/>
  <c r="AN64"/>
  <c r="AO64"/>
  <c r="AP64"/>
  <c r="AQ64"/>
  <c r="AR64"/>
  <c r="AS64"/>
  <c r="AT64"/>
  <c r="AU64"/>
  <c r="AV64"/>
  <c r="AW64"/>
  <c r="AX64"/>
  <c r="AY64"/>
  <c r="AZ64"/>
  <c r="BA64"/>
  <c r="BB64"/>
  <c r="BC64"/>
  <c r="BD64"/>
  <c r="BE64"/>
  <c r="BF64"/>
  <c r="BG64"/>
  <c r="BH64"/>
  <c r="BI64"/>
  <c r="BJ64"/>
  <c r="BK64"/>
  <c r="BL64"/>
  <c r="BM64"/>
  <c r="BN64"/>
  <c r="BO64"/>
  <c r="BP64"/>
  <c r="BQ64"/>
  <c r="BR64"/>
  <c r="BS64"/>
  <c r="BT64"/>
  <c r="BU64"/>
  <c r="BV64"/>
  <c r="BW64"/>
  <c r="BX64"/>
  <c r="BY64"/>
  <c r="BZ64"/>
  <c r="CA64"/>
  <c r="CB64"/>
  <c r="CC64"/>
  <c r="CD64"/>
  <c r="CE64"/>
  <c r="CF64"/>
  <c r="CG64"/>
  <c r="CH64"/>
  <c r="CI64"/>
  <c r="CJ64"/>
  <c r="CK64"/>
  <c r="CL64"/>
  <c r="CM64"/>
  <c r="CN64"/>
  <c r="CO64"/>
  <c r="CP64"/>
  <c r="CQ64"/>
  <c r="CR64"/>
  <c r="CS64"/>
  <c r="CT64"/>
  <c r="CU64"/>
  <c r="CV64"/>
  <c r="CW64"/>
  <c r="CX64"/>
  <c r="CY64"/>
  <c r="CZ64"/>
  <c r="DA64"/>
  <c r="DB64"/>
  <c r="DC64"/>
  <c r="DD64"/>
  <c r="DE64"/>
  <c r="DF64"/>
  <c r="DG64"/>
  <c r="DH64"/>
  <c r="DI64"/>
  <c r="DJ64"/>
  <c r="DK64"/>
  <c r="DL64"/>
  <c r="DM64"/>
  <c r="DN64"/>
  <c r="DO64"/>
  <c r="DP64"/>
  <c r="DQ64"/>
  <c r="DR64"/>
  <c r="DS64"/>
  <c r="DT64"/>
  <c r="DU64"/>
  <c r="DV64"/>
  <c r="DW64"/>
  <c r="DX64"/>
  <c r="DY64"/>
  <c r="DZ64"/>
  <c r="EA64"/>
  <c r="EB64"/>
  <c r="EC64"/>
  <c r="ED64"/>
  <c r="EE64"/>
  <c r="EF64"/>
  <c r="EG64"/>
  <c r="EH64"/>
  <c r="EI64"/>
  <c r="EJ64"/>
  <c r="EK64"/>
  <c r="EL64"/>
  <c r="EM64"/>
  <c r="EN64"/>
  <c r="EO64"/>
  <c r="EP64"/>
  <c r="EQ64"/>
  <c r="ER64"/>
  <c r="ES64"/>
  <c r="ET64"/>
  <c r="EU64"/>
  <c r="EV64"/>
  <c r="EW64"/>
  <c r="EX64"/>
  <c r="EY64"/>
  <c r="EZ64"/>
  <c r="FA64"/>
  <c r="FB64"/>
  <c r="FC64"/>
  <c r="FD64"/>
  <c r="FE64"/>
  <c r="FF64"/>
  <c r="FG64"/>
  <c r="FH64"/>
  <c r="FI64"/>
  <c r="FJ64"/>
  <c r="FK64"/>
  <c r="FL64"/>
  <c r="FM64"/>
  <c r="FN64"/>
  <c r="FO64"/>
  <c r="FP64"/>
  <c r="FQ64"/>
  <c r="FR64"/>
  <c r="FS64"/>
  <c r="FT64"/>
  <c r="FU64"/>
  <c r="FV64"/>
  <c r="FW64"/>
  <c r="FX64"/>
  <c r="FY64"/>
  <c r="FZ64"/>
  <c r="GA64"/>
  <c r="GB64"/>
  <c r="GC64"/>
  <c r="GD64"/>
  <c r="GE64"/>
  <c r="GF64"/>
  <c r="GG64"/>
  <c r="GH64"/>
  <c r="GI64"/>
  <c r="GJ64"/>
  <c r="GK64"/>
  <c r="GL64"/>
  <c r="GM64"/>
  <c r="GN64"/>
  <c r="GO64"/>
  <c r="GP64"/>
  <c r="GQ64"/>
  <c r="GR64"/>
  <c r="GS64"/>
  <c r="GT64"/>
  <c r="GU64"/>
  <c r="GV64"/>
  <c r="GW64"/>
  <c r="GX64"/>
  <c r="GY64"/>
  <c r="GZ64"/>
  <c r="HA64"/>
  <c r="HB64"/>
  <c r="HC64"/>
  <c r="HD64"/>
  <c r="HE64"/>
  <c r="HF64"/>
  <c r="HG64"/>
  <c r="HH64"/>
  <c r="HI64"/>
  <c r="HJ64"/>
  <c r="HK64"/>
  <c r="HL64"/>
  <c r="HM64"/>
  <c r="HN64"/>
  <c r="HO64"/>
  <c r="HP64"/>
  <c r="HQ64"/>
  <c r="HR64"/>
  <c r="HS64"/>
  <c r="HT64"/>
  <c r="HU64"/>
  <c r="HV64"/>
  <c r="HW64"/>
  <c r="HX64"/>
  <c r="HY64"/>
  <c r="HZ64"/>
  <c r="IA64"/>
  <c r="IB64"/>
  <c r="IC64"/>
  <c r="ID64"/>
  <c r="IE64"/>
  <c r="IF64"/>
  <c r="IG64"/>
  <c r="IH64"/>
  <c r="II64"/>
  <c r="IJ64"/>
  <c r="IK64"/>
  <c r="IL64"/>
  <c r="IM64"/>
  <c r="IN64"/>
  <c r="IO64"/>
  <c r="IP64"/>
  <c r="IQ64"/>
  <c r="IR64"/>
  <c r="IS64"/>
  <c r="IT64"/>
  <c r="IU64"/>
  <c r="IV64"/>
  <c r="A63"/>
  <c r="B63"/>
  <c r="C63"/>
  <c r="D63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Y63"/>
  <c r="Z63"/>
  <c r="AA63"/>
  <c r="AB63"/>
  <c r="AC63"/>
  <c r="AD63"/>
  <c r="AE63"/>
  <c r="AF63"/>
  <c r="AG63"/>
  <c r="AH63"/>
  <c r="AI63"/>
  <c r="AJ63"/>
  <c r="AK63"/>
  <c r="AL63"/>
  <c r="AM63"/>
  <c r="AN63"/>
  <c r="AO63"/>
  <c r="AP63"/>
  <c r="AQ63"/>
  <c r="AR63"/>
  <c r="AS63"/>
  <c r="AT63"/>
  <c r="AU63"/>
  <c r="AV63"/>
  <c r="AW63"/>
  <c r="AX63"/>
  <c r="AY63"/>
  <c r="AZ63"/>
  <c r="BA63"/>
  <c r="BB63"/>
  <c r="BC63"/>
  <c r="BD63"/>
  <c r="BE63"/>
  <c r="BF63"/>
  <c r="BG63"/>
  <c r="BH63"/>
  <c r="BI63"/>
  <c r="BJ63"/>
  <c r="BK63"/>
  <c r="BL63"/>
  <c r="BM63"/>
  <c r="BN63"/>
  <c r="BO63"/>
  <c r="BP63"/>
  <c r="BQ63"/>
  <c r="BR63"/>
  <c r="BS63"/>
  <c r="BT63"/>
  <c r="BU63"/>
  <c r="BV63"/>
  <c r="BW63"/>
  <c r="BX63"/>
  <c r="BY63"/>
  <c r="BZ63"/>
  <c r="CA63"/>
  <c r="CB63"/>
  <c r="CC63"/>
  <c r="CD63"/>
  <c r="CE63"/>
  <c r="CF63"/>
  <c r="CG63"/>
  <c r="CH63"/>
  <c r="CI63"/>
  <c r="CJ63"/>
  <c r="CK63"/>
  <c r="CL63"/>
  <c r="CM63"/>
  <c r="CN63"/>
  <c r="CO63"/>
  <c r="CP63"/>
  <c r="CQ63"/>
  <c r="CR63"/>
  <c r="CS63"/>
  <c r="CT63"/>
  <c r="CU63"/>
  <c r="CV63"/>
  <c r="CW63"/>
  <c r="CX63"/>
  <c r="CY63"/>
  <c r="CZ63"/>
  <c r="DA63"/>
  <c r="DB63"/>
  <c r="DC63"/>
  <c r="DD63"/>
  <c r="DE63"/>
  <c r="DF63"/>
  <c r="DG63"/>
  <c r="DH63"/>
  <c r="DI63"/>
  <c r="DJ63"/>
  <c r="DK63"/>
  <c r="DL63"/>
  <c r="DM63"/>
  <c r="DN63"/>
  <c r="DO63"/>
  <c r="DP63"/>
  <c r="DQ63"/>
  <c r="DR63"/>
  <c r="DS63"/>
  <c r="DT63"/>
  <c r="DU63"/>
  <c r="DV63"/>
  <c r="DW63"/>
  <c r="DX63"/>
  <c r="DY63"/>
  <c r="DZ63"/>
  <c r="EA63"/>
  <c r="EB63"/>
  <c r="EC63"/>
  <c r="ED63"/>
  <c r="EE63"/>
  <c r="EF63"/>
  <c r="EG63"/>
  <c r="EH63"/>
  <c r="EI63"/>
  <c r="EJ63"/>
  <c r="EK63"/>
  <c r="EL63"/>
  <c r="EM63"/>
  <c r="EN63"/>
  <c r="EO63"/>
  <c r="EP63"/>
  <c r="EQ63"/>
  <c r="ER63"/>
  <c r="ES63"/>
  <c r="ET63"/>
  <c r="EU63"/>
  <c r="EV63"/>
  <c r="EW63"/>
  <c r="EX63"/>
  <c r="EY63"/>
  <c r="EZ63"/>
  <c r="FA63"/>
  <c r="FB63"/>
  <c r="FC63"/>
  <c r="FD63"/>
  <c r="FE63"/>
  <c r="FF63"/>
  <c r="FG63"/>
  <c r="FH63"/>
  <c r="FI63"/>
  <c r="FJ63"/>
  <c r="FK63"/>
  <c r="FL63"/>
  <c r="FM63"/>
  <c r="FN63"/>
  <c r="FO63"/>
  <c r="FP63"/>
  <c r="FQ63"/>
  <c r="FR63"/>
  <c r="FS63"/>
  <c r="FT63"/>
  <c r="FU63"/>
  <c r="FV63"/>
  <c r="FW63"/>
  <c r="FX63"/>
  <c r="FY63"/>
  <c r="FZ63"/>
  <c r="GA63"/>
  <c r="GB63"/>
  <c r="GC63"/>
  <c r="GD63"/>
  <c r="GE63"/>
  <c r="GF63"/>
  <c r="GG63"/>
  <c r="GH63"/>
  <c r="GI63"/>
  <c r="GJ63"/>
  <c r="GK63"/>
  <c r="GL63"/>
  <c r="GM63"/>
  <c r="GN63"/>
  <c r="GO63"/>
  <c r="GP63"/>
  <c r="GQ63"/>
  <c r="GR63"/>
  <c r="GS63"/>
  <c r="GT63"/>
  <c r="GU63"/>
  <c r="GV63"/>
  <c r="GW63"/>
  <c r="GX63"/>
  <c r="GY63"/>
  <c r="GZ63"/>
  <c r="HA63"/>
  <c r="HB63"/>
  <c r="HC63"/>
  <c r="HD63"/>
  <c r="HE63"/>
  <c r="HF63"/>
  <c r="HG63"/>
  <c r="HH63"/>
  <c r="HI63"/>
  <c r="HJ63"/>
  <c r="HK63"/>
  <c r="HL63"/>
  <c r="HM63"/>
  <c r="HN63"/>
  <c r="HO63"/>
  <c r="HP63"/>
  <c r="HQ63"/>
  <c r="HR63"/>
  <c r="HS63"/>
  <c r="HT63"/>
  <c r="HU63"/>
  <c r="HV63"/>
  <c r="HW63"/>
  <c r="HX63"/>
  <c r="HY63"/>
  <c r="HZ63"/>
  <c r="IA63"/>
  <c r="IB63"/>
  <c r="IC63"/>
  <c r="ID63"/>
  <c r="IE63"/>
  <c r="IF63"/>
  <c r="IG63"/>
  <c r="IH63"/>
  <c r="II63"/>
  <c r="IJ63"/>
  <c r="IK63"/>
  <c r="IL63"/>
  <c r="IM63"/>
  <c r="IN63"/>
  <c r="IO63"/>
  <c r="IP63"/>
  <c r="IQ63"/>
  <c r="IR63"/>
  <c r="IS63"/>
  <c r="IT63"/>
  <c r="IU63"/>
  <c r="IV63"/>
  <c r="A62"/>
  <c r="B62"/>
  <c r="C62"/>
  <c r="D62"/>
  <c r="E62"/>
  <c r="F62"/>
  <c r="G62"/>
  <c r="H62"/>
  <c r="I62"/>
  <c r="J62"/>
  <c r="K62"/>
  <c r="L62"/>
  <c r="M62"/>
  <c r="N62"/>
  <c r="O62"/>
  <c r="P62"/>
  <c r="Q62"/>
  <c r="R62"/>
  <c r="S62"/>
  <c r="T62"/>
  <c r="U62"/>
  <c r="V62"/>
  <c r="W62"/>
  <c r="X62"/>
  <c r="Y62"/>
  <c r="Z62"/>
  <c r="AA62"/>
  <c r="AB62"/>
  <c r="AC62"/>
  <c r="AD62"/>
  <c r="AE62"/>
  <c r="AF62"/>
  <c r="AG62"/>
  <c r="AH62"/>
  <c r="AI62"/>
  <c r="AJ62"/>
  <c r="AK62"/>
  <c r="AL62"/>
  <c r="AM62"/>
  <c r="AN62"/>
  <c r="AO62"/>
  <c r="AP62"/>
  <c r="AQ62"/>
  <c r="AR62"/>
  <c r="AS62"/>
  <c r="AT62"/>
  <c r="AU62"/>
  <c r="AV62"/>
  <c r="AW62"/>
  <c r="AX62"/>
  <c r="AY62"/>
  <c r="AZ62"/>
  <c r="BA62"/>
  <c r="BB62"/>
  <c r="BC62"/>
  <c r="BD62"/>
  <c r="BE62"/>
  <c r="BF62"/>
  <c r="BG62"/>
  <c r="BH62"/>
  <c r="BI62"/>
  <c r="BJ62"/>
  <c r="BK62"/>
  <c r="BL62"/>
  <c r="BM62"/>
  <c r="BN62"/>
  <c r="BO62"/>
  <c r="BP62"/>
  <c r="BQ62"/>
  <c r="BR62"/>
  <c r="BS62"/>
  <c r="BT62"/>
  <c r="BU62"/>
  <c r="BV62"/>
  <c r="BW62"/>
  <c r="BX62"/>
  <c r="BY62"/>
  <c r="BZ62"/>
  <c r="CA62"/>
  <c r="CB62"/>
  <c r="CC62"/>
  <c r="CD62"/>
  <c r="CE62"/>
  <c r="CF62"/>
  <c r="CG62"/>
  <c r="CH62"/>
  <c r="CI62"/>
  <c r="CJ62"/>
  <c r="CK62"/>
  <c r="CL62"/>
  <c r="CM62"/>
  <c r="CN62"/>
  <c r="CO62"/>
  <c r="CP62"/>
  <c r="CQ62"/>
  <c r="CR62"/>
  <c r="CS62"/>
  <c r="CT62"/>
  <c r="CU62"/>
  <c r="CV62"/>
  <c r="CW62"/>
  <c r="CX62"/>
  <c r="CY62"/>
  <c r="CZ62"/>
  <c r="DA62"/>
  <c r="DB62"/>
  <c r="DC62"/>
  <c r="DD62"/>
  <c r="DE62"/>
  <c r="DF62"/>
  <c r="DG62"/>
  <c r="DH62"/>
  <c r="DI62"/>
  <c r="DJ62"/>
  <c r="DK62"/>
  <c r="DL62"/>
  <c r="DM62"/>
  <c r="DN62"/>
  <c r="DO62"/>
  <c r="DP62"/>
  <c r="DQ62"/>
  <c r="DR62"/>
  <c r="DS62"/>
  <c r="DT62"/>
  <c r="DU62"/>
  <c r="DV62"/>
  <c r="DW62"/>
  <c r="DX62"/>
  <c r="DY62"/>
  <c r="DZ62"/>
  <c r="EA62"/>
  <c r="EB62"/>
  <c r="EC62"/>
  <c r="ED62"/>
  <c r="EE62"/>
  <c r="EF62"/>
  <c r="EG62"/>
  <c r="EH62"/>
  <c r="EI62"/>
  <c r="EJ62"/>
  <c r="EK62"/>
  <c r="EL62"/>
  <c r="EM62"/>
  <c r="EN62"/>
  <c r="EO62"/>
  <c r="EP62"/>
  <c r="EQ62"/>
  <c r="ER62"/>
  <c r="ES62"/>
  <c r="ET62"/>
  <c r="EU62"/>
  <c r="EV62"/>
  <c r="EW62"/>
  <c r="EX62"/>
  <c r="EY62"/>
  <c r="EZ62"/>
  <c r="FA62"/>
  <c r="FB62"/>
  <c r="FC62"/>
  <c r="FD62"/>
  <c r="FE62"/>
  <c r="FF62"/>
  <c r="FG62"/>
  <c r="FH62"/>
  <c r="FI62"/>
  <c r="FJ62"/>
  <c r="FK62"/>
  <c r="FL62"/>
  <c r="FM62"/>
  <c r="FN62"/>
  <c r="FO62"/>
  <c r="FP62"/>
  <c r="FQ62"/>
  <c r="FR62"/>
  <c r="FS62"/>
  <c r="FT62"/>
  <c r="FU62"/>
  <c r="FV62"/>
  <c r="FW62"/>
  <c r="FX62"/>
  <c r="FY62"/>
  <c r="FZ62"/>
  <c r="GA62"/>
  <c r="GB62"/>
  <c r="GC62"/>
  <c r="GD62"/>
  <c r="GE62"/>
  <c r="GF62"/>
  <c r="GG62"/>
  <c r="GH62"/>
  <c r="GI62"/>
  <c r="GJ62"/>
  <c r="GK62"/>
  <c r="GL62"/>
  <c r="GM62"/>
  <c r="GN62"/>
  <c r="GO62"/>
  <c r="GP62"/>
  <c r="GQ62"/>
  <c r="GR62"/>
  <c r="GS62"/>
  <c r="GT62"/>
  <c r="GU62"/>
  <c r="GV62"/>
  <c r="GW62"/>
  <c r="GX62"/>
  <c r="GY62"/>
  <c r="GZ62"/>
  <c r="HA62"/>
  <c r="HB62"/>
  <c r="HC62"/>
  <c r="HD62"/>
  <c r="HE62"/>
  <c r="HF62"/>
  <c r="HG62"/>
  <c r="HH62"/>
  <c r="HI62"/>
  <c r="HJ62"/>
  <c r="HK62"/>
  <c r="HL62"/>
  <c r="HM62"/>
  <c r="HN62"/>
  <c r="HO62"/>
  <c r="HP62"/>
  <c r="HQ62"/>
  <c r="HR62"/>
  <c r="HS62"/>
  <c r="HT62"/>
  <c r="HU62"/>
  <c r="HV62"/>
  <c r="HW62"/>
  <c r="HX62"/>
  <c r="HY62"/>
  <c r="HZ62"/>
  <c r="IA62"/>
  <c r="IB62"/>
  <c r="IC62"/>
  <c r="ID62"/>
  <c r="IE62"/>
  <c r="IF62"/>
  <c r="IG62"/>
  <c r="IH62"/>
  <c r="II62"/>
  <c r="IJ62"/>
  <c r="IK62"/>
  <c r="IL62"/>
  <c r="IM62"/>
  <c r="IN62"/>
  <c r="IO62"/>
  <c r="IP62"/>
  <c r="IQ62"/>
  <c r="IR62"/>
  <c r="IS62"/>
  <c r="IT62"/>
  <c r="IU62"/>
  <c r="IV62"/>
  <c r="A61"/>
  <c r="B61"/>
  <c r="C61"/>
  <c r="D61"/>
  <c r="E61"/>
  <c r="F61"/>
  <c r="G61"/>
  <c r="H61"/>
  <c r="I61"/>
  <c r="J61"/>
  <c r="K61"/>
  <c r="L61"/>
  <c r="M61"/>
  <c r="N61"/>
  <c r="O61"/>
  <c r="P61"/>
  <c r="Q61"/>
  <c r="R61"/>
  <c r="S61"/>
  <c r="T61"/>
  <c r="U61"/>
  <c r="V61"/>
  <c r="W61"/>
  <c r="X61"/>
  <c r="Y61"/>
  <c r="Z61"/>
  <c r="AA61"/>
  <c r="AB61"/>
  <c r="AC61"/>
  <c r="AD61"/>
  <c r="AE61"/>
  <c r="AF61"/>
  <c r="AG61"/>
  <c r="AH61"/>
  <c r="AI61"/>
  <c r="AJ61"/>
  <c r="AK61"/>
  <c r="AL61"/>
  <c r="AM61"/>
  <c r="AN61"/>
  <c r="AO61"/>
  <c r="AP61"/>
  <c r="AQ61"/>
  <c r="AR61"/>
  <c r="AS61"/>
  <c r="AT61"/>
  <c r="AU61"/>
  <c r="AV61"/>
  <c r="AW61"/>
  <c r="AX61"/>
  <c r="AY61"/>
  <c r="AZ61"/>
  <c r="BA61"/>
  <c r="BB61"/>
  <c r="BC61"/>
  <c r="BD61"/>
  <c r="BE61"/>
  <c r="BF61"/>
  <c r="BG61"/>
  <c r="BH61"/>
  <c r="BI61"/>
  <c r="BJ61"/>
  <c r="BK61"/>
  <c r="BL61"/>
  <c r="BM61"/>
  <c r="BN61"/>
  <c r="BO61"/>
  <c r="BP61"/>
  <c r="BQ61"/>
  <c r="BR61"/>
  <c r="BS61"/>
  <c r="BT61"/>
  <c r="BU61"/>
  <c r="BV61"/>
  <c r="BW61"/>
  <c r="BX61"/>
  <c r="BY61"/>
  <c r="BZ61"/>
  <c r="CA61"/>
  <c r="CB61"/>
  <c r="CC61"/>
  <c r="CD61"/>
  <c r="CE61"/>
  <c r="CF61"/>
  <c r="CG61"/>
  <c r="CH61"/>
  <c r="CI61"/>
  <c r="CJ61"/>
  <c r="CK61"/>
  <c r="CL61"/>
  <c r="CM61"/>
  <c r="CN61"/>
  <c r="CO61"/>
  <c r="CP61"/>
  <c r="CQ61"/>
  <c r="CR61"/>
  <c r="CS61"/>
  <c r="CT61"/>
  <c r="CU61"/>
  <c r="CV61"/>
  <c r="CW61"/>
  <c r="CX61"/>
  <c r="CY61"/>
  <c r="CZ61"/>
  <c r="DA61"/>
  <c r="DB61"/>
  <c r="DC61"/>
  <c r="DD61"/>
  <c r="DE61"/>
  <c r="DF61"/>
  <c r="DG61"/>
  <c r="DH61"/>
  <c r="DI61"/>
  <c r="DJ61"/>
  <c r="DK61"/>
  <c r="DL61"/>
  <c r="DM61"/>
  <c r="DN61"/>
  <c r="DO61"/>
  <c r="DP61"/>
  <c r="DQ61"/>
  <c r="DR61"/>
  <c r="DS61"/>
  <c r="DT61"/>
  <c r="DU61"/>
  <c r="DV61"/>
  <c r="DW61"/>
  <c r="DX61"/>
  <c r="DY61"/>
  <c r="DZ61"/>
  <c r="EA61"/>
  <c r="EB61"/>
  <c r="EC61"/>
  <c r="ED61"/>
  <c r="EE61"/>
  <c r="EF61"/>
  <c r="EG61"/>
  <c r="EH61"/>
  <c r="EI61"/>
  <c r="EJ61"/>
  <c r="EK61"/>
  <c r="EL61"/>
  <c r="EM61"/>
  <c r="EN61"/>
  <c r="EO61"/>
  <c r="EP61"/>
  <c r="EQ61"/>
  <c r="ER61"/>
  <c r="ES61"/>
  <c r="ET61"/>
  <c r="EU61"/>
  <c r="EV61"/>
  <c r="EW61"/>
  <c r="EX61"/>
  <c r="EY61"/>
  <c r="EZ61"/>
  <c r="FA61"/>
  <c r="FB61"/>
  <c r="FC61"/>
  <c r="FD61"/>
  <c r="FE61"/>
  <c r="FF61"/>
  <c r="FG61"/>
  <c r="FH61"/>
  <c r="FI61"/>
  <c r="FJ61"/>
  <c r="FK61"/>
  <c r="FL61"/>
  <c r="FM61"/>
  <c r="FN61"/>
  <c r="FO61"/>
  <c r="FP61"/>
  <c r="FQ61"/>
  <c r="FR61"/>
  <c r="FS61"/>
  <c r="FT61"/>
  <c r="FU61"/>
  <c r="FV61"/>
  <c r="FW61"/>
  <c r="FX61"/>
  <c r="FY61"/>
  <c r="FZ61"/>
  <c r="GA61"/>
  <c r="GB61"/>
  <c r="GC61"/>
  <c r="GD61"/>
  <c r="GE61"/>
  <c r="GF61"/>
  <c r="GG61"/>
  <c r="GH61"/>
  <c r="GI61"/>
  <c r="GJ61"/>
  <c r="GK61"/>
  <c r="GL61"/>
  <c r="GM61"/>
  <c r="GN61"/>
  <c r="GO61"/>
  <c r="GP61"/>
  <c r="GQ61"/>
  <c r="GR61"/>
  <c r="GS61"/>
  <c r="GT61"/>
  <c r="GU61"/>
  <c r="GV61"/>
  <c r="GW61"/>
  <c r="GX61"/>
  <c r="GY61"/>
  <c r="GZ61"/>
  <c r="HA61"/>
  <c r="HB61"/>
  <c r="HC61"/>
  <c r="HD61"/>
  <c r="HE61"/>
  <c r="HF61"/>
  <c r="HG61"/>
  <c r="HH61"/>
  <c r="HI61"/>
  <c r="HJ61"/>
  <c r="HK61"/>
  <c r="HL61"/>
  <c r="HM61"/>
  <c r="HN61"/>
  <c r="HO61"/>
  <c r="HP61"/>
  <c r="HQ61"/>
  <c r="HR61"/>
  <c r="HS61"/>
  <c r="HT61"/>
  <c r="HU61"/>
  <c r="HV61"/>
  <c r="HW61"/>
  <c r="HX61"/>
  <c r="HY61"/>
  <c r="HZ61"/>
  <c r="IA61"/>
  <c r="IB61"/>
  <c r="IC61"/>
  <c r="ID61"/>
  <c r="IE61"/>
  <c r="IF61"/>
  <c r="IG61"/>
  <c r="IH61"/>
  <c r="II61"/>
  <c r="IJ61"/>
  <c r="IK61"/>
  <c r="IL61"/>
  <c r="IM61"/>
  <c r="IN61"/>
  <c r="IO61"/>
  <c r="IP61"/>
  <c r="IQ61"/>
  <c r="IR61"/>
  <c r="IS61"/>
  <c r="IT61"/>
  <c r="IU61"/>
  <c r="IV61"/>
  <c r="A60"/>
  <c r="B60"/>
  <c r="C60"/>
  <c r="D60"/>
  <c r="E60"/>
  <c r="F60"/>
  <c r="G60"/>
  <c r="H60"/>
  <c r="I60"/>
  <c r="J60"/>
  <c r="K60"/>
  <c r="L60"/>
  <c r="M60"/>
  <c r="N60"/>
  <c r="O60"/>
  <c r="P60"/>
  <c r="Q60"/>
  <c r="R60"/>
  <c r="S60"/>
  <c r="T60"/>
  <c r="U60"/>
  <c r="V60"/>
  <c r="W60"/>
  <c r="X60"/>
  <c r="Y60"/>
  <c r="Z60"/>
  <c r="AA60"/>
  <c r="AB60"/>
  <c r="AC60"/>
  <c r="AD60"/>
  <c r="AE60"/>
  <c r="AF60"/>
  <c r="AG60"/>
  <c r="AH60"/>
  <c r="AI60"/>
  <c r="AJ60"/>
  <c r="AK60"/>
  <c r="AL60"/>
  <c r="AM60"/>
  <c r="AN60"/>
  <c r="AO60"/>
  <c r="AP60"/>
  <c r="AQ60"/>
  <c r="AR60"/>
  <c r="AS60"/>
  <c r="AT60"/>
  <c r="AU60"/>
  <c r="AV60"/>
  <c r="AW60"/>
  <c r="AX60"/>
  <c r="AY60"/>
  <c r="AZ60"/>
  <c r="BA60"/>
  <c r="BB60"/>
  <c r="BC60"/>
  <c r="BD60"/>
  <c r="BE60"/>
  <c r="BF60"/>
  <c r="BG60"/>
  <c r="BH60"/>
  <c r="BI60"/>
  <c r="BJ60"/>
  <c r="BK60"/>
  <c r="BL60"/>
  <c r="BM60"/>
  <c r="BN60"/>
  <c r="BO60"/>
  <c r="BP60"/>
  <c r="BQ60"/>
  <c r="BR60"/>
  <c r="BS60"/>
  <c r="BT60"/>
  <c r="BU60"/>
  <c r="BV60"/>
  <c r="BW60"/>
  <c r="BX60"/>
  <c r="BY60"/>
  <c r="BZ60"/>
  <c r="CA60"/>
  <c r="CB60"/>
  <c r="CC60"/>
  <c r="CD60"/>
  <c r="CE60"/>
  <c r="CF60"/>
  <c r="CG60"/>
  <c r="CH60"/>
  <c r="CI60"/>
  <c r="CJ60"/>
  <c r="CK60"/>
  <c r="CL60"/>
  <c r="CM60"/>
  <c r="CN60"/>
  <c r="CO60"/>
  <c r="CP60"/>
  <c r="CQ60"/>
  <c r="CR60"/>
  <c r="CS60"/>
  <c r="CT60"/>
  <c r="CU60"/>
  <c r="CV60"/>
  <c r="CW60"/>
  <c r="CX60"/>
  <c r="CY60"/>
  <c r="CZ60"/>
  <c r="DA60"/>
  <c r="DB60"/>
  <c r="DC60"/>
  <c r="DD60"/>
  <c r="DE60"/>
  <c r="DF60"/>
  <c r="DG60"/>
  <c r="DH60"/>
  <c r="DI60"/>
  <c r="DJ60"/>
  <c r="DK60"/>
  <c r="DL60"/>
  <c r="DM60"/>
  <c r="DN60"/>
  <c r="DO60"/>
  <c r="DP60"/>
  <c r="DQ60"/>
  <c r="DR60"/>
  <c r="DS60"/>
  <c r="DT60"/>
  <c r="DU60"/>
  <c r="DV60"/>
  <c r="DW60"/>
  <c r="DX60"/>
  <c r="DY60"/>
  <c r="DZ60"/>
  <c r="EA60"/>
  <c r="EB60"/>
  <c r="EC60"/>
  <c r="ED60"/>
  <c r="EE60"/>
  <c r="EF60"/>
  <c r="EG60"/>
  <c r="EH60"/>
  <c r="EI60"/>
  <c r="EJ60"/>
  <c r="EK60"/>
  <c r="EL60"/>
  <c r="EM60"/>
  <c r="EN60"/>
  <c r="EO60"/>
  <c r="EP60"/>
  <c r="EQ60"/>
  <c r="ER60"/>
  <c r="ES60"/>
  <c r="ET60"/>
  <c r="EU60"/>
  <c r="EV60"/>
  <c r="EW60"/>
  <c r="EX60"/>
  <c r="EY60"/>
  <c r="EZ60"/>
  <c r="FA60"/>
  <c r="FB60"/>
  <c r="FC60"/>
  <c r="FD60"/>
  <c r="FE60"/>
  <c r="FF60"/>
  <c r="FG60"/>
  <c r="FH60"/>
  <c r="FI60"/>
  <c r="FJ60"/>
  <c r="FK60"/>
  <c r="FL60"/>
  <c r="FM60"/>
  <c r="FN60"/>
  <c r="FO60"/>
  <c r="FP60"/>
  <c r="FQ60"/>
  <c r="FR60"/>
  <c r="FS60"/>
  <c r="FT60"/>
  <c r="FU60"/>
  <c r="FV60"/>
  <c r="FW60"/>
  <c r="FX60"/>
  <c r="FY60"/>
  <c r="FZ60"/>
  <c r="GA60"/>
  <c r="GB60"/>
  <c r="GC60"/>
  <c r="GD60"/>
  <c r="GE60"/>
  <c r="GF60"/>
  <c r="GG60"/>
  <c r="GH60"/>
  <c r="GI60"/>
  <c r="GJ60"/>
  <c r="GK60"/>
  <c r="GL60"/>
  <c r="GM60"/>
  <c r="GN60"/>
  <c r="GO60"/>
  <c r="GP60"/>
  <c r="GQ60"/>
  <c r="GR60"/>
  <c r="GS60"/>
  <c r="GT60"/>
  <c r="GU60"/>
  <c r="GV60"/>
  <c r="GW60"/>
  <c r="GX60"/>
  <c r="GY60"/>
  <c r="GZ60"/>
  <c r="HA60"/>
  <c r="HB60"/>
  <c r="HC60"/>
  <c r="HD60"/>
  <c r="HE60"/>
  <c r="HF60"/>
  <c r="HG60"/>
  <c r="HH60"/>
  <c r="HI60"/>
  <c r="HJ60"/>
  <c r="HK60"/>
  <c r="HL60"/>
  <c r="HM60"/>
  <c r="HN60"/>
  <c r="HO60"/>
  <c r="HP60"/>
  <c r="HQ60"/>
  <c r="HR60"/>
  <c r="HS60"/>
  <c r="HT60"/>
  <c r="HU60"/>
  <c r="HV60"/>
  <c r="HW60"/>
  <c r="HX60"/>
  <c r="HY60"/>
  <c r="HZ60"/>
  <c r="IA60"/>
  <c r="IB60"/>
  <c r="IC60"/>
  <c r="ID60"/>
  <c r="IE60"/>
  <c r="IF60"/>
  <c r="IG60"/>
  <c r="IH60"/>
  <c r="II60"/>
  <c r="IJ60"/>
  <c r="IK60"/>
  <c r="IL60"/>
  <c r="IM60"/>
  <c r="IN60"/>
  <c r="IO60"/>
  <c r="IP60"/>
  <c r="IQ60"/>
  <c r="IR60"/>
  <c r="IS60"/>
  <c r="IT60"/>
  <c r="IU60"/>
  <c r="IV60"/>
  <c r="A59"/>
  <c r="B59"/>
  <c r="C59"/>
  <c r="D59"/>
  <c r="E59"/>
  <c r="F59"/>
  <c r="G59"/>
  <c r="H59"/>
  <c r="I59"/>
  <c r="J59"/>
  <c r="K59"/>
  <c r="L59"/>
  <c r="M59"/>
  <c r="N59"/>
  <c r="O59"/>
  <c r="P59"/>
  <c r="Q59"/>
  <c r="R59"/>
  <c r="S59"/>
  <c r="T59"/>
  <c r="U59"/>
  <c r="V59"/>
  <c r="W59"/>
  <c r="X59"/>
  <c r="Y59"/>
  <c r="Z59"/>
  <c r="AA59"/>
  <c r="AB59"/>
  <c r="AC59"/>
  <c r="AD59"/>
  <c r="AE59"/>
  <c r="AF59"/>
  <c r="AG59"/>
  <c r="AH59"/>
  <c r="AI59"/>
  <c r="AJ59"/>
  <c r="AK59"/>
  <c r="AL59"/>
  <c r="AM59"/>
  <c r="AN59"/>
  <c r="AO59"/>
  <c r="AP59"/>
  <c r="AQ59"/>
  <c r="AR59"/>
  <c r="AS59"/>
  <c r="AT59"/>
  <c r="AU59"/>
  <c r="AV59"/>
  <c r="AW59"/>
  <c r="AX59"/>
  <c r="AY59"/>
  <c r="AZ59"/>
  <c r="BA59"/>
  <c r="BB59"/>
  <c r="BC59"/>
  <c r="BD59"/>
  <c r="BE59"/>
  <c r="BF59"/>
  <c r="BG59"/>
  <c r="BH59"/>
  <c r="BI59"/>
  <c r="BJ59"/>
  <c r="BK59"/>
  <c r="BL59"/>
  <c r="BM59"/>
  <c r="BN59"/>
  <c r="BO59"/>
  <c r="BP59"/>
  <c r="BQ59"/>
  <c r="BR59"/>
  <c r="BS59"/>
  <c r="BT59"/>
  <c r="BU59"/>
  <c r="BV59"/>
  <c r="BW59"/>
  <c r="BX59"/>
  <c r="BY59"/>
  <c r="BZ59"/>
  <c r="CA59"/>
  <c r="CB59"/>
  <c r="CC59"/>
  <c r="CD59"/>
  <c r="CE59"/>
  <c r="CF59"/>
  <c r="CG59"/>
  <c r="CH59"/>
  <c r="CI59"/>
  <c r="CJ59"/>
  <c r="CK59"/>
  <c r="CL59"/>
  <c r="CM59"/>
  <c r="CN59"/>
  <c r="CO59"/>
  <c r="CP59"/>
  <c r="CQ59"/>
  <c r="CR59"/>
  <c r="CS59"/>
  <c r="CT59"/>
  <c r="CU59"/>
  <c r="CV59"/>
  <c r="CW59"/>
  <c r="CX59"/>
  <c r="CY59"/>
  <c r="CZ59"/>
  <c r="DA59"/>
  <c r="DB59"/>
  <c r="DC59"/>
  <c r="DD59"/>
  <c r="DE59"/>
  <c r="DF59"/>
  <c r="DG59"/>
  <c r="DH59"/>
  <c r="DI59"/>
  <c r="DJ59"/>
  <c r="DK59"/>
  <c r="DL59"/>
  <c r="DM59"/>
  <c r="DN59"/>
  <c r="DO59"/>
  <c r="DP59"/>
  <c r="DQ59"/>
  <c r="DR59"/>
  <c r="DS59"/>
  <c r="DT59"/>
  <c r="DU59"/>
  <c r="DV59"/>
  <c r="DW59"/>
  <c r="DX59"/>
  <c r="DY59"/>
  <c r="DZ59"/>
  <c r="EA59"/>
  <c r="EB59"/>
  <c r="EC59"/>
  <c r="ED59"/>
  <c r="EE59"/>
  <c r="EF59"/>
  <c r="EG59"/>
  <c r="EH59"/>
  <c r="EI59"/>
  <c r="EJ59"/>
  <c r="EK59"/>
  <c r="EL59"/>
  <c r="EM59"/>
  <c r="EN59"/>
  <c r="EO59"/>
  <c r="EP59"/>
  <c r="EQ59"/>
  <c r="ER59"/>
  <c r="ES59"/>
  <c r="ET59"/>
  <c r="EU59"/>
  <c r="EV59"/>
  <c r="EW59"/>
  <c r="EX59"/>
  <c r="EY59"/>
  <c r="EZ59"/>
  <c r="FA59"/>
  <c r="FB59"/>
  <c r="FC59"/>
  <c r="FD59"/>
  <c r="FE59"/>
  <c r="FF59"/>
  <c r="FG59"/>
  <c r="FH59"/>
  <c r="FI59"/>
  <c r="FJ59"/>
  <c r="FK59"/>
  <c r="FL59"/>
  <c r="FM59"/>
  <c r="FN59"/>
  <c r="FO59"/>
  <c r="FP59"/>
  <c r="FQ59"/>
  <c r="FR59"/>
  <c r="FS59"/>
  <c r="FT59"/>
  <c r="FU59"/>
  <c r="FV59"/>
  <c r="FW59"/>
  <c r="FX59"/>
  <c r="FY59"/>
  <c r="FZ59"/>
  <c r="GA59"/>
  <c r="GB59"/>
  <c r="GC59"/>
  <c r="GD59"/>
  <c r="GE59"/>
  <c r="GF59"/>
  <c r="GG59"/>
  <c r="GH59"/>
  <c r="GI59"/>
  <c r="GJ59"/>
  <c r="GK59"/>
  <c r="GL59"/>
  <c r="GM59"/>
  <c r="GN59"/>
  <c r="GO59"/>
  <c r="GP59"/>
  <c r="GQ59"/>
  <c r="GR59"/>
  <c r="GS59"/>
  <c r="GT59"/>
  <c r="GU59"/>
  <c r="GV59"/>
  <c r="GW59"/>
  <c r="GX59"/>
  <c r="GY59"/>
  <c r="GZ59"/>
  <c r="HA59"/>
  <c r="HB59"/>
  <c r="HC59"/>
  <c r="HD59"/>
  <c r="HE59"/>
  <c r="HF59"/>
  <c r="HG59"/>
  <c r="HH59"/>
  <c r="HI59"/>
  <c r="HJ59"/>
  <c r="HK59"/>
  <c r="HL59"/>
  <c r="HM59"/>
  <c r="HN59"/>
  <c r="HO59"/>
  <c r="HP59"/>
  <c r="HQ59"/>
  <c r="HR59"/>
  <c r="HS59"/>
  <c r="HT59"/>
  <c r="HU59"/>
  <c r="HV59"/>
  <c r="HW59"/>
  <c r="HX59"/>
  <c r="HY59"/>
  <c r="HZ59"/>
  <c r="IA59"/>
  <c r="IB59"/>
  <c r="IC59"/>
  <c r="ID59"/>
  <c r="IE59"/>
  <c r="IF59"/>
  <c r="IG59"/>
  <c r="IH59"/>
  <c r="II59"/>
  <c r="IJ59"/>
  <c r="IK59"/>
  <c r="IL59"/>
  <c r="IM59"/>
  <c r="IN59"/>
  <c r="IO59"/>
  <c r="IP59"/>
  <c r="IQ59"/>
  <c r="IR59"/>
  <c r="IS59"/>
  <c r="IT59"/>
  <c r="IU59"/>
  <c r="IV59"/>
  <c r="A58"/>
  <c r="B58"/>
  <c r="C58"/>
  <c r="D58"/>
  <c r="E58"/>
  <c r="F58"/>
  <c r="G58"/>
  <c r="H58"/>
  <c r="I58"/>
  <c r="J58"/>
  <c r="K58"/>
  <c r="L58"/>
  <c r="M58"/>
  <c r="N58"/>
  <c r="O58"/>
  <c r="P58"/>
  <c r="Q58"/>
  <c r="R58"/>
  <c r="S58"/>
  <c r="T58"/>
  <c r="U58"/>
  <c r="V58"/>
  <c r="W58"/>
  <c r="X58"/>
  <c r="Y58"/>
  <c r="Z58"/>
  <c r="AA58"/>
  <c r="AB58"/>
  <c r="AC58"/>
  <c r="AD58"/>
  <c r="AE58"/>
  <c r="AF58"/>
  <c r="AG58"/>
  <c r="AH58"/>
  <c r="AI58"/>
  <c r="AJ58"/>
  <c r="AK58"/>
  <c r="AL58"/>
  <c r="AM58"/>
  <c r="AN58"/>
  <c r="AO58"/>
  <c r="AP58"/>
  <c r="AQ58"/>
  <c r="AR58"/>
  <c r="AS58"/>
  <c r="AT58"/>
  <c r="AU58"/>
  <c r="AV58"/>
  <c r="AW58"/>
  <c r="AX58"/>
  <c r="AY58"/>
  <c r="AZ58"/>
  <c r="BA58"/>
  <c r="BB58"/>
  <c r="BC58"/>
  <c r="BD58"/>
  <c r="BE58"/>
  <c r="BF58"/>
  <c r="BG58"/>
  <c r="BH58"/>
  <c r="BI58"/>
  <c r="BJ58"/>
  <c r="BK58"/>
  <c r="BL58"/>
  <c r="BM58"/>
  <c r="BN58"/>
  <c r="BO58"/>
  <c r="BP58"/>
  <c r="BQ58"/>
  <c r="BR58"/>
  <c r="BS58"/>
  <c r="BT58"/>
  <c r="BU58"/>
  <c r="BV58"/>
  <c r="BW58"/>
  <c r="BX58"/>
  <c r="BY58"/>
  <c r="BZ58"/>
  <c r="CA58"/>
  <c r="CB58"/>
  <c r="CC58"/>
  <c r="CD58"/>
  <c r="CE58"/>
  <c r="CF58"/>
  <c r="CG58"/>
  <c r="CH58"/>
  <c r="CI58"/>
  <c r="CJ58"/>
  <c r="CK58"/>
  <c r="CL58"/>
  <c r="CM58"/>
  <c r="CN58"/>
  <c r="CO58"/>
  <c r="CP58"/>
  <c r="CQ58"/>
  <c r="CR58"/>
  <c r="CS58"/>
  <c r="CT58"/>
  <c r="CU58"/>
  <c r="CV58"/>
  <c r="CW58"/>
  <c r="CX58"/>
  <c r="CY58"/>
  <c r="CZ58"/>
  <c r="DA58"/>
  <c r="DB58"/>
  <c r="DC58"/>
  <c r="DD58"/>
  <c r="DE58"/>
  <c r="DF58"/>
  <c r="DG58"/>
  <c r="DH58"/>
  <c r="DI58"/>
  <c r="DJ58"/>
  <c r="DK58"/>
  <c r="DL58"/>
  <c r="DM58"/>
  <c r="DN58"/>
  <c r="DO58"/>
  <c r="DP58"/>
  <c r="DQ58"/>
  <c r="DR58"/>
  <c r="DS58"/>
  <c r="DT58"/>
  <c r="DU58"/>
  <c r="DV58"/>
  <c r="DW58"/>
  <c r="DX58"/>
  <c r="DY58"/>
  <c r="DZ58"/>
  <c r="EA58"/>
  <c r="EB58"/>
  <c r="EC58"/>
  <c r="ED58"/>
  <c r="EE58"/>
  <c r="EF58"/>
  <c r="EG58"/>
  <c r="EH58"/>
  <c r="EI58"/>
  <c r="EJ58"/>
  <c r="EK58"/>
  <c r="EL58"/>
  <c r="EM58"/>
  <c r="EN58"/>
  <c r="EO58"/>
  <c r="EP58"/>
  <c r="EQ58"/>
  <c r="ER58"/>
  <c r="ES58"/>
  <c r="ET58"/>
  <c r="EU58"/>
  <c r="EV58"/>
  <c r="EW58"/>
  <c r="EX58"/>
  <c r="EY58"/>
  <c r="EZ58"/>
  <c r="FA58"/>
  <c r="FB58"/>
  <c r="FC58"/>
  <c r="FD58"/>
  <c r="FE58"/>
  <c r="FF58"/>
  <c r="FG58"/>
  <c r="FH58"/>
  <c r="FI58"/>
  <c r="FJ58"/>
  <c r="FK58"/>
  <c r="FL58"/>
  <c r="FM58"/>
  <c r="FN58"/>
  <c r="FO58"/>
  <c r="FP58"/>
  <c r="FQ58"/>
  <c r="FR58"/>
  <c r="FS58"/>
  <c r="FT58"/>
  <c r="FU58"/>
  <c r="FV58"/>
  <c r="FW58"/>
  <c r="FX58"/>
  <c r="FY58"/>
  <c r="FZ58"/>
  <c r="GA58"/>
  <c r="GB58"/>
  <c r="GC58"/>
  <c r="GD58"/>
  <c r="GE58"/>
  <c r="GF58"/>
  <c r="GG58"/>
  <c r="GH58"/>
  <c r="GI58"/>
  <c r="GJ58"/>
  <c r="GK58"/>
  <c r="GL58"/>
  <c r="GM58"/>
  <c r="GN58"/>
  <c r="GO58"/>
  <c r="GP58"/>
  <c r="GQ58"/>
  <c r="GR58"/>
  <c r="GS58"/>
  <c r="GT58"/>
  <c r="GU58"/>
  <c r="GV58"/>
  <c r="GW58"/>
  <c r="GX58"/>
  <c r="GY58"/>
  <c r="GZ58"/>
  <c r="HA58"/>
  <c r="HB58"/>
  <c r="HC58"/>
  <c r="HD58"/>
  <c r="HE58"/>
  <c r="HF58"/>
  <c r="HG58"/>
  <c r="HH58"/>
  <c r="HI58"/>
  <c r="HJ58"/>
  <c r="HK58"/>
  <c r="HL58"/>
  <c r="HM58"/>
  <c r="HN58"/>
  <c r="HO58"/>
  <c r="HP58"/>
  <c r="HQ58"/>
  <c r="HR58"/>
  <c r="HS58"/>
  <c r="HT58"/>
  <c r="HU58"/>
  <c r="HV58"/>
  <c r="HW58"/>
  <c r="HX58"/>
  <c r="HY58"/>
  <c r="HZ58"/>
  <c r="IA58"/>
  <c r="IB58"/>
  <c r="IC58"/>
  <c r="ID58"/>
  <c r="IE58"/>
  <c r="IF58"/>
  <c r="IG58"/>
  <c r="IH58"/>
  <c r="II58"/>
  <c r="IJ58"/>
  <c r="IK58"/>
  <c r="IL58"/>
  <c r="IM58"/>
  <c r="IN58"/>
  <c r="IO58"/>
  <c r="IP58"/>
  <c r="IQ58"/>
  <c r="IR58"/>
  <c r="IS58"/>
  <c r="IT58"/>
  <c r="IU58"/>
  <c r="IV58"/>
  <c r="A57"/>
  <c r="B57"/>
  <c r="C57"/>
  <c r="D57"/>
  <c r="E57"/>
  <c r="F57"/>
  <c r="G57"/>
  <c r="H57"/>
  <c r="I57"/>
  <c r="J57"/>
  <c r="K57"/>
  <c r="L57"/>
  <c r="M57"/>
  <c r="N57"/>
  <c r="O57"/>
  <c r="P57"/>
  <c r="Q57"/>
  <c r="R57"/>
  <c r="S57"/>
  <c r="T57"/>
  <c r="U57"/>
  <c r="V57"/>
  <c r="W57"/>
  <c r="X57"/>
  <c r="Y57"/>
  <c r="Z57"/>
  <c r="AA57"/>
  <c r="AB57"/>
  <c r="AC57"/>
  <c r="AD57"/>
  <c r="AE57"/>
  <c r="AF57"/>
  <c r="AG57"/>
  <c r="AH57"/>
  <c r="AI57"/>
  <c r="AJ57"/>
  <c r="AK57"/>
  <c r="AL57"/>
  <c r="AM57"/>
  <c r="AN57"/>
  <c r="AO57"/>
  <c r="AP57"/>
  <c r="AQ57"/>
  <c r="AR57"/>
  <c r="AS57"/>
  <c r="AT57"/>
  <c r="AU57"/>
  <c r="AV57"/>
  <c r="AW57"/>
  <c r="AX57"/>
  <c r="AY57"/>
  <c r="AZ57"/>
  <c r="BA57"/>
  <c r="BB57"/>
  <c r="BC57"/>
  <c r="BD57"/>
  <c r="BE57"/>
  <c r="BF57"/>
  <c r="BG57"/>
  <c r="BH57"/>
  <c r="BI57"/>
  <c r="BJ57"/>
  <c r="BK57"/>
  <c r="BL57"/>
  <c r="BM57"/>
  <c r="BN57"/>
  <c r="BO57"/>
  <c r="BP57"/>
  <c r="BQ57"/>
  <c r="BR57"/>
  <c r="BS57"/>
  <c r="BT57"/>
  <c r="BU57"/>
  <c r="BV57"/>
  <c r="BW57"/>
  <c r="BX57"/>
  <c r="BY57"/>
  <c r="BZ57"/>
  <c r="CA57"/>
  <c r="CB57"/>
  <c r="CC57"/>
  <c r="CD57"/>
  <c r="CE57"/>
  <c r="CF57"/>
  <c r="CG57"/>
  <c r="CH57"/>
  <c r="CI57"/>
  <c r="CJ57"/>
  <c r="CK57"/>
  <c r="CL57"/>
  <c r="CM57"/>
  <c r="CN57"/>
  <c r="CO57"/>
  <c r="CP57"/>
  <c r="CQ57"/>
  <c r="CR57"/>
  <c r="CS57"/>
  <c r="CT57"/>
  <c r="CU57"/>
  <c r="CV57"/>
  <c r="CW57"/>
  <c r="CX57"/>
  <c r="CY57"/>
  <c r="CZ57"/>
  <c r="DA57"/>
  <c r="DB57"/>
  <c r="DC57"/>
  <c r="DD57"/>
  <c r="DE57"/>
  <c r="DF57"/>
  <c r="DG57"/>
  <c r="DH57"/>
  <c r="DI57"/>
  <c r="DJ57"/>
  <c r="DK57"/>
  <c r="DL57"/>
  <c r="DM57"/>
  <c r="DN57"/>
  <c r="DO57"/>
  <c r="DP57"/>
  <c r="DQ57"/>
  <c r="DR57"/>
  <c r="DS57"/>
  <c r="DT57"/>
  <c r="DU57"/>
  <c r="DV57"/>
  <c r="DW57"/>
  <c r="DX57"/>
  <c r="DY57"/>
  <c r="DZ57"/>
  <c r="EA57"/>
  <c r="EB57"/>
  <c r="EC57"/>
  <c r="ED57"/>
  <c r="EE57"/>
  <c r="EF57"/>
  <c r="EG57"/>
  <c r="EH57"/>
  <c r="EI57"/>
  <c r="EJ57"/>
  <c r="EK57"/>
  <c r="EL57"/>
  <c r="EM57"/>
  <c r="EN57"/>
  <c r="EO57"/>
  <c r="EP57"/>
  <c r="EQ57"/>
  <c r="ER57"/>
  <c r="ES57"/>
  <c r="ET57"/>
  <c r="EU57"/>
  <c r="EV57"/>
  <c r="EW57"/>
  <c r="EX57"/>
  <c r="EY57"/>
  <c r="EZ57"/>
  <c r="FA57"/>
  <c r="FB57"/>
  <c r="FC57"/>
  <c r="FD57"/>
  <c r="FE57"/>
  <c r="FF57"/>
  <c r="FG57"/>
  <c r="FH57"/>
  <c r="FI57"/>
  <c r="FJ57"/>
  <c r="FK57"/>
  <c r="FL57"/>
  <c r="FM57"/>
  <c r="FN57"/>
  <c r="FO57"/>
  <c r="FP57"/>
  <c r="FQ57"/>
  <c r="FR57"/>
  <c r="FS57"/>
  <c r="FT57"/>
  <c r="FU57"/>
  <c r="FV57"/>
  <c r="FW57"/>
  <c r="FX57"/>
  <c r="FY57"/>
  <c r="FZ57"/>
  <c r="GA57"/>
  <c r="GB57"/>
  <c r="GC57"/>
  <c r="GD57"/>
  <c r="GE57"/>
  <c r="GF57"/>
  <c r="GG57"/>
  <c r="GH57"/>
  <c r="GI57"/>
  <c r="GJ57"/>
  <c r="GK57"/>
  <c r="GL57"/>
  <c r="GM57"/>
  <c r="GN57"/>
  <c r="GO57"/>
  <c r="GP57"/>
  <c r="GQ57"/>
  <c r="GR57"/>
  <c r="GS57"/>
  <c r="GT57"/>
  <c r="GU57"/>
  <c r="GV57"/>
  <c r="GW57"/>
  <c r="GX57"/>
  <c r="GY57"/>
  <c r="GZ57"/>
  <c r="HA57"/>
  <c r="HB57"/>
  <c r="HC57"/>
  <c r="HD57"/>
  <c r="HE57"/>
  <c r="HF57"/>
  <c r="HG57"/>
  <c r="HH57"/>
  <c r="HI57"/>
  <c r="HJ57"/>
  <c r="HK57"/>
  <c r="HL57"/>
  <c r="HM57"/>
  <c r="HN57"/>
  <c r="HO57"/>
  <c r="HP57"/>
  <c r="HQ57"/>
  <c r="HR57"/>
  <c r="HS57"/>
  <c r="HT57"/>
  <c r="HU57"/>
  <c r="HV57"/>
  <c r="HW57"/>
  <c r="HX57"/>
  <c r="HY57"/>
  <c r="HZ57"/>
  <c r="IA57"/>
  <c r="IB57"/>
  <c r="IC57"/>
  <c r="ID57"/>
  <c r="IE57"/>
  <c r="IF57"/>
  <c r="IG57"/>
  <c r="IH57"/>
  <c r="II57"/>
  <c r="IJ57"/>
  <c r="IK57"/>
  <c r="IL57"/>
  <c r="IM57"/>
  <c r="IN57"/>
  <c r="IO57"/>
  <c r="IP57"/>
  <c r="IQ57"/>
  <c r="IR57"/>
  <c r="IS57"/>
  <c r="IT57"/>
  <c r="IU57"/>
  <c r="IV57"/>
  <c r="A56"/>
  <c r="B56"/>
  <c r="C56"/>
  <c r="D56"/>
  <c r="E56"/>
  <c r="F56"/>
  <c r="G56"/>
  <c r="H56"/>
  <c r="I56"/>
  <c r="J56"/>
  <c r="K56"/>
  <c r="L56"/>
  <c r="M56"/>
  <c r="N56"/>
  <c r="O56"/>
  <c r="P56"/>
  <c r="Q56"/>
  <c r="R56"/>
  <c r="S56"/>
  <c r="T56"/>
  <c r="U56"/>
  <c r="V56"/>
  <c r="W56"/>
  <c r="X56"/>
  <c r="Y56"/>
  <c r="Z56"/>
  <c r="AA56"/>
  <c r="AB56"/>
  <c r="AC56"/>
  <c r="AD56"/>
  <c r="AE56"/>
  <c r="AF56"/>
  <c r="AG56"/>
  <c r="AH56"/>
  <c r="AI56"/>
  <c r="AJ56"/>
  <c r="AK56"/>
  <c r="AL56"/>
  <c r="AM56"/>
  <c r="AN56"/>
  <c r="AO56"/>
  <c r="AP56"/>
  <c r="AQ56"/>
  <c r="AR56"/>
  <c r="AS56"/>
  <c r="AT56"/>
  <c r="AU56"/>
  <c r="AV56"/>
  <c r="AW56"/>
  <c r="AX56"/>
  <c r="AY56"/>
  <c r="AZ56"/>
  <c r="BA56"/>
  <c r="BB56"/>
  <c r="BC56"/>
  <c r="BD56"/>
  <c r="BE56"/>
  <c r="BF56"/>
  <c r="BG56"/>
  <c r="BH56"/>
  <c r="BI56"/>
  <c r="BJ56"/>
  <c r="BK56"/>
  <c r="BL56"/>
  <c r="BM56"/>
  <c r="BN56"/>
  <c r="BO56"/>
  <c r="BP56"/>
  <c r="BQ56"/>
  <c r="BR56"/>
  <c r="BS56"/>
  <c r="BT56"/>
  <c r="BU56"/>
  <c r="BV56"/>
  <c r="BW56"/>
  <c r="BX56"/>
  <c r="BY56"/>
  <c r="BZ56"/>
  <c r="CA56"/>
  <c r="CB56"/>
  <c r="CC56"/>
  <c r="CD56"/>
  <c r="CE56"/>
  <c r="CF56"/>
  <c r="CG56"/>
  <c r="CH56"/>
  <c r="CI56"/>
  <c r="CJ56"/>
  <c r="CK56"/>
  <c r="CL56"/>
  <c r="CM56"/>
  <c r="CN56"/>
  <c r="CO56"/>
  <c r="CP56"/>
  <c r="CQ56"/>
  <c r="CR56"/>
  <c r="CS56"/>
  <c r="CT56"/>
  <c r="CU56"/>
  <c r="CV56"/>
  <c r="CW56"/>
  <c r="CX56"/>
  <c r="CY56"/>
  <c r="CZ56"/>
  <c r="DA56"/>
  <c r="DB56"/>
  <c r="DC56"/>
  <c r="DD56"/>
  <c r="DE56"/>
  <c r="DF56"/>
  <c r="DG56"/>
  <c r="DH56"/>
  <c r="DI56"/>
  <c r="DJ56"/>
  <c r="DK56"/>
  <c r="DL56"/>
  <c r="DM56"/>
  <c r="DN56"/>
  <c r="DO56"/>
  <c r="DP56"/>
  <c r="DQ56"/>
  <c r="DR56"/>
  <c r="DS56"/>
  <c r="DT56"/>
  <c r="DU56"/>
  <c r="DV56"/>
  <c r="DW56"/>
  <c r="DX56"/>
  <c r="DY56"/>
  <c r="DZ56"/>
  <c r="EA56"/>
  <c r="EB56"/>
  <c r="EC56"/>
  <c r="ED56"/>
  <c r="EE56"/>
  <c r="EF56"/>
  <c r="EG56"/>
  <c r="EH56"/>
  <c r="EI56"/>
  <c r="EJ56"/>
  <c r="EK56"/>
  <c r="EL56"/>
  <c r="EM56"/>
  <c r="EN56"/>
  <c r="EO56"/>
  <c r="EP56"/>
  <c r="EQ56"/>
  <c r="ER56"/>
  <c r="ES56"/>
  <c r="ET56"/>
  <c r="EU56"/>
  <c r="EV56"/>
  <c r="EW56"/>
  <c r="EX56"/>
  <c r="EY56"/>
  <c r="EZ56"/>
  <c r="FA56"/>
  <c r="FB56"/>
  <c r="FC56"/>
  <c r="FD56"/>
  <c r="FE56"/>
  <c r="FF56"/>
  <c r="FG56"/>
  <c r="FH56"/>
  <c r="FI56"/>
  <c r="FJ56"/>
  <c r="FK56"/>
  <c r="FL56"/>
  <c r="FM56"/>
  <c r="FN56"/>
  <c r="FO56"/>
  <c r="FP56"/>
  <c r="FQ56"/>
  <c r="FR56"/>
  <c r="FS56"/>
  <c r="FT56"/>
  <c r="FU56"/>
  <c r="FV56"/>
  <c r="FW56"/>
  <c r="FX56"/>
  <c r="FY56"/>
  <c r="FZ56"/>
  <c r="GA56"/>
  <c r="GB56"/>
  <c r="GC56"/>
  <c r="GD56"/>
  <c r="GE56"/>
  <c r="GF56"/>
  <c r="GG56"/>
  <c r="GH56"/>
  <c r="GI56"/>
  <c r="GJ56"/>
  <c r="GK56"/>
  <c r="GL56"/>
  <c r="GM56"/>
  <c r="GN56"/>
  <c r="GO56"/>
  <c r="GP56"/>
  <c r="GQ56"/>
  <c r="GR56"/>
  <c r="GS56"/>
  <c r="GT56"/>
  <c r="GU56"/>
  <c r="GV56"/>
  <c r="GW56"/>
  <c r="GX56"/>
  <c r="GY56"/>
  <c r="GZ56"/>
  <c r="HA56"/>
  <c r="HB56"/>
  <c r="HC56"/>
  <c r="HD56"/>
  <c r="HE56"/>
  <c r="HF56"/>
  <c r="HG56"/>
  <c r="HH56"/>
  <c r="HI56"/>
  <c r="HJ56"/>
  <c r="HK56"/>
  <c r="HL56"/>
  <c r="HM56"/>
  <c r="HN56"/>
  <c r="HO56"/>
  <c r="HP56"/>
  <c r="HQ56"/>
  <c r="HR56"/>
  <c r="HS56"/>
  <c r="HT56"/>
  <c r="HU56"/>
  <c r="HV56"/>
  <c r="HW56"/>
  <c r="HX56"/>
  <c r="HY56"/>
  <c r="HZ56"/>
  <c r="IA56"/>
  <c r="IB56"/>
  <c r="IC56"/>
  <c r="ID56"/>
  <c r="IE56"/>
  <c r="IF56"/>
  <c r="IG56"/>
  <c r="IH56"/>
  <c r="II56"/>
  <c r="IJ56"/>
  <c r="IK56"/>
  <c r="IL56"/>
  <c r="IM56"/>
  <c r="IN56"/>
  <c r="IO56"/>
  <c r="IP56"/>
  <c r="IQ56"/>
  <c r="IR56"/>
  <c r="IS56"/>
  <c r="IT56"/>
  <c r="IU56"/>
  <c r="IV56"/>
  <c r="A55"/>
  <c r="B55"/>
  <c r="C55"/>
  <c r="D55"/>
  <c r="E55"/>
  <c r="F55"/>
  <c r="G55"/>
  <c r="H55"/>
  <c r="I55"/>
  <c r="J55"/>
  <c r="K55"/>
  <c r="L55"/>
  <c r="M55"/>
  <c r="N55"/>
  <c r="O55"/>
  <c r="P55"/>
  <c r="Q55"/>
  <c r="R55"/>
  <c r="S55"/>
  <c r="T55"/>
  <c r="U55"/>
  <c r="V55"/>
  <c r="W55"/>
  <c r="X55"/>
  <c r="Y55"/>
  <c r="Z55"/>
  <c r="AA55"/>
  <c r="AB55"/>
  <c r="AC55"/>
  <c r="AD55"/>
  <c r="AE55"/>
  <c r="AF55"/>
  <c r="AG55"/>
  <c r="AH55"/>
  <c r="AI55"/>
  <c r="AJ55"/>
  <c r="AK55"/>
  <c r="AL55"/>
  <c r="AM55"/>
  <c r="AN55"/>
  <c r="AO55"/>
  <c r="AP55"/>
  <c r="AQ55"/>
  <c r="AR55"/>
  <c r="AS55"/>
  <c r="AT55"/>
  <c r="AU55"/>
  <c r="AV55"/>
  <c r="AW55"/>
  <c r="AX55"/>
  <c r="AY55"/>
  <c r="AZ55"/>
  <c r="BA55"/>
  <c r="BB55"/>
  <c r="BC55"/>
  <c r="BD55"/>
  <c r="BE55"/>
  <c r="BF55"/>
  <c r="BG55"/>
  <c r="BH55"/>
  <c r="BI55"/>
  <c r="BJ55"/>
  <c r="BK55"/>
  <c r="BL55"/>
  <c r="BM55"/>
  <c r="BN55"/>
  <c r="BO55"/>
  <c r="BP55"/>
  <c r="BQ55"/>
  <c r="BR55"/>
  <c r="BS55"/>
  <c r="BT55"/>
  <c r="BU55"/>
  <c r="BV55"/>
  <c r="BW55"/>
  <c r="BX55"/>
  <c r="BY55"/>
  <c r="BZ55"/>
  <c r="CA55"/>
  <c r="CB55"/>
  <c r="CC55"/>
  <c r="CD55"/>
  <c r="CE55"/>
  <c r="CF55"/>
  <c r="CG55"/>
  <c r="CH55"/>
  <c r="CI55"/>
  <c r="CJ55"/>
  <c r="CK55"/>
  <c r="CL55"/>
  <c r="CM55"/>
  <c r="CN55"/>
  <c r="CO55"/>
  <c r="CP55"/>
  <c r="CQ55"/>
  <c r="CR55"/>
  <c r="CS55"/>
  <c r="CT55"/>
  <c r="CU55"/>
  <c r="CV55"/>
  <c r="CW55"/>
  <c r="CX55"/>
  <c r="CY55"/>
  <c r="CZ55"/>
  <c r="DA55"/>
  <c r="DB55"/>
  <c r="DC55"/>
  <c r="DD55"/>
  <c r="DE55"/>
  <c r="DF55"/>
  <c r="DG55"/>
  <c r="DH55"/>
  <c r="DI55"/>
  <c r="DJ55"/>
  <c r="DK55"/>
  <c r="DL55"/>
  <c r="DM55"/>
  <c r="DN55"/>
  <c r="DO55"/>
  <c r="DP55"/>
  <c r="DQ55"/>
  <c r="DR55"/>
  <c r="DS55"/>
  <c r="DT55"/>
  <c r="DU55"/>
  <c r="DV55"/>
  <c r="DW55"/>
  <c r="DX55"/>
  <c r="DY55"/>
  <c r="DZ55"/>
  <c r="EA55"/>
  <c r="EB55"/>
  <c r="EC55"/>
  <c r="ED55"/>
  <c r="EE55"/>
  <c r="EF55"/>
  <c r="EG55"/>
  <c r="EH55"/>
  <c r="EI55"/>
  <c r="EJ55"/>
  <c r="EK55"/>
  <c r="EL55"/>
  <c r="EM55"/>
  <c r="EN55"/>
  <c r="EO55"/>
  <c r="EP55"/>
  <c r="EQ55"/>
  <c r="ER55"/>
  <c r="ES55"/>
  <c r="ET55"/>
  <c r="EU55"/>
  <c r="EV55"/>
  <c r="EW55"/>
  <c r="EX55"/>
  <c r="EY55"/>
  <c r="EZ55"/>
  <c r="FA55"/>
  <c r="FB55"/>
  <c r="FC55"/>
  <c r="FD55"/>
  <c r="FE55"/>
  <c r="FF55"/>
  <c r="FG55"/>
  <c r="FH55"/>
  <c r="FI55"/>
  <c r="FJ55"/>
  <c r="FK55"/>
  <c r="FL55"/>
  <c r="FM55"/>
  <c r="FN55"/>
  <c r="FO55"/>
  <c r="FP55"/>
  <c r="FQ55"/>
  <c r="FR55"/>
  <c r="FS55"/>
  <c r="FT55"/>
  <c r="FU55"/>
  <c r="FV55"/>
  <c r="FW55"/>
  <c r="FX55"/>
  <c r="FY55"/>
  <c r="FZ55"/>
  <c r="GA55"/>
  <c r="GB55"/>
  <c r="GC55"/>
  <c r="GD55"/>
  <c r="GE55"/>
  <c r="GF55"/>
  <c r="GG55"/>
  <c r="GH55"/>
  <c r="GI55"/>
  <c r="GJ55"/>
  <c r="GK55"/>
  <c r="GL55"/>
  <c r="GM55"/>
  <c r="GN55"/>
  <c r="GO55"/>
  <c r="GP55"/>
  <c r="GQ55"/>
  <c r="GR55"/>
  <c r="GS55"/>
  <c r="GT55"/>
  <c r="GU55"/>
  <c r="GV55"/>
  <c r="GW55"/>
  <c r="GX55"/>
  <c r="GY55"/>
  <c r="GZ55"/>
  <c r="HA55"/>
  <c r="HB55"/>
  <c r="HC55"/>
  <c r="HD55"/>
  <c r="HE55"/>
  <c r="HF55"/>
  <c r="HG55"/>
  <c r="HH55"/>
  <c r="HI55"/>
  <c r="HJ55"/>
  <c r="HK55"/>
  <c r="HL55"/>
  <c r="HM55"/>
  <c r="HN55"/>
  <c r="HO55"/>
  <c r="HP55"/>
  <c r="HQ55"/>
  <c r="HR55"/>
  <c r="HS55"/>
  <c r="HT55"/>
  <c r="HU55"/>
  <c r="HV55"/>
  <c r="HW55"/>
  <c r="HX55"/>
  <c r="HY55"/>
  <c r="HZ55"/>
  <c r="IA55"/>
  <c r="IB55"/>
  <c r="IC55"/>
  <c r="ID55"/>
  <c r="IE55"/>
  <c r="IF55"/>
  <c r="IG55"/>
  <c r="IH55"/>
  <c r="II55"/>
  <c r="IJ55"/>
  <c r="IK55"/>
  <c r="IL55"/>
  <c r="IM55"/>
  <c r="IN55"/>
  <c r="IO55"/>
  <c r="IP55"/>
  <c r="IQ55"/>
  <c r="IR55"/>
  <c r="IS55"/>
  <c r="IT55"/>
  <c r="IU55"/>
  <c r="IV55"/>
  <c r="A54"/>
  <c r="B54"/>
  <c r="C54"/>
  <c r="D54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X54"/>
  <c r="Y54"/>
  <c r="Z54"/>
  <c r="AA54"/>
  <c r="AB54"/>
  <c r="AC54"/>
  <c r="AD54"/>
  <c r="AE54"/>
  <c r="AF54"/>
  <c r="AG54"/>
  <c r="AH54"/>
  <c r="AI54"/>
  <c r="AJ54"/>
  <c r="AK54"/>
  <c r="AL54"/>
  <c r="AM54"/>
  <c r="AN54"/>
  <c r="AO54"/>
  <c r="AP54"/>
  <c r="AQ54"/>
  <c r="AR54"/>
  <c r="AS54"/>
  <c r="AT54"/>
  <c r="AU54"/>
  <c r="AV54"/>
  <c r="AW54"/>
  <c r="AX54"/>
  <c r="AY54"/>
  <c r="AZ54"/>
  <c r="BA54"/>
  <c r="BB54"/>
  <c r="BC54"/>
  <c r="BD54"/>
  <c r="BE54"/>
  <c r="BF54"/>
  <c r="BG54"/>
  <c r="BH54"/>
  <c r="BI54"/>
  <c r="BJ54"/>
  <c r="BK54"/>
  <c r="BL54"/>
  <c r="BM54"/>
  <c r="BN54"/>
  <c r="BO54"/>
  <c r="BP54"/>
  <c r="BQ54"/>
  <c r="BR54"/>
  <c r="BS54"/>
  <c r="BT54"/>
  <c r="BU54"/>
  <c r="BV54"/>
  <c r="BW54"/>
  <c r="BX54"/>
  <c r="BY54"/>
  <c r="BZ54"/>
  <c r="CA54"/>
  <c r="CB54"/>
  <c r="CC54"/>
  <c r="CD54"/>
  <c r="CE54"/>
  <c r="CF54"/>
  <c r="CG54"/>
  <c r="CH54"/>
  <c r="CI54"/>
  <c r="CJ54"/>
  <c r="CK54"/>
  <c r="CL54"/>
  <c r="CM54"/>
  <c r="CN54"/>
  <c r="CO54"/>
  <c r="CP54"/>
  <c r="CQ54"/>
  <c r="CR54"/>
  <c r="CS54"/>
  <c r="CT54"/>
  <c r="CU54"/>
  <c r="CV54"/>
  <c r="CW54"/>
  <c r="CX54"/>
  <c r="CY54"/>
  <c r="CZ54"/>
  <c r="DA54"/>
  <c r="DB54"/>
  <c r="DC54"/>
  <c r="DD54"/>
  <c r="DE54"/>
  <c r="DF54"/>
  <c r="DG54"/>
  <c r="DH54"/>
  <c r="DI54"/>
  <c r="DJ54"/>
  <c r="DK54"/>
  <c r="DL54"/>
  <c r="DM54"/>
  <c r="DN54"/>
  <c r="DO54"/>
  <c r="DP54"/>
  <c r="DQ54"/>
  <c r="DR54"/>
  <c r="DS54"/>
  <c r="DT54"/>
  <c r="DU54"/>
  <c r="DV54"/>
  <c r="DW54"/>
  <c r="DX54"/>
  <c r="DY54"/>
  <c r="DZ54"/>
  <c r="EA54"/>
  <c r="EB54"/>
  <c r="EC54"/>
  <c r="ED54"/>
  <c r="EE54"/>
  <c r="EF54"/>
  <c r="EG54"/>
  <c r="EH54"/>
  <c r="EI54"/>
  <c r="EJ54"/>
  <c r="EK54"/>
  <c r="EL54"/>
  <c r="EM54"/>
  <c r="EN54"/>
  <c r="EO54"/>
  <c r="EP54"/>
  <c r="EQ54"/>
  <c r="ER54"/>
  <c r="ES54"/>
  <c r="ET54"/>
  <c r="EU54"/>
  <c r="EV54"/>
  <c r="EW54"/>
  <c r="EX54"/>
  <c r="EY54"/>
  <c r="EZ54"/>
  <c r="FA54"/>
  <c r="FB54"/>
  <c r="FC54"/>
  <c r="FD54"/>
  <c r="FE54"/>
  <c r="FF54"/>
  <c r="FG54"/>
  <c r="FH54"/>
  <c r="FI54"/>
  <c r="FJ54"/>
  <c r="FK54"/>
  <c r="FL54"/>
  <c r="FM54"/>
  <c r="FN54"/>
  <c r="FO54"/>
  <c r="FP54"/>
  <c r="FQ54"/>
  <c r="FR54"/>
  <c r="FS54"/>
  <c r="FT54"/>
  <c r="FU54"/>
  <c r="FV54"/>
  <c r="FW54"/>
  <c r="FX54"/>
  <c r="FY54"/>
  <c r="FZ54"/>
  <c r="GA54"/>
  <c r="GB54"/>
  <c r="GC54"/>
  <c r="GD54"/>
  <c r="GE54"/>
  <c r="GF54"/>
  <c r="GG54"/>
  <c r="GH54"/>
  <c r="GI54"/>
  <c r="GJ54"/>
  <c r="GK54"/>
  <c r="GL54"/>
  <c r="GM54"/>
  <c r="GN54"/>
  <c r="GO54"/>
  <c r="GP54"/>
  <c r="GQ54"/>
  <c r="GR54"/>
  <c r="GS54"/>
  <c r="GT54"/>
  <c r="GU54"/>
  <c r="GV54"/>
  <c r="GW54"/>
  <c r="GX54"/>
  <c r="GY54"/>
  <c r="GZ54"/>
  <c r="HA54"/>
  <c r="HB54"/>
  <c r="HC54"/>
  <c r="HD54"/>
  <c r="HE54"/>
  <c r="HF54"/>
  <c r="HG54"/>
  <c r="HH54"/>
  <c r="HI54"/>
  <c r="HJ54"/>
  <c r="HK54"/>
  <c r="HL54"/>
  <c r="HM54"/>
  <c r="HN54"/>
  <c r="HO54"/>
  <c r="HP54"/>
  <c r="HQ54"/>
  <c r="HR54"/>
  <c r="HS54"/>
  <c r="HT54"/>
  <c r="HU54"/>
  <c r="HV54"/>
  <c r="HW54"/>
  <c r="HX54"/>
  <c r="HY54"/>
  <c r="HZ54"/>
  <c r="IA54"/>
  <c r="IB54"/>
  <c r="IC54"/>
  <c r="ID54"/>
  <c r="IE54"/>
  <c r="IF54"/>
  <c r="IG54"/>
  <c r="IH54"/>
  <c r="II54"/>
  <c r="IJ54"/>
  <c r="IK54"/>
  <c r="IL54"/>
  <c r="IM54"/>
  <c r="IN54"/>
  <c r="IO54"/>
  <c r="IP54"/>
  <c r="IQ54"/>
  <c r="IR54"/>
  <c r="IS54"/>
  <c r="IT54"/>
  <c r="IU54"/>
  <c r="IV54"/>
  <c r="A53"/>
  <c r="B53"/>
  <c r="C53"/>
  <c r="D53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C53"/>
  <c r="AD53"/>
  <c r="AE53"/>
  <c r="AF53"/>
  <c r="AG53"/>
  <c r="AH53"/>
  <c r="AI53"/>
  <c r="AJ53"/>
  <c r="AK53"/>
  <c r="AL53"/>
  <c r="AM53"/>
  <c r="AN53"/>
  <c r="AO53"/>
  <c r="AP53"/>
  <c r="AQ53"/>
  <c r="AR53"/>
  <c r="AS53"/>
  <c r="AT53"/>
  <c r="AU53"/>
  <c r="AV53"/>
  <c r="AW53"/>
  <c r="AX53"/>
  <c r="AY53"/>
  <c r="AZ53"/>
  <c r="BA53"/>
  <c r="BB53"/>
  <c r="BC53"/>
  <c r="BD53"/>
  <c r="BE53"/>
  <c r="BF53"/>
  <c r="BG53"/>
  <c r="BH53"/>
  <c r="BI53"/>
  <c r="BJ53"/>
  <c r="BK53"/>
  <c r="BL53"/>
  <c r="BM53"/>
  <c r="BN53"/>
  <c r="BO53"/>
  <c r="BP53"/>
  <c r="BQ53"/>
  <c r="BR53"/>
  <c r="BS53"/>
  <c r="BT53"/>
  <c r="BU53"/>
  <c r="BV53"/>
  <c r="BW53"/>
  <c r="BX53"/>
  <c r="BY53"/>
  <c r="BZ53"/>
  <c r="CA53"/>
  <c r="CB53"/>
  <c r="CC53"/>
  <c r="CD53"/>
  <c r="CE53"/>
  <c r="CF53"/>
  <c r="CG53"/>
  <c r="CH53"/>
  <c r="CI53"/>
  <c r="CJ53"/>
  <c r="CK53"/>
  <c r="CL53"/>
  <c r="CM53"/>
  <c r="CN53"/>
  <c r="CO53"/>
  <c r="CP53"/>
  <c r="CQ53"/>
  <c r="CR53"/>
  <c r="CS53"/>
  <c r="CT53"/>
  <c r="CU53"/>
  <c r="CV53"/>
  <c r="CW53"/>
  <c r="CX53"/>
  <c r="CY53"/>
  <c r="CZ53"/>
  <c r="DA53"/>
  <c r="DB53"/>
  <c r="DC53"/>
  <c r="DD53"/>
  <c r="DE53"/>
  <c r="DF53"/>
  <c r="DG53"/>
  <c r="DH53"/>
  <c r="DI53"/>
  <c r="DJ53"/>
  <c r="DK53"/>
  <c r="DL53"/>
  <c r="DM53"/>
  <c r="DN53"/>
  <c r="DO53"/>
  <c r="DP53"/>
  <c r="DQ53"/>
  <c r="DR53"/>
  <c r="DS53"/>
  <c r="DT53"/>
  <c r="DU53"/>
  <c r="DV53"/>
  <c r="DW53"/>
  <c r="DX53"/>
  <c r="DY53"/>
  <c r="DZ53"/>
  <c r="EA53"/>
  <c r="EB53"/>
  <c r="EC53"/>
  <c r="ED53"/>
  <c r="EE53"/>
  <c r="EF53"/>
  <c r="EG53"/>
  <c r="EH53"/>
  <c r="EI53"/>
  <c r="EJ53"/>
  <c r="EK53"/>
  <c r="EL53"/>
  <c r="EM53"/>
  <c r="EN53"/>
  <c r="EO53"/>
  <c r="EP53"/>
  <c r="EQ53"/>
  <c r="ER53"/>
  <c r="ES53"/>
  <c r="ET53"/>
  <c r="EU53"/>
  <c r="EV53"/>
  <c r="EW53"/>
  <c r="EX53"/>
  <c r="EY53"/>
  <c r="EZ53"/>
  <c r="FA53"/>
  <c r="FB53"/>
  <c r="FC53"/>
  <c r="FD53"/>
  <c r="FE53"/>
  <c r="FF53"/>
  <c r="FG53"/>
  <c r="FH53"/>
  <c r="FI53"/>
  <c r="FJ53"/>
  <c r="FK53"/>
  <c r="FL53"/>
  <c r="FM53"/>
  <c r="FN53"/>
  <c r="FO53"/>
  <c r="FP53"/>
  <c r="FQ53"/>
  <c r="FR53"/>
  <c r="FS53"/>
  <c r="FT53"/>
  <c r="FU53"/>
  <c r="FV53"/>
  <c r="FW53"/>
  <c r="FX53"/>
  <c r="FY53"/>
  <c r="FZ53"/>
  <c r="GA53"/>
  <c r="GB53"/>
  <c r="GC53"/>
  <c r="GD53"/>
  <c r="GE53"/>
  <c r="GF53"/>
  <c r="GG53"/>
  <c r="GH53"/>
  <c r="GI53"/>
  <c r="GJ53"/>
  <c r="GK53"/>
  <c r="GL53"/>
  <c r="GM53"/>
  <c r="GN53"/>
  <c r="GO53"/>
  <c r="GP53"/>
  <c r="GQ53"/>
  <c r="GR53"/>
  <c r="GS53"/>
  <c r="GT53"/>
  <c r="GU53"/>
  <c r="GV53"/>
  <c r="GW53"/>
  <c r="GX53"/>
  <c r="GY53"/>
  <c r="GZ53"/>
  <c r="HA53"/>
  <c r="HB53"/>
  <c r="HC53"/>
  <c r="HD53"/>
  <c r="HE53"/>
  <c r="HF53"/>
  <c r="HG53"/>
  <c r="HH53"/>
  <c r="HI53"/>
  <c r="HJ53"/>
  <c r="HK53"/>
  <c r="HL53"/>
  <c r="HM53"/>
  <c r="HN53"/>
  <c r="HO53"/>
  <c r="HP53"/>
  <c r="HQ53"/>
  <c r="HR53"/>
  <c r="HS53"/>
  <c r="HT53"/>
  <c r="HU53"/>
  <c r="HV53"/>
  <c r="HW53"/>
  <c r="HX53"/>
  <c r="HY53"/>
  <c r="HZ53"/>
  <c r="IA53"/>
  <c r="IB53"/>
  <c r="IC53"/>
  <c r="ID53"/>
  <c r="IE53"/>
  <c r="IF53"/>
  <c r="IG53"/>
  <c r="IH53"/>
  <c r="II53"/>
  <c r="IJ53"/>
  <c r="IK53"/>
  <c r="IL53"/>
  <c r="IM53"/>
  <c r="IN53"/>
  <c r="IO53"/>
  <c r="IP53"/>
  <c r="IQ53"/>
  <c r="IR53"/>
  <c r="IS53"/>
  <c r="IT53"/>
  <c r="IU53"/>
  <c r="IV53"/>
  <c r="A52"/>
  <c r="B52"/>
  <c r="C52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AJ52"/>
  <c r="AK52"/>
  <c r="AL52"/>
  <c r="AM52"/>
  <c r="AN52"/>
  <c r="AO52"/>
  <c r="AP52"/>
  <c r="AQ52"/>
  <c r="AR52"/>
  <c r="AS52"/>
  <c r="AT52"/>
  <c r="AU52"/>
  <c r="AV52"/>
  <c r="AW52"/>
  <c r="AX52"/>
  <c r="AY52"/>
  <c r="AZ52"/>
  <c r="BA52"/>
  <c r="BB52"/>
  <c r="BC52"/>
  <c r="BD52"/>
  <c r="BE52"/>
  <c r="BF52"/>
  <c r="BG52"/>
  <c r="BH52"/>
  <c r="BI52"/>
  <c r="BJ52"/>
  <c r="BK52"/>
  <c r="BL52"/>
  <c r="BM52"/>
  <c r="BN52"/>
  <c r="BO52"/>
  <c r="BP52"/>
  <c r="BQ52"/>
  <c r="BR52"/>
  <c r="BS52"/>
  <c r="BT52"/>
  <c r="BU52"/>
  <c r="BV52"/>
  <c r="BW52"/>
  <c r="BX52"/>
  <c r="BY52"/>
  <c r="BZ52"/>
  <c r="CA52"/>
  <c r="CB52"/>
  <c r="CC52"/>
  <c r="CD52"/>
  <c r="CE52"/>
  <c r="CF52"/>
  <c r="CG52"/>
  <c r="CH52"/>
  <c r="CI52"/>
  <c r="CJ52"/>
  <c r="CK52"/>
  <c r="CL52"/>
  <c r="CM52"/>
  <c r="CN52"/>
  <c r="CO52"/>
  <c r="CP52"/>
  <c r="CQ52"/>
  <c r="CR52"/>
  <c r="CS52"/>
  <c r="CT52"/>
  <c r="CU52"/>
  <c r="CV52"/>
  <c r="CW52"/>
  <c r="CX52"/>
  <c r="CY52"/>
  <c r="CZ52"/>
  <c r="DA52"/>
  <c r="DB52"/>
  <c r="DC52"/>
  <c r="DD52"/>
  <c r="DE52"/>
  <c r="DF52"/>
  <c r="DG52"/>
  <c r="DH52"/>
  <c r="DI52"/>
  <c r="DJ52"/>
  <c r="DK52"/>
  <c r="DL52"/>
  <c r="DM52"/>
  <c r="DN52"/>
  <c r="DO52"/>
  <c r="DP52"/>
  <c r="DQ52"/>
  <c r="DR52"/>
  <c r="DS52"/>
  <c r="DT52"/>
  <c r="DU52"/>
  <c r="DV52"/>
  <c r="DW52"/>
  <c r="DX52"/>
  <c r="DY52"/>
  <c r="DZ52"/>
  <c r="EA52"/>
  <c r="EB52"/>
  <c r="EC52"/>
  <c r="ED52"/>
  <c r="EE52"/>
  <c r="EF52"/>
  <c r="EG52"/>
  <c r="EH52"/>
  <c r="EI52"/>
  <c r="EJ52"/>
  <c r="EK52"/>
  <c r="EL52"/>
  <c r="EM52"/>
  <c r="EN52"/>
  <c r="EO52"/>
  <c r="EP52"/>
  <c r="EQ52"/>
  <c r="ER52"/>
  <c r="ES52"/>
  <c r="ET52"/>
  <c r="EU52"/>
  <c r="EV52"/>
  <c r="EW52"/>
  <c r="EX52"/>
  <c r="EY52"/>
  <c r="EZ52"/>
  <c r="FA52"/>
  <c r="FB52"/>
  <c r="FC52"/>
  <c r="FD52"/>
  <c r="FE52"/>
  <c r="FF52"/>
  <c r="FG52"/>
  <c r="FH52"/>
  <c r="FI52"/>
  <c r="FJ52"/>
  <c r="FK52"/>
  <c r="FL52"/>
  <c r="FM52"/>
  <c r="FN52"/>
  <c r="FO52"/>
  <c r="FP52"/>
  <c r="FQ52"/>
  <c r="FR52"/>
  <c r="FS52"/>
  <c r="FT52"/>
  <c r="FU52"/>
  <c r="FV52"/>
  <c r="FW52"/>
  <c r="FX52"/>
  <c r="FY52"/>
  <c r="FZ52"/>
  <c r="GA52"/>
  <c r="GB52"/>
  <c r="GC52"/>
  <c r="GD52"/>
  <c r="GE52"/>
  <c r="GF52"/>
  <c r="GG52"/>
  <c r="GH52"/>
  <c r="GI52"/>
  <c r="GJ52"/>
  <c r="GK52"/>
  <c r="GL52"/>
  <c r="GM52"/>
  <c r="GN52"/>
  <c r="GO52"/>
  <c r="GP52"/>
  <c r="GQ52"/>
  <c r="GR52"/>
  <c r="GS52"/>
  <c r="GT52"/>
  <c r="GU52"/>
  <c r="GV52"/>
  <c r="GW52"/>
  <c r="GX52"/>
  <c r="GY52"/>
  <c r="GZ52"/>
  <c r="HA52"/>
  <c r="HB52"/>
  <c r="HC52"/>
  <c r="HD52"/>
  <c r="HE52"/>
  <c r="HF52"/>
  <c r="HG52"/>
  <c r="HH52"/>
  <c r="HI52"/>
  <c r="HJ52"/>
  <c r="HK52"/>
  <c r="HL52"/>
  <c r="HM52"/>
  <c r="HN52"/>
  <c r="HO52"/>
  <c r="HP52"/>
  <c r="HQ52"/>
  <c r="HR52"/>
  <c r="HS52"/>
  <c r="HT52"/>
  <c r="HU52"/>
  <c r="HV52"/>
  <c r="HW52"/>
  <c r="HX52"/>
  <c r="HY52"/>
  <c r="HZ52"/>
  <c r="IA52"/>
  <c r="IB52"/>
  <c r="IC52"/>
  <c r="ID52"/>
  <c r="IE52"/>
  <c r="IF52"/>
  <c r="IG52"/>
  <c r="IH52"/>
  <c r="II52"/>
  <c r="IJ52"/>
  <c r="IK52"/>
  <c r="IL52"/>
  <c r="IM52"/>
  <c r="IN52"/>
  <c r="IO52"/>
  <c r="IP52"/>
  <c r="IQ52"/>
  <c r="IR52"/>
  <c r="IS52"/>
  <c r="IT52"/>
  <c r="IU52"/>
  <c r="IV52"/>
  <c r="A51"/>
  <c r="B51"/>
  <c r="C51"/>
  <c r="D51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AG51"/>
  <c r="AH51"/>
  <c r="AI51"/>
  <c r="AJ51"/>
  <c r="AK51"/>
  <c r="AL51"/>
  <c r="AM51"/>
  <c r="AN51"/>
  <c r="AO51"/>
  <c r="AP51"/>
  <c r="AQ51"/>
  <c r="AR51"/>
  <c r="AS51"/>
  <c r="AT51"/>
  <c r="AU51"/>
  <c r="AV51"/>
  <c r="AW51"/>
  <c r="AX51"/>
  <c r="AY51"/>
  <c r="AZ51"/>
  <c r="BA51"/>
  <c r="BB51"/>
  <c r="BC51"/>
  <c r="BD51"/>
  <c r="BE51"/>
  <c r="BF51"/>
  <c r="BG51"/>
  <c r="BH51"/>
  <c r="BI51"/>
  <c r="BJ51"/>
  <c r="BK51"/>
  <c r="BL51"/>
  <c r="BM51"/>
  <c r="BN51"/>
  <c r="BO51"/>
  <c r="BP51"/>
  <c r="BQ51"/>
  <c r="BR51"/>
  <c r="BS51"/>
  <c r="BT51"/>
  <c r="BU51"/>
  <c r="BV51"/>
  <c r="BW51"/>
  <c r="BX51"/>
  <c r="BY51"/>
  <c r="BZ51"/>
  <c r="CA51"/>
  <c r="CB51"/>
  <c r="CC51"/>
  <c r="CD51"/>
  <c r="CE51"/>
  <c r="CF51"/>
  <c r="CG51"/>
  <c r="CH51"/>
  <c r="CI51"/>
  <c r="CJ51"/>
  <c r="CK51"/>
  <c r="CL51"/>
  <c r="CM51"/>
  <c r="CN51"/>
  <c r="CO51"/>
  <c r="CP51"/>
  <c r="CQ51"/>
  <c r="CR51"/>
  <c r="CS51"/>
  <c r="CT51"/>
  <c r="CU51"/>
  <c r="CV51"/>
  <c r="CW51"/>
  <c r="CX51"/>
  <c r="CY51"/>
  <c r="CZ51"/>
  <c r="DA51"/>
  <c r="DB51"/>
  <c r="DC51"/>
  <c r="DD51"/>
  <c r="DE51"/>
  <c r="DF51"/>
  <c r="DG51"/>
  <c r="DH51"/>
  <c r="DI51"/>
  <c r="DJ51"/>
  <c r="DK51"/>
  <c r="DL51"/>
  <c r="DM51"/>
  <c r="DN51"/>
  <c r="DO51"/>
  <c r="DP51"/>
  <c r="DQ51"/>
  <c r="DR51"/>
  <c r="DS51"/>
  <c r="DT51"/>
  <c r="DU51"/>
  <c r="DV51"/>
  <c r="DW51"/>
  <c r="DX51"/>
  <c r="DY51"/>
  <c r="DZ51"/>
  <c r="EA51"/>
  <c r="EB51"/>
  <c r="EC51"/>
  <c r="ED51"/>
  <c r="EE51"/>
  <c r="EF51"/>
  <c r="EG51"/>
  <c r="EH51"/>
  <c r="EI51"/>
  <c r="EJ51"/>
  <c r="EK51"/>
  <c r="EL51"/>
  <c r="EM51"/>
  <c r="EN51"/>
  <c r="EO51"/>
  <c r="EP51"/>
  <c r="EQ51"/>
  <c r="ER51"/>
  <c r="ES51"/>
  <c r="ET51"/>
  <c r="EU51"/>
  <c r="EV51"/>
  <c r="EW51"/>
  <c r="EX51"/>
  <c r="EY51"/>
  <c r="EZ51"/>
  <c r="FA51"/>
  <c r="FB51"/>
  <c r="FC51"/>
  <c r="FD51"/>
  <c r="FE51"/>
  <c r="FF51"/>
  <c r="FG51"/>
  <c r="FH51"/>
  <c r="FI51"/>
  <c r="FJ51"/>
  <c r="FK51"/>
  <c r="FL51"/>
  <c r="FM51"/>
  <c r="FN51"/>
  <c r="FO51"/>
  <c r="FP51"/>
  <c r="FQ51"/>
  <c r="FR51"/>
  <c r="FS51"/>
  <c r="FT51"/>
  <c r="FU51"/>
  <c r="FV51"/>
  <c r="FW51"/>
  <c r="FX51"/>
  <c r="FY51"/>
  <c r="FZ51"/>
  <c r="GA51"/>
  <c r="GB51"/>
  <c r="GC51"/>
  <c r="GD51"/>
  <c r="GE51"/>
  <c r="GF51"/>
  <c r="GG51"/>
  <c r="GH51"/>
  <c r="GI51"/>
  <c r="GJ51"/>
  <c r="GK51"/>
  <c r="GL51"/>
  <c r="GM51"/>
  <c r="GN51"/>
  <c r="GO51"/>
  <c r="GP51"/>
  <c r="GQ51"/>
  <c r="GR51"/>
  <c r="GS51"/>
  <c r="GT51"/>
  <c r="GU51"/>
  <c r="GV51"/>
  <c r="GW51"/>
  <c r="GX51"/>
  <c r="GY51"/>
  <c r="GZ51"/>
  <c r="HA51"/>
  <c r="HB51"/>
  <c r="HC51"/>
  <c r="HD51"/>
  <c r="HE51"/>
  <c r="HF51"/>
  <c r="HG51"/>
  <c r="HH51"/>
  <c r="HI51"/>
  <c r="HJ51"/>
  <c r="HK51"/>
  <c r="HL51"/>
  <c r="HM51"/>
  <c r="HN51"/>
  <c r="HO51"/>
  <c r="HP51"/>
  <c r="HQ51"/>
  <c r="HR51"/>
  <c r="HS51"/>
  <c r="HT51"/>
  <c r="HU51"/>
  <c r="HV51"/>
  <c r="HW51"/>
  <c r="HX51"/>
  <c r="HY51"/>
  <c r="HZ51"/>
  <c r="IA51"/>
  <c r="IB51"/>
  <c r="IC51"/>
  <c r="ID51"/>
  <c r="IE51"/>
  <c r="IF51"/>
  <c r="IG51"/>
  <c r="IH51"/>
  <c r="II51"/>
  <c r="IJ51"/>
  <c r="IK51"/>
  <c r="IL51"/>
  <c r="IM51"/>
  <c r="IN51"/>
  <c r="IO51"/>
  <c r="IP51"/>
  <c r="IQ51"/>
  <c r="IR51"/>
  <c r="IS51"/>
  <c r="IT51"/>
  <c r="IU51"/>
  <c r="IV51"/>
  <c r="A50"/>
  <c r="B50"/>
  <c r="C50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AJ50"/>
  <c r="AK50"/>
  <c r="AL50"/>
  <c r="AM50"/>
  <c r="AN50"/>
  <c r="AO50"/>
  <c r="AP50"/>
  <c r="AQ50"/>
  <c r="AR50"/>
  <c r="AS50"/>
  <c r="AT50"/>
  <c r="AU50"/>
  <c r="AV50"/>
  <c r="AW50"/>
  <c r="AX50"/>
  <c r="AY50"/>
  <c r="AZ50"/>
  <c r="BA50"/>
  <c r="BB50"/>
  <c r="BC50"/>
  <c r="BD50"/>
  <c r="BE50"/>
  <c r="BF50"/>
  <c r="BG50"/>
  <c r="BH50"/>
  <c r="BI50"/>
  <c r="BJ50"/>
  <c r="BK50"/>
  <c r="BL50"/>
  <c r="BM50"/>
  <c r="BN50"/>
  <c r="BO50"/>
  <c r="BP50"/>
  <c r="BQ50"/>
  <c r="BR50"/>
  <c r="BS50"/>
  <c r="BT50"/>
  <c r="BU50"/>
  <c r="BV50"/>
  <c r="BW50"/>
  <c r="BX50"/>
  <c r="BY50"/>
  <c r="BZ50"/>
  <c r="CA50"/>
  <c r="CB50"/>
  <c r="CC50"/>
  <c r="CD50"/>
  <c r="CE50"/>
  <c r="CF50"/>
  <c r="CG50"/>
  <c r="CH50"/>
  <c r="CI50"/>
  <c r="CJ50"/>
  <c r="CK50"/>
  <c r="CL50"/>
  <c r="CM50"/>
  <c r="CN50"/>
  <c r="CO50"/>
  <c r="CP50"/>
  <c r="CQ50"/>
  <c r="CR50"/>
  <c r="CS50"/>
  <c r="CT50"/>
  <c r="CU50"/>
  <c r="CV50"/>
  <c r="CW50"/>
  <c r="CX50"/>
  <c r="CY50"/>
  <c r="CZ50"/>
  <c r="DA50"/>
  <c r="DB50"/>
  <c r="DC50"/>
  <c r="DD50"/>
  <c r="DE50"/>
  <c r="DF50"/>
  <c r="DG50"/>
  <c r="DH50"/>
  <c r="DI50"/>
  <c r="DJ50"/>
  <c r="DK50"/>
  <c r="DL50"/>
  <c r="DM50"/>
  <c r="DN50"/>
  <c r="DO50"/>
  <c r="DP50"/>
  <c r="DQ50"/>
  <c r="DR50"/>
  <c r="DS50"/>
  <c r="DT50"/>
  <c r="DU50"/>
  <c r="DV50"/>
  <c r="DW50"/>
  <c r="DX50"/>
  <c r="DY50"/>
  <c r="DZ50"/>
  <c r="EA50"/>
  <c r="EB50"/>
  <c r="EC50"/>
  <c r="ED50"/>
  <c r="EE50"/>
  <c r="EF50"/>
  <c r="EG50"/>
  <c r="EH50"/>
  <c r="EI50"/>
  <c r="EJ50"/>
  <c r="EK50"/>
  <c r="EL50"/>
  <c r="EM50"/>
  <c r="EN50"/>
  <c r="EO50"/>
  <c r="EP50"/>
  <c r="EQ50"/>
  <c r="ER50"/>
  <c r="ES50"/>
  <c r="ET50"/>
  <c r="EU50"/>
  <c r="EV50"/>
  <c r="EW50"/>
  <c r="EX50"/>
  <c r="EY50"/>
  <c r="EZ50"/>
  <c r="FA50"/>
  <c r="FB50"/>
  <c r="FC50"/>
  <c r="FD50"/>
  <c r="FE50"/>
  <c r="FF50"/>
  <c r="FG50"/>
  <c r="FH50"/>
  <c r="FI50"/>
  <c r="FJ50"/>
  <c r="FK50"/>
  <c r="FL50"/>
  <c r="FM50"/>
  <c r="FN50"/>
  <c r="FO50"/>
  <c r="FP50"/>
  <c r="FQ50"/>
  <c r="FR50"/>
  <c r="FS50"/>
  <c r="FT50"/>
  <c r="FU50"/>
  <c r="FV50"/>
  <c r="FW50"/>
  <c r="FX50"/>
  <c r="FY50"/>
  <c r="FZ50"/>
  <c r="GA50"/>
  <c r="GB50"/>
  <c r="GC50"/>
  <c r="GD50"/>
  <c r="GE50"/>
  <c r="GF50"/>
  <c r="GG50"/>
  <c r="GH50"/>
  <c r="GI50"/>
  <c r="GJ50"/>
  <c r="GK50"/>
  <c r="GL50"/>
  <c r="GM50"/>
  <c r="GN50"/>
  <c r="GO50"/>
  <c r="GP50"/>
  <c r="GQ50"/>
  <c r="GR50"/>
  <c r="GS50"/>
  <c r="GT50"/>
  <c r="GU50"/>
  <c r="GV50"/>
  <c r="GW50"/>
  <c r="GX50"/>
  <c r="GY50"/>
  <c r="GZ50"/>
  <c r="HA50"/>
  <c r="HB50"/>
  <c r="HC50"/>
  <c r="HD50"/>
  <c r="HE50"/>
  <c r="HF50"/>
  <c r="HG50"/>
  <c r="HH50"/>
  <c r="HI50"/>
  <c r="HJ50"/>
  <c r="HK50"/>
  <c r="HL50"/>
  <c r="HM50"/>
  <c r="HN50"/>
  <c r="HO50"/>
  <c r="HP50"/>
  <c r="HQ50"/>
  <c r="HR50"/>
  <c r="HS50"/>
  <c r="HT50"/>
  <c r="HU50"/>
  <c r="HV50"/>
  <c r="HW50"/>
  <c r="HX50"/>
  <c r="HY50"/>
  <c r="HZ50"/>
  <c r="IA50"/>
  <c r="IB50"/>
  <c r="IC50"/>
  <c r="ID50"/>
  <c r="IE50"/>
  <c r="IF50"/>
  <c r="IG50"/>
  <c r="IH50"/>
  <c r="II50"/>
  <c r="IJ50"/>
  <c r="IK50"/>
  <c r="IL50"/>
  <c r="IM50"/>
  <c r="IN50"/>
  <c r="IO50"/>
  <c r="IP50"/>
  <c r="IQ50"/>
  <c r="IR50"/>
  <c r="IS50"/>
  <c r="IT50"/>
  <c r="IU50"/>
  <c r="IV50"/>
  <c r="A49"/>
  <c r="B49"/>
  <c r="C49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AQ49"/>
  <c r="AR49"/>
  <c r="AS49"/>
  <c r="AT49"/>
  <c r="AU49"/>
  <c r="AV49"/>
  <c r="AW49"/>
  <c r="AX49"/>
  <c r="AY49"/>
  <c r="AZ49"/>
  <c r="BA49"/>
  <c r="BB49"/>
  <c r="BC49"/>
  <c r="BD49"/>
  <c r="BE49"/>
  <c r="BF49"/>
  <c r="BG49"/>
  <c r="BH49"/>
  <c r="BI49"/>
  <c r="BJ49"/>
  <c r="BK49"/>
  <c r="BL49"/>
  <c r="BM49"/>
  <c r="BN49"/>
  <c r="BO49"/>
  <c r="BP49"/>
  <c r="BQ49"/>
  <c r="BR49"/>
  <c r="BS49"/>
  <c r="BT49"/>
  <c r="BU49"/>
  <c r="BV49"/>
  <c r="BW49"/>
  <c r="BX49"/>
  <c r="BY49"/>
  <c r="BZ49"/>
  <c r="CA49"/>
  <c r="CB49"/>
  <c r="CC49"/>
  <c r="CD49"/>
  <c r="CE49"/>
  <c r="CF49"/>
  <c r="CG49"/>
  <c r="CH49"/>
  <c r="CI49"/>
  <c r="CJ49"/>
  <c r="CK49"/>
  <c r="CL49"/>
  <c r="CM49"/>
  <c r="CN49"/>
  <c r="CO49"/>
  <c r="CP49"/>
  <c r="CQ49"/>
  <c r="CR49"/>
  <c r="CS49"/>
  <c r="CT49"/>
  <c r="CU49"/>
  <c r="CV49"/>
  <c r="CW49"/>
  <c r="CX49"/>
  <c r="CY49"/>
  <c r="CZ49"/>
  <c r="DA49"/>
  <c r="DB49"/>
  <c r="DC49"/>
  <c r="DD49"/>
  <c r="DE49"/>
  <c r="DF49"/>
  <c r="DG49"/>
  <c r="DH49"/>
  <c r="DI49"/>
  <c r="DJ49"/>
  <c r="DK49"/>
  <c r="DL49"/>
  <c r="DM49"/>
  <c r="DN49"/>
  <c r="DO49"/>
  <c r="DP49"/>
  <c r="DQ49"/>
  <c r="DR49"/>
  <c r="DS49"/>
  <c r="DT49"/>
  <c r="DU49"/>
  <c r="DV49"/>
  <c r="DW49"/>
  <c r="DX49"/>
  <c r="DY49"/>
  <c r="DZ49"/>
  <c r="EA49"/>
  <c r="EB49"/>
  <c r="EC49"/>
  <c r="ED49"/>
  <c r="EE49"/>
  <c r="EF49"/>
  <c r="EG49"/>
  <c r="EH49"/>
  <c r="EI49"/>
  <c r="EJ49"/>
  <c r="EK49"/>
  <c r="EL49"/>
  <c r="EM49"/>
  <c r="EN49"/>
  <c r="EO49"/>
  <c r="EP49"/>
  <c r="EQ49"/>
  <c r="ER49"/>
  <c r="ES49"/>
  <c r="ET49"/>
  <c r="EU49"/>
  <c r="EV49"/>
  <c r="EW49"/>
  <c r="EX49"/>
  <c r="EY49"/>
  <c r="EZ49"/>
  <c r="FA49"/>
  <c r="FB49"/>
  <c r="FC49"/>
  <c r="FD49"/>
  <c r="FE49"/>
  <c r="FF49"/>
  <c r="FG49"/>
  <c r="FH49"/>
  <c r="FI49"/>
  <c r="FJ49"/>
  <c r="FK49"/>
  <c r="FL49"/>
  <c r="FM49"/>
  <c r="FN49"/>
  <c r="FO49"/>
  <c r="FP49"/>
  <c r="FQ49"/>
  <c r="FR49"/>
  <c r="FS49"/>
  <c r="FT49"/>
  <c r="FU49"/>
  <c r="FV49"/>
  <c r="FW49"/>
  <c r="FX49"/>
  <c r="FY49"/>
  <c r="FZ49"/>
  <c r="GA49"/>
  <c r="GB49"/>
  <c r="GC49"/>
  <c r="GD49"/>
  <c r="GE49"/>
  <c r="GF49"/>
  <c r="GG49"/>
  <c r="GH49"/>
  <c r="GI49"/>
  <c r="GJ49"/>
  <c r="GK49"/>
  <c r="GL49"/>
  <c r="GM49"/>
  <c r="GN49"/>
  <c r="GO49"/>
  <c r="GP49"/>
  <c r="GQ49"/>
  <c r="GR49"/>
  <c r="GS49"/>
  <c r="GT49"/>
  <c r="GU49"/>
  <c r="GV49"/>
  <c r="GW49"/>
  <c r="GX49"/>
  <c r="GY49"/>
  <c r="GZ49"/>
  <c r="HA49"/>
  <c r="HB49"/>
  <c r="HC49"/>
  <c r="HD49"/>
  <c r="HE49"/>
  <c r="HF49"/>
  <c r="HG49"/>
  <c r="HH49"/>
  <c r="HI49"/>
  <c r="HJ49"/>
  <c r="HK49"/>
  <c r="HL49"/>
  <c r="HM49"/>
  <c r="HN49"/>
  <c r="HO49"/>
  <c r="HP49"/>
  <c r="HQ49"/>
  <c r="HR49"/>
  <c r="HS49"/>
  <c r="HT49"/>
  <c r="HU49"/>
  <c r="HV49"/>
  <c r="HW49"/>
  <c r="HX49"/>
  <c r="HY49"/>
  <c r="HZ49"/>
  <c r="IA49"/>
  <c r="IB49"/>
  <c r="IC49"/>
  <c r="ID49"/>
  <c r="IE49"/>
  <c r="IF49"/>
  <c r="IG49"/>
  <c r="IH49"/>
  <c r="II49"/>
  <c r="IJ49"/>
  <c r="IK49"/>
  <c r="IL49"/>
  <c r="IM49"/>
  <c r="IN49"/>
  <c r="IO49"/>
  <c r="IP49"/>
  <c r="IQ49"/>
  <c r="IR49"/>
  <c r="IS49"/>
  <c r="IT49"/>
  <c r="IU49"/>
  <c r="IV49"/>
  <c r="A48"/>
  <c r="B48"/>
  <c r="C48"/>
  <c r="D48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Z48"/>
  <c r="AA48"/>
  <c r="AB48"/>
  <c r="AC48"/>
  <c r="AD48"/>
  <c r="AE48"/>
  <c r="AF48"/>
  <c r="AG48"/>
  <c r="AH48"/>
  <c r="AI48"/>
  <c r="AJ48"/>
  <c r="AK48"/>
  <c r="AL48"/>
  <c r="AM48"/>
  <c r="AN48"/>
  <c r="AO48"/>
  <c r="AP48"/>
  <c r="AQ48"/>
  <c r="AR48"/>
  <c r="AS48"/>
  <c r="AT48"/>
  <c r="AU48"/>
  <c r="AV48"/>
  <c r="AW48"/>
  <c r="AX48"/>
  <c r="AY48"/>
  <c r="AZ48"/>
  <c r="BA48"/>
  <c r="BB48"/>
  <c r="BC48"/>
  <c r="BD48"/>
  <c r="BE48"/>
  <c r="BF48"/>
  <c r="BG48"/>
  <c r="BH48"/>
  <c r="BI48"/>
  <c r="BJ48"/>
  <c r="BK48"/>
  <c r="BL48"/>
  <c r="BM48"/>
  <c r="BN48"/>
  <c r="BO48"/>
  <c r="BP48"/>
  <c r="BQ48"/>
  <c r="BR48"/>
  <c r="BS48"/>
  <c r="BT48"/>
  <c r="BU48"/>
  <c r="BV48"/>
  <c r="BW48"/>
  <c r="BX48"/>
  <c r="BY48"/>
  <c r="BZ48"/>
  <c r="CA48"/>
  <c r="CB48"/>
  <c r="CC48"/>
  <c r="CD48"/>
  <c r="CE48"/>
  <c r="CF48"/>
  <c r="CG48"/>
  <c r="CH48"/>
  <c r="CI48"/>
  <c r="CJ48"/>
  <c r="CK48"/>
  <c r="CL48"/>
  <c r="CM48"/>
  <c r="CN48"/>
  <c r="CO48"/>
  <c r="CP48"/>
  <c r="CQ48"/>
  <c r="CR48"/>
  <c r="CS48"/>
  <c r="CT48"/>
  <c r="CU48"/>
  <c r="CV48"/>
  <c r="CW48"/>
  <c r="CX48"/>
  <c r="CY48"/>
  <c r="CZ48"/>
  <c r="DA48"/>
  <c r="DB48"/>
  <c r="DC48"/>
  <c r="DD48"/>
  <c r="DE48"/>
  <c r="DF48"/>
  <c r="DG48"/>
  <c r="DH48"/>
  <c r="DI48"/>
  <c r="DJ48"/>
  <c r="DK48"/>
  <c r="DL48"/>
  <c r="DM48"/>
  <c r="DN48"/>
  <c r="DO48"/>
  <c r="DP48"/>
  <c r="DQ48"/>
  <c r="DR48"/>
  <c r="DS48"/>
  <c r="DT48"/>
  <c r="DU48"/>
  <c r="DV48"/>
  <c r="DW48"/>
  <c r="DX48"/>
  <c r="DY48"/>
  <c r="DZ48"/>
  <c r="EA48"/>
  <c r="EB48"/>
  <c r="EC48"/>
  <c r="ED48"/>
  <c r="EE48"/>
  <c r="EF48"/>
  <c r="EG48"/>
  <c r="EH48"/>
  <c r="EI48"/>
  <c r="EJ48"/>
  <c r="EK48"/>
  <c r="EL48"/>
  <c r="EM48"/>
  <c r="EN48"/>
  <c r="EO48"/>
  <c r="EP48"/>
  <c r="EQ48"/>
  <c r="ER48"/>
  <c r="ES48"/>
  <c r="ET48"/>
  <c r="EU48"/>
  <c r="EV48"/>
  <c r="EW48"/>
  <c r="EX48"/>
  <c r="EY48"/>
  <c r="EZ48"/>
  <c r="FA48"/>
  <c r="FB48"/>
  <c r="FC48"/>
  <c r="FD48"/>
  <c r="FE48"/>
  <c r="FF48"/>
  <c r="FG48"/>
  <c r="FH48"/>
  <c r="FI48"/>
  <c r="FJ48"/>
  <c r="FK48"/>
  <c r="FL48"/>
  <c r="FM48"/>
  <c r="FN48"/>
  <c r="FO48"/>
  <c r="FP48"/>
  <c r="FQ48"/>
  <c r="FR48"/>
  <c r="FS48"/>
  <c r="FT48"/>
  <c r="FU48"/>
  <c r="FV48"/>
  <c r="FW48"/>
  <c r="FX48"/>
  <c r="FY48"/>
  <c r="FZ48"/>
  <c r="GA48"/>
  <c r="GB48"/>
  <c r="GC48"/>
  <c r="GD48"/>
  <c r="GE48"/>
  <c r="GF48"/>
  <c r="GG48"/>
  <c r="GH48"/>
  <c r="GI48"/>
  <c r="GJ48"/>
  <c r="GK48"/>
  <c r="GL48"/>
  <c r="GM48"/>
  <c r="GN48"/>
  <c r="GO48"/>
  <c r="GP48"/>
  <c r="GQ48"/>
  <c r="GR48"/>
  <c r="GS48"/>
  <c r="GT48"/>
  <c r="GU48"/>
  <c r="GV48"/>
  <c r="GW48"/>
  <c r="GX48"/>
  <c r="GY48"/>
  <c r="GZ48"/>
  <c r="HA48"/>
  <c r="HB48"/>
  <c r="HC48"/>
  <c r="HD48"/>
  <c r="HE48"/>
  <c r="HF48"/>
  <c r="HG48"/>
  <c r="HH48"/>
  <c r="HI48"/>
  <c r="HJ48"/>
  <c r="HK48"/>
  <c r="HL48"/>
  <c r="HM48"/>
  <c r="HN48"/>
  <c r="HO48"/>
  <c r="HP48"/>
  <c r="HQ48"/>
  <c r="HR48"/>
  <c r="HS48"/>
  <c r="HT48"/>
  <c r="HU48"/>
  <c r="HV48"/>
  <c r="HW48"/>
  <c r="HX48"/>
  <c r="HY48"/>
  <c r="HZ48"/>
  <c r="IA48"/>
  <c r="IB48"/>
  <c r="IC48"/>
  <c r="ID48"/>
  <c r="IE48"/>
  <c r="IF48"/>
  <c r="IG48"/>
  <c r="IH48"/>
  <c r="II48"/>
  <c r="IJ48"/>
  <c r="IK48"/>
  <c r="IL48"/>
  <c r="IM48"/>
  <c r="IN48"/>
  <c r="IO48"/>
  <c r="IP48"/>
  <c r="IQ48"/>
  <c r="IR48"/>
  <c r="IS48"/>
  <c r="IT48"/>
  <c r="IU48"/>
  <c r="IV48"/>
  <c r="A47"/>
  <c r="B47"/>
  <c r="C47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AK47"/>
  <c r="AL47"/>
  <c r="AM47"/>
  <c r="AN47"/>
  <c r="AO47"/>
  <c r="AP47"/>
  <c r="AQ47"/>
  <c r="AR47"/>
  <c r="AS47"/>
  <c r="AT47"/>
  <c r="AU47"/>
  <c r="AV47"/>
  <c r="AW47"/>
  <c r="AX47"/>
  <c r="AY47"/>
  <c r="AZ47"/>
  <c r="BA47"/>
  <c r="BB47"/>
  <c r="BC47"/>
  <c r="BD47"/>
  <c r="BE47"/>
  <c r="BF47"/>
  <c r="BG47"/>
  <c r="BH47"/>
  <c r="BI47"/>
  <c r="BJ47"/>
  <c r="BK47"/>
  <c r="BL47"/>
  <c r="BM47"/>
  <c r="BN47"/>
  <c r="BO47"/>
  <c r="BP47"/>
  <c r="BQ47"/>
  <c r="BR47"/>
  <c r="BS47"/>
  <c r="BT47"/>
  <c r="BU47"/>
  <c r="BV47"/>
  <c r="BW47"/>
  <c r="BX47"/>
  <c r="BY47"/>
  <c r="BZ47"/>
  <c r="CA47"/>
  <c r="CB47"/>
  <c r="CC47"/>
  <c r="CD47"/>
  <c r="CE47"/>
  <c r="CF47"/>
  <c r="CG47"/>
  <c r="CH47"/>
  <c r="CI47"/>
  <c r="CJ47"/>
  <c r="CK47"/>
  <c r="CL47"/>
  <c r="CM47"/>
  <c r="CN47"/>
  <c r="CO47"/>
  <c r="CP47"/>
  <c r="CQ47"/>
  <c r="CR47"/>
  <c r="CS47"/>
  <c r="CT47"/>
  <c r="CU47"/>
  <c r="CV47"/>
  <c r="CW47"/>
  <c r="CX47"/>
  <c r="CY47"/>
  <c r="CZ47"/>
  <c r="DA47"/>
  <c r="DB47"/>
  <c r="DC47"/>
  <c r="DD47"/>
  <c r="DE47"/>
  <c r="DF47"/>
  <c r="DG47"/>
  <c r="DH47"/>
  <c r="DI47"/>
  <c r="DJ47"/>
  <c r="DK47"/>
  <c r="DL47"/>
  <c r="DM47"/>
  <c r="DN47"/>
  <c r="DO47"/>
  <c r="DP47"/>
  <c r="DQ47"/>
  <c r="DR47"/>
  <c r="DS47"/>
  <c r="DT47"/>
  <c r="DU47"/>
  <c r="DV47"/>
  <c r="DW47"/>
  <c r="DX47"/>
  <c r="DY47"/>
  <c r="DZ47"/>
  <c r="EA47"/>
  <c r="EB47"/>
  <c r="EC47"/>
  <c r="ED47"/>
  <c r="EE47"/>
  <c r="EF47"/>
  <c r="EG47"/>
  <c r="EH47"/>
  <c r="EI47"/>
  <c r="EJ47"/>
  <c r="EK47"/>
  <c r="EL47"/>
  <c r="EM47"/>
  <c r="EN47"/>
  <c r="EO47"/>
  <c r="EP47"/>
  <c r="EQ47"/>
  <c r="ER47"/>
  <c r="ES47"/>
  <c r="ET47"/>
  <c r="EU47"/>
  <c r="EV47"/>
  <c r="EW47"/>
  <c r="EX47"/>
  <c r="EY47"/>
  <c r="EZ47"/>
  <c r="FA47"/>
  <c r="FB47"/>
  <c r="FC47"/>
  <c r="FD47"/>
  <c r="FE47"/>
  <c r="FF47"/>
  <c r="FG47"/>
  <c r="FH47"/>
  <c r="FI47"/>
  <c r="FJ47"/>
  <c r="FK47"/>
  <c r="FL47"/>
  <c r="FM47"/>
  <c r="FN47"/>
  <c r="FO47"/>
  <c r="FP47"/>
  <c r="FQ47"/>
  <c r="FR47"/>
  <c r="FS47"/>
  <c r="FT47"/>
  <c r="FU47"/>
  <c r="FV47"/>
  <c r="FW47"/>
  <c r="FX47"/>
  <c r="FY47"/>
  <c r="FZ47"/>
  <c r="GA47"/>
  <c r="GB47"/>
  <c r="GC47"/>
  <c r="GD47"/>
  <c r="GE47"/>
  <c r="GF47"/>
  <c r="GG47"/>
  <c r="GH47"/>
  <c r="GI47"/>
  <c r="GJ47"/>
  <c r="GK47"/>
  <c r="GL47"/>
  <c r="GM47"/>
  <c r="GN47"/>
  <c r="GO47"/>
  <c r="GP47"/>
  <c r="GQ47"/>
  <c r="GR47"/>
  <c r="GS47"/>
  <c r="GT47"/>
  <c r="GU47"/>
  <c r="GV47"/>
  <c r="GW47"/>
  <c r="GX47"/>
  <c r="GY47"/>
  <c r="GZ47"/>
  <c r="HA47"/>
  <c r="HB47"/>
  <c r="HC47"/>
  <c r="HD47"/>
  <c r="HE47"/>
  <c r="HF47"/>
  <c r="HG47"/>
  <c r="HH47"/>
  <c r="HI47"/>
  <c r="HJ47"/>
  <c r="HK47"/>
  <c r="HL47"/>
  <c r="HM47"/>
  <c r="HN47"/>
  <c r="HO47"/>
  <c r="HP47"/>
  <c r="HQ47"/>
  <c r="HR47"/>
  <c r="HS47"/>
  <c r="HT47"/>
  <c r="HU47"/>
  <c r="HV47"/>
  <c r="HW47"/>
  <c r="HX47"/>
  <c r="HY47"/>
  <c r="HZ47"/>
  <c r="IA47"/>
  <c r="IB47"/>
  <c r="IC47"/>
  <c r="ID47"/>
  <c r="IE47"/>
  <c r="IF47"/>
  <c r="IG47"/>
  <c r="IH47"/>
  <c r="II47"/>
  <c r="IJ47"/>
  <c r="IK47"/>
  <c r="IL47"/>
  <c r="IM47"/>
  <c r="IN47"/>
  <c r="IO47"/>
  <c r="IP47"/>
  <c r="IQ47"/>
  <c r="IR47"/>
  <c r="IS47"/>
  <c r="IT47"/>
  <c r="IU47"/>
  <c r="IV47"/>
  <c r="A46"/>
  <c r="B46"/>
  <c r="C46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AL46"/>
  <c r="AM46"/>
  <c r="AN46"/>
  <c r="AO46"/>
  <c r="AP46"/>
  <c r="AQ46"/>
  <c r="AR46"/>
  <c r="AS46"/>
  <c r="AT46"/>
  <c r="AU46"/>
  <c r="AV46"/>
  <c r="AW46"/>
  <c r="AX46"/>
  <c r="AY46"/>
  <c r="AZ46"/>
  <c r="BA46"/>
  <c r="BB46"/>
  <c r="BC46"/>
  <c r="BD46"/>
  <c r="BE46"/>
  <c r="BF46"/>
  <c r="BG46"/>
  <c r="BH46"/>
  <c r="BI46"/>
  <c r="BJ46"/>
  <c r="BK46"/>
  <c r="BL46"/>
  <c r="BM46"/>
  <c r="BN46"/>
  <c r="BO46"/>
  <c r="BP46"/>
  <c r="BQ46"/>
  <c r="BR46"/>
  <c r="BS46"/>
  <c r="BT46"/>
  <c r="BU46"/>
  <c r="BV46"/>
  <c r="BW46"/>
  <c r="BX46"/>
  <c r="BY46"/>
  <c r="BZ46"/>
  <c r="CA46"/>
  <c r="CB46"/>
  <c r="CC46"/>
  <c r="CD46"/>
  <c r="CE46"/>
  <c r="CF46"/>
  <c r="CG46"/>
  <c r="CH46"/>
  <c r="CI46"/>
  <c r="CJ46"/>
  <c r="CK46"/>
  <c r="CL46"/>
  <c r="CM46"/>
  <c r="CN46"/>
  <c r="CO46"/>
  <c r="CP46"/>
  <c r="CQ46"/>
  <c r="CR46"/>
  <c r="CS46"/>
  <c r="CT46"/>
  <c r="CU46"/>
  <c r="CV46"/>
  <c r="CW46"/>
  <c r="CX46"/>
  <c r="CY46"/>
  <c r="CZ46"/>
  <c r="DA46"/>
  <c r="DB46"/>
  <c r="DC46"/>
  <c r="DD46"/>
  <c r="DE46"/>
  <c r="DF46"/>
  <c r="DG46"/>
  <c r="DH46"/>
  <c r="DI46"/>
  <c r="DJ46"/>
  <c r="DK46"/>
  <c r="DL46"/>
  <c r="DM46"/>
  <c r="DN46"/>
  <c r="DO46"/>
  <c r="DP46"/>
  <c r="DQ46"/>
  <c r="DR46"/>
  <c r="DS46"/>
  <c r="DT46"/>
  <c r="DU46"/>
  <c r="DV46"/>
  <c r="DW46"/>
  <c r="DX46"/>
  <c r="DY46"/>
  <c r="DZ46"/>
  <c r="EA46"/>
  <c r="EB46"/>
  <c r="EC46"/>
  <c r="ED46"/>
  <c r="EE46"/>
  <c r="EF46"/>
  <c r="EG46"/>
  <c r="EH46"/>
  <c r="EI46"/>
  <c r="EJ46"/>
  <c r="EK46"/>
  <c r="EL46"/>
  <c r="EM46"/>
  <c r="EN46"/>
  <c r="EO46"/>
  <c r="EP46"/>
  <c r="EQ46"/>
  <c r="ER46"/>
  <c r="ES46"/>
  <c r="ET46"/>
  <c r="EU46"/>
  <c r="EV46"/>
  <c r="EW46"/>
  <c r="EX46"/>
  <c r="EY46"/>
  <c r="EZ46"/>
  <c r="FA46"/>
  <c r="FB46"/>
  <c r="FC46"/>
  <c r="FD46"/>
  <c r="FE46"/>
  <c r="FF46"/>
  <c r="FG46"/>
  <c r="FH46"/>
  <c r="FI46"/>
  <c r="FJ46"/>
  <c r="FK46"/>
  <c r="FL46"/>
  <c r="FM46"/>
  <c r="FN46"/>
  <c r="FO46"/>
  <c r="FP46"/>
  <c r="FQ46"/>
  <c r="FR46"/>
  <c r="FS46"/>
  <c r="FT46"/>
  <c r="FU46"/>
  <c r="FV46"/>
  <c r="FW46"/>
  <c r="FX46"/>
  <c r="FY46"/>
  <c r="FZ46"/>
  <c r="GA46"/>
  <c r="GB46"/>
  <c r="GC46"/>
  <c r="GD46"/>
  <c r="GE46"/>
  <c r="GF46"/>
  <c r="GG46"/>
  <c r="GH46"/>
  <c r="GI46"/>
  <c r="GJ46"/>
  <c r="GK46"/>
  <c r="GL46"/>
  <c r="GM46"/>
  <c r="GN46"/>
  <c r="GO46"/>
  <c r="GP46"/>
  <c r="GQ46"/>
  <c r="GR46"/>
  <c r="GS46"/>
  <c r="GT46"/>
  <c r="GU46"/>
  <c r="GV46"/>
  <c r="GW46"/>
  <c r="GX46"/>
  <c r="GY46"/>
  <c r="GZ46"/>
  <c r="HA46"/>
  <c r="HB46"/>
  <c r="HC46"/>
  <c r="HD46"/>
  <c r="HE46"/>
  <c r="HF46"/>
  <c r="HG46"/>
  <c r="HH46"/>
  <c r="HI46"/>
  <c r="HJ46"/>
  <c r="HK46"/>
  <c r="HL46"/>
  <c r="HM46"/>
  <c r="HN46"/>
  <c r="HO46"/>
  <c r="HP46"/>
  <c r="HQ46"/>
  <c r="HR46"/>
  <c r="HS46"/>
  <c r="HT46"/>
  <c r="HU46"/>
  <c r="HV46"/>
  <c r="HW46"/>
  <c r="HX46"/>
  <c r="HY46"/>
  <c r="HZ46"/>
  <c r="IA46"/>
  <c r="IB46"/>
  <c r="IC46"/>
  <c r="ID46"/>
  <c r="IE46"/>
  <c r="IF46"/>
  <c r="IG46"/>
  <c r="IH46"/>
  <c r="II46"/>
  <c r="IJ46"/>
  <c r="IK46"/>
  <c r="IL46"/>
  <c r="IM46"/>
  <c r="IN46"/>
  <c r="IO46"/>
  <c r="IP46"/>
  <c r="IQ46"/>
  <c r="IR46"/>
  <c r="IS46"/>
  <c r="IT46"/>
  <c r="IU46"/>
  <c r="IV46"/>
  <c r="A45"/>
  <c r="B45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AQ45"/>
  <c r="AR45"/>
  <c r="AS45"/>
  <c r="AT45"/>
  <c r="AU45"/>
  <c r="AV45"/>
  <c r="AW45"/>
  <c r="AX45"/>
  <c r="AY45"/>
  <c r="AZ45"/>
  <c r="BA45"/>
  <c r="BB45"/>
  <c r="BC45"/>
  <c r="BD45"/>
  <c r="BE45"/>
  <c r="BF45"/>
  <c r="BG45"/>
  <c r="BH45"/>
  <c r="BI45"/>
  <c r="BJ45"/>
  <c r="BK45"/>
  <c r="BL45"/>
  <c r="BM45"/>
  <c r="BN45"/>
  <c r="BO45"/>
  <c r="BP45"/>
  <c r="BQ45"/>
  <c r="BR45"/>
  <c r="BS45"/>
  <c r="BT45"/>
  <c r="BU45"/>
  <c r="BV45"/>
  <c r="BW45"/>
  <c r="BX45"/>
  <c r="BY45"/>
  <c r="BZ45"/>
  <c r="CA45"/>
  <c r="CB45"/>
  <c r="CC45"/>
  <c r="CD45"/>
  <c r="CE45"/>
  <c r="CF45"/>
  <c r="CG45"/>
  <c r="CH45"/>
  <c r="CI45"/>
  <c r="CJ45"/>
  <c r="CK45"/>
  <c r="CL45"/>
  <c r="CM45"/>
  <c r="CN45"/>
  <c r="CO45"/>
  <c r="CP45"/>
  <c r="CQ45"/>
  <c r="CR45"/>
  <c r="CS45"/>
  <c r="CT45"/>
  <c r="CU45"/>
  <c r="CV45"/>
  <c r="CW45"/>
  <c r="CX45"/>
  <c r="CY45"/>
  <c r="CZ45"/>
  <c r="DA45"/>
  <c r="DB45"/>
  <c r="DC45"/>
  <c r="DD45"/>
  <c r="DE45"/>
  <c r="DF45"/>
  <c r="DG45"/>
  <c r="DH45"/>
  <c r="DI45"/>
  <c r="DJ45"/>
  <c r="DK45"/>
  <c r="DL45"/>
  <c r="DM45"/>
  <c r="DN45"/>
  <c r="DO45"/>
  <c r="DP45"/>
  <c r="DQ45"/>
  <c r="DR45"/>
  <c r="DS45"/>
  <c r="DT45"/>
  <c r="DU45"/>
  <c r="DV45"/>
  <c r="DW45"/>
  <c r="DX45"/>
  <c r="DY45"/>
  <c r="DZ45"/>
  <c r="EA45"/>
  <c r="EB45"/>
  <c r="EC45"/>
  <c r="ED45"/>
  <c r="EE45"/>
  <c r="EF45"/>
  <c r="EG45"/>
  <c r="EH45"/>
  <c r="EI45"/>
  <c r="EJ45"/>
  <c r="EK45"/>
  <c r="EL45"/>
  <c r="EM45"/>
  <c r="EN45"/>
  <c r="EO45"/>
  <c r="EP45"/>
  <c r="EQ45"/>
  <c r="ER45"/>
  <c r="ES45"/>
  <c r="ET45"/>
  <c r="EU45"/>
  <c r="EV45"/>
  <c r="EW45"/>
  <c r="EX45"/>
  <c r="EY45"/>
  <c r="EZ45"/>
  <c r="FA45"/>
  <c r="FB45"/>
  <c r="FC45"/>
  <c r="FD45"/>
  <c r="FE45"/>
  <c r="FF45"/>
  <c r="FG45"/>
  <c r="FH45"/>
  <c r="FI45"/>
  <c r="FJ45"/>
  <c r="FK45"/>
  <c r="FL45"/>
  <c r="FM45"/>
  <c r="FN45"/>
  <c r="FO45"/>
  <c r="FP45"/>
  <c r="FQ45"/>
  <c r="FR45"/>
  <c r="FS45"/>
  <c r="FT45"/>
  <c r="FU45"/>
  <c r="FV45"/>
  <c r="FW45"/>
  <c r="FX45"/>
  <c r="FY45"/>
  <c r="FZ45"/>
  <c r="GA45"/>
  <c r="GB45"/>
  <c r="GC45"/>
  <c r="GD45"/>
  <c r="GE45"/>
  <c r="GF45"/>
  <c r="GG45"/>
  <c r="GH45"/>
  <c r="GI45"/>
  <c r="GJ45"/>
  <c r="GK45"/>
  <c r="GL45"/>
  <c r="GM45"/>
  <c r="GN45"/>
  <c r="GO45"/>
  <c r="GP45"/>
  <c r="GQ45"/>
  <c r="GR45"/>
  <c r="GS45"/>
  <c r="GT45"/>
  <c r="GU45"/>
  <c r="GV45"/>
  <c r="GW45"/>
  <c r="GX45"/>
  <c r="GY45"/>
  <c r="GZ45"/>
  <c r="HA45"/>
  <c r="HB45"/>
  <c r="HC45"/>
  <c r="HD45"/>
  <c r="HE45"/>
  <c r="HF45"/>
  <c r="HG45"/>
  <c r="HH45"/>
  <c r="HI45"/>
  <c r="HJ45"/>
  <c r="HK45"/>
  <c r="HL45"/>
  <c r="HM45"/>
  <c r="HN45"/>
  <c r="HO45"/>
  <c r="HP45"/>
  <c r="HQ45"/>
  <c r="HR45"/>
  <c r="HS45"/>
  <c r="HT45"/>
  <c r="HU45"/>
  <c r="HV45"/>
  <c r="HW45"/>
  <c r="HX45"/>
  <c r="HY45"/>
  <c r="HZ45"/>
  <c r="IA45"/>
  <c r="IB45"/>
  <c r="IC45"/>
  <c r="ID45"/>
  <c r="IE45"/>
  <c r="IF45"/>
  <c r="IG45"/>
  <c r="IH45"/>
  <c r="II45"/>
  <c r="IJ45"/>
  <c r="IK45"/>
  <c r="IL45"/>
  <c r="IM45"/>
  <c r="IN45"/>
  <c r="IO45"/>
  <c r="IP45"/>
  <c r="IQ45"/>
  <c r="IR45"/>
  <c r="IS45"/>
  <c r="IT45"/>
  <c r="IU45"/>
  <c r="IV45"/>
  <c r="A44"/>
  <c r="B44"/>
  <c r="C44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AQ44"/>
  <c r="AR44"/>
  <c r="AS44"/>
  <c r="AT44"/>
  <c r="AU44"/>
  <c r="AV44"/>
  <c r="AW44"/>
  <c r="AX44"/>
  <c r="AY44"/>
  <c r="AZ44"/>
  <c r="BA44"/>
  <c r="BB44"/>
  <c r="BC44"/>
  <c r="BD44"/>
  <c r="BE44"/>
  <c r="BF44"/>
  <c r="BG44"/>
  <c r="BH44"/>
  <c r="BI44"/>
  <c r="BJ44"/>
  <c r="BK44"/>
  <c r="BL44"/>
  <c r="BM44"/>
  <c r="BN44"/>
  <c r="BO44"/>
  <c r="BP44"/>
  <c r="BQ44"/>
  <c r="BR44"/>
  <c r="BS44"/>
  <c r="BT44"/>
  <c r="BU44"/>
  <c r="BV44"/>
  <c r="BW44"/>
  <c r="BX44"/>
  <c r="BY44"/>
  <c r="BZ44"/>
  <c r="CA44"/>
  <c r="CB44"/>
  <c r="CC44"/>
  <c r="CD44"/>
  <c r="CE44"/>
  <c r="CF44"/>
  <c r="CG44"/>
  <c r="CH44"/>
  <c r="CI44"/>
  <c r="CJ44"/>
  <c r="CK44"/>
  <c r="CL44"/>
  <c r="CM44"/>
  <c r="CN44"/>
  <c r="CO44"/>
  <c r="CP44"/>
  <c r="CQ44"/>
  <c r="CR44"/>
  <c r="CS44"/>
  <c r="CT44"/>
  <c r="CU44"/>
  <c r="CV44"/>
  <c r="CW44"/>
  <c r="CX44"/>
  <c r="CY44"/>
  <c r="CZ44"/>
  <c r="DA44"/>
  <c r="DB44"/>
  <c r="DC44"/>
  <c r="DD44"/>
  <c r="DE44"/>
  <c r="DF44"/>
  <c r="DG44"/>
  <c r="DH44"/>
  <c r="DI44"/>
  <c r="DJ44"/>
  <c r="DK44"/>
  <c r="DL44"/>
  <c r="DM44"/>
  <c r="DN44"/>
  <c r="DO44"/>
  <c r="DP44"/>
  <c r="DQ44"/>
  <c r="DR44"/>
  <c r="DS44"/>
  <c r="DT44"/>
  <c r="DU44"/>
  <c r="DV44"/>
  <c r="DW44"/>
  <c r="DX44"/>
  <c r="DY44"/>
  <c r="DZ44"/>
  <c r="EA44"/>
  <c r="EB44"/>
  <c r="EC44"/>
  <c r="ED44"/>
  <c r="EE44"/>
  <c r="EF44"/>
  <c r="EG44"/>
  <c r="EH44"/>
  <c r="EI44"/>
  <c r="EJ44"/>
  <c r="EK44"/>
  <c r="EL44"/>
  <c r="EM44"/>
  <c r="EN44"/>
  <c r="EO44"/>
  <c r="EP44"/>
  <c r="EQ44"/>
  <c r="ER44"/>
  <c r="ES44"/>
  <c r="ET44"/>
  <c r="EU44"/>
  <c r="EV44"/>
  <c r="EW44"/>
  <c r="EX44"/>
  <c r="EY44"/>
  <c r="EZ44"/>
  <c r="FA44"/>
  <c r="FB44"/>
  <c r="FC44"/>
  <c r="FD44"/>
  <c r="FE44"/>
  <c r="FF44"/>
  <c r="FG44"/>
  <c r="FH44"/>
  <c r="FI44"/>
  <c r="FJ44"/>
  <c r="FK44"/>
  <c r="FL44"/>
  <c r="FM44"/>
  <c r="FN44"/>
  <c r="FO44"/>
  <c r="FP44"/>
  <c r="FQ44"/>
  <c r="FR44"/>
  <c r="FS44"/>
  <c r="FT44"/>
  <c r="FU44"/>
  <c r="FV44"/>
  <c r="FW44"/>
  <c r="FX44"/>
  <c r="FY44"/>
  <c r="FZ44"/>
  <c r="GA44"/>
  <c r="GB44"/>
  <c r="GC44"/>
  <c r="GD44"/>
  <c r="GE44"/>
  <c r="GF44"/>
  <c r="GG44"/>
  <c r="GH44"/>
  <c r="GI44"/>
  <c r="GJ44"/>
  <c r="GK44"/>
  <c r="GL44"/>
  <c r="GM44"/>
  <c r="GN44"/>
  <c r="GO44"/>
  <c r="GP44"/>
  <c r="GQ44"/>
  <c r="GR44"/>
  <c r="GS44"/>
  <c r="GT44"/>
  <c r="GU44"/>
  <c r="GV44"/>
  <c r="GW44"/>
  <c r="GX44"/>
  <c r="GY44"/>
  <c r="GZ44"/>
  <c r="HA44"/>
  <c r="HB44"/>
  <c r="HC44"/>
  <c r="HD44"/>
  <c r="HE44"/>
  <c r="HF44"/>
  <c r="HG44"/>
  <c r="HH44"/>
  <c r="HI44"/>
  <c r="HJ44"/>
  <c r="HK44"/>
  <c r="HL44"/>
  <c r="HM44"/>
  <c r="HN44"/>
  <c r="HO44"/>
  <c r="HP44"/>
  <c r="HQ44"/>
  <c r="HR44"/>
  <c r="HS44"/>
  <c r="HT44"/>
  <c r="HU44"/>
  <c r="HV44"/>
  <c r="HW44"/>
  <c r="HX44"/>
  <c r="HY44"/>
  <c r="HZ44"/>
  <c r="IA44"/>
  <c r="IB44"/>
  <c r="IC44"/>
  <c r="ID44"/>
  <c r="IE44"/>
  <c r="IF44"/>
  <c r="IG44"/>
  <c r="IH44"/>
  <c r="II44"/>
  <c r="IJ44"/>
  <c r="IK44"/>
  <c r="IL44"/>
  <c r="IM44"/>
  <c r="IN44"/>
  <c r="IO44"/>
  <c r="IP44"/>
  <c r="IQ44"/>
  <c r="IR44"/>
  <c r="IS44"/>
  <c r="IT44"/>
  <c r="IU44"/>
  <c r="IV44"/>
  <c r="A43"/>
  <c r="B43"/>
  <c r="C43"/>
  <c r="D43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AN43"/>
  <c r="AO43"/>
  <c r="AP43"/>
  <c r="AQ43"/>
  <c r="AR43"/>
  <c r="AS43"/>
  <c r="AT43"/>
  <c r="AU43"/>
  <c r="AV43"/>
  <c r="AW43"/>
  <c r="AX43"/>
  <c r="AY43"/>
  <c r="AZ43"/>
  <c r="BA43"/>
  <c r="BB43"/>
  <c r="BC43"/>
  <c r="BD43"/>
  <c r="BE43"/>
  <c r="BF43"/>
  <c r="BG43"/>
  <c r="BH43"/>
  <c r="BI43"/>
  <c r="BJ43"/>
  <c r="BK43"/>
  <c r="BL43"/>
  <c r="BM43"/>
  <c r="BN43"/>
  <c r="BO43"/>
  <c r="BP43"/>
  <c r="BQ43"/>
  <c r="BR43"/>
  <c r="BS43"/>
  <c r="BT43"/>
  <c r="BU43"/>
  <c r="BV43"/>
  <c r="BW43"/>
  <c r="BX43"/>
  <c r="BY43"/>
  <c r="BZ43"/>
  <c r="CA43"/>
  <c r="CB43"/>
  <c r="CC43"/>
  <c r="CD43"/>
  <c r="CE43"/>
  <c r="CF43"/>
  <c r="CG43"/>
  <c r="CH43"/>
  <c r="CI43"/>
  <c r="CJ43"/>
  <c r="CK43"/>
  <c r="CL43"/>
  <c r="CM43"/>
  <c r="CN43"/>
  <c r="CO43"/>
  <c r="CP43"/>
  <c r="CQ43"/>
  <c r="CR43"/>
  <c r="CS43"/>
  <c r="CT43"/>
  <c r="CU43"/>
  <c r="CV43"/>
  <c r="CW43"/>
  <c r="CX43"/>
  <c r="CY43"/>
  <c r="CZ43"/>
  <c r="DA43"/>
  <c r="DB43"/>
  <c r="DC43"/>
  <c r="DD43"/>
  <c r="DE43"/>
  <c r="DF43"/>
  <c r="DG43"/>
  <c r="DH43"/>
  <c r="DI43"/>
  <c r="DJ43"/>
  <c r="DK43"/>
  <c r="DL43"/>
  <c r="DM43"/>
  <c r="DN43"/>
  <c r="DO43"/>
  <c r="DP43"/>
  <c r="DQ43"/>
  <c r="DR43"/>
  <c r="DS43"/>
  <c r="DT43"/>
  <c r="DU43"/>
  <c r="DV43"/>
  <c r="DW43"/>
  <c r="DX43"/>
  <c r="DY43"/>
  <c r="DZ43"/>
  <c r="EA43"/>
  <c r="EB43"/>
  <c r="EC43"/>
  <c r="ED43"/>
  <c r="EE43"/>
  <c r="EF43"/>
  <c r="EG43"/>
  <c r="EH43"/>
  <c r="EI43"/>
  <c r="EJ43"/>
  <c r="EK43"/>
  <c r="EL43"/>
  <c r="EM43"/>
  <c r="EN43"/>
  <c r="EO43"/>
  <c r="EP43"/>
  <c r="EQ43"/>
  <c r="ER43"/>
  <c r="ES43"/>
  <c r="ET43"/>
  <c r="EU43"/>
  <c r="EV43"/>
  <c r="EW43"/>
  <c r="EX43"/>
  <c r="EY43"/>
  <c r="EZ43"/>
  <c r="FA43"/>
  <c r="FB43"/>
  <c r="FC43"/>
  <c r="FD43"/>
  <c r="FE43"/>
  <c r="FF43"/>
  <c r="FG43"/>
  <c r="FH43"/>
  <c r="FI43"/>
  <c r="FJ43"/>
  <c r="FK43"/>
  <c r="FL43"/>
  <c r="FM43"/>
  <c r="FN43"/>
  <c r="FO43"/>
  <c r="FP43"/>
  <c r="FQ43"/>
  <c r="FR43"/>
  <c r="FS43"/>
  <c r="FT43"/>
  <c r="FU43"/>
  <c r="FV43"/>
  <c r="FW43"/>
  <c r="FX43"/>
  <c r="FY43"/>
  <c r="FZ43"/>
  <c r="GA43"/>
  <c r="GB43"/>
  <c r="GC43"/>
  <c r="GD43"/>
  <c r="GE43"/>
  <c r="GF43"/>
  <c r="GG43"/>
  <c r="GH43"/>
  <c r="GI43"/>
  <c r="GJ43"/>
  <c r="GK43"/>
  <c r="GL43"/>
  <c r="GM43"/>
  <c r="GN43"/>
  <c r="GO43"/>
  <c r="GP43"/>
  <c r="GQ43"/>
  <c r="GR43"/>
  <c r="GS43"/>
  <c r="GT43"/>
  <c r="GU43"/>
  <c r="GV43"/>
  <c r="GW43"/>
  <c r="GX43"/>
  <c r="GY43"/>
  <c r="GZ43"/>
  <c r="HA43"/>
  <c r="HB43"/>
  <c r="HC43"/>
  <c r="HD43"/>
  <c r="HE43"/>
  <c r="HF43"/>
  <c r="HG43"/>
  <c r="HH43"/>
  <c r="HI43"/>
  <c r="HJ43"/>
  <c r="HK43"/>
  <c r="HL43"/>
  <c r="HM43"/>
  <c r="HN43"/>
  <c r="HO43"/>
  <c r="HP43"/>
  <c r="HQ43"/>
  <c r="HR43"/>
  <c r="HS43"/>
  <c r="HT43"/>
  <c r="HU43"/>
  <c r="HV43"/>
  <c r="HW43"/>
  <c r="HX43"/>
  <c r="HY43"/>
  <c r="HZ43"/>
  <c r="IA43"/>
  <c r="IB43"/>
  <c r="IC43"/>
  <c r="ID43"/>
  <c r="IE43"/>
  <c r="IF43"/>
  <c r="IG43"/>
  <c r="IH43"/>
  <c r="II43"/>
  <c r="IJ43"/>
  <c r="IK43"/>
  <c r="IL43"/>
  <c r="IM43"/>
  <c r="IN43"/>
  <c r="IO43"/>
  <c r="IP43"/>
  <c r="IQ43"/>
  <c r="IR43"/>
  <c r="IS43"/>
  <c r="IT43"/>
  <c r="IU43"/>
  <c r="IV43"/>
  <c r="A42"/>
  <c r="B42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AP42"/>
  <c r="AQ42"/>
  <c r="AR42"/>
  <c r="AS42"/>
  <c r="AT42"/>
  <c r="AU42"/>
  <c r="AV42"/>
  <c r="AW42"/>
  <c r="AX42"/>
  <c r="AY42"/>
  <c r="AZ42"/>
  <c r="BA42"/>
  <c r="BB42"/>
  <c r="BC42"/>
  <c r="BD42"/>
  <c r="BE42"/>
  <c r="BF42"/>
  <c r="BG42"/>
  <c r="BH42"/>
  <c r="BI42"/>
  <c r="BJ42"/>
  <c r="BK42"/>
  <c r="BL42"/>
  <c r="BM42"/>
  <c r="BN42"/>
  <c r="BO42"/>
  <c r="BP42"/>
  <c r="BQ42"/>
  <c r="BR42"/>
  <c r="BS42"/>
  <c r="BT42"/>
  <c r="BU42"/>
  <c r="BV42"/>
  <c r="BW42"/>
  <c r="BX42"/>
  <c r="BY42"/>
  <c r="BZ42"/>
  <c r="CA42"/>
  <c r="CB42"/>
  <c r="CC42"/>
  <c r="CD42"/>
  <c r="CE42"/>
  <c r="CF42"/>
  <c r="CG42"/>
  <c r="CH42"/>
  <c r="CI42"/>
  <c r="CJ42"/>
  <c r="CK42"/>
  <c r="CL42"/>
  <c r="CM42"/>
  <c r="CN42"/>
  <c r="CO42"/>
  <c r="CP42"/>
  <c r="CQ42"/>
  <c r="CR42"/>
  <c r="CS42"/>
  <c r="CT42"/>
  <c r="CU42"/>
  <c r="CV42"/>
  <c r="CW42"/>
  <c r="CX42"/>
  <c r="CY42"/>
  <c r="CZ42"/>
  <c r="DA42"/>
  <c r="DB42"/>
  <c r="DC42"/>
  <c r="DD42"/>
  <c r="DE42"/>
  <c r="DF42"/>
  <c r="DG42"/>
  <c r="DH42"/>
  <c r="DI42"/>
  <c r="DJ42"/>
  <c r="DK42"/>
  <c r="DL42"/>
  <c r="DM42"/>
  <c r="DN42"/>
  <c r="DO42"/>
  <c r="DP42"/>
  <c r="DQ42"/>
  <c r="DR42"/>
  <c r="DS42"/>
  <c r="DT42"/>
  <c r="DU42"/>
  <c r="DV42"/>
  <c r="DW42"/>
  <c r="DX42"/>
  <c r="DY42"/>
  <c r="DZ42"/>
  <c r="EA42"/>
  <c r="EB42"/>
  <c r="EC42"/>
  <c r="ED42"/>
  <c r="EE42"/>
  <c r="EF42"/>
  <c r="EG42"/>
  <c r="EH42"/>
  <c r="EI42"/>
  <c r="EJ42"/>
  <c r="EK42"/>
  <c r="EL42"/>
  <c r="EM42"/>
  <c r="EN42"/>
  <c r="EO42"/>
  <c r="EP42"/>
  <c r="EQ42"/>
  <c r="ER42"/>
  <c r="ES42"/>
  <c r="ET42"/>
  <c r="EU42"/>
  <c r="EV42"/>
  <c r="EW42"/>
  <c r="EX42"/>
  <c r="EY42"/>
  <c r="EZ42"/>
  <c r="FA42"/>
  <c r="FB42"/>
  <c r="FC42"/>
  <c r="FD42"/>
  <c r="FE42"/>
  <c r="FF42"/>
  <c r="FG42"/>
  <c r="FH42"/>
  <c r="FI42"/>
  <c r="FJ42"/>
  <c r="FK42"/>
  <c r="FL42"/>
  <c r="FM42"/>
  <c r="FN42"/>
  <c r="FO42"/>
  <c r="FP42"/>
  <c r="FQ42"/>
  <c r="FR42"/>
  <c r="FS42"/>
  <c r="FT42"/>
  <c r="FU42"/>
  <c r="FV42"/>
  <c r="FW42"/>
  <c r="FX42"/>
  <c r="FY42"/>
  <c r="FZ42"/>
  <c r="GA42"/>
  <c r="GB42"/>
  <c r="GC42"/>
  <c r="GD42"/>
  <c r="GE42"/>
  <c r="GF42"/>
  <c r="GG42"/>
  <c r="GH42"/>
  <c r="GI42"/>
  <c r="GJ42"/>
  <c r="GK42"/>
  <c r="GL42"/>
  <c r="GM42"/>
  <c r="GN42"/>
  <c r="GO42"/>
  <c r="GP42"/>
  <c r="GQ42"/>
  <c r="GR42"/>
  <c r="GS42"/>
  <c r="GT42"/>
  <c r="GU42"/>
  <c r="GV42"/>
  <c r="GW42"/>
  <c r="GX42"/>
  <c r="GY42"/>
  <c r="GZ42"/>
  <c r="HA42"/>
  <c r="HB42"/>
  <c r="HC42"/>
  <c r="HD42"/>
  <c r="HE42"/>
  <c r="HF42"/>
  <c r="HG42"/>
  <c r="HH42"/>
  <c r="HI42"/>
  <c r="HJ42"/>
  <c r="HK42"/>
  <c r="HL42"/>
  <c r="HM42"/>
  <c r="HN42"/>
  <c r="HO42"/>
  <c r="HP42"/>
  <c r="HQ42"/>
  <c r="HR42"/>
  <c r="HS42"/>
  <c r="HT42"/>
  <c r="HU42"/>
  <c r="HV42"/>
  <c r="HW42"/>
  <c r="HX42"/>
  <c r="HY42"/>
  <c r="HZ42"/>
  <c r="IA42"/>
  <c r="IB42"/>
  <c r="IC42"/>
  <c r="ID42"/>
  <c r="IE42"/>
  <c r="IF42"/>
  <c r="IG42"/>
  <c r="IH42"/>
  <c r="II42"/>
  <c r="IJ42"/>
  <c r="IK42"/>
  <c r="IL42"/>
  <c r="IM42"/>
  <c r="IN42"/>
  <c r="IO42"/>
  <c r="IP42"/>
  <c r="IQ42"/>
  <c r="IR42"/>
  <c r="IS42"/>
  <c r="IT42"/>
  <c r="IU42"/>
  <c r="IV42"/>
  <c r="A41"/>
  <c r="B41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AM41"/>
  <c r="AN41"/>
  <c r="AO41"/>
  <c r="AP41"/>
  <c r="AQ41"/>
  <c r="AR41"/>
  <c r="AS41"/>
  <c r="AT41"/>
  <c r="AU41"/>
  <c r="AV41"/>
  <c r="AW41"/>
  <c r="AX41"/>
  <c r="AY41"/>
  <c r="AZ41"/>
  <c r="BA41"/>
  <c r="BB41"/>
  <c r="BC41"/>
  <c r="BD41"/>
  <c r="BE41"/>
  <c r="BF41"/>
  <c r="BG41"/>
  <c r="BH41"/>
  <c r="BI41"/>
  <c r="BJ41"/>
  <c r="BK41"/>
  <c r="BL41"/>
  <c r="BM41"/>
  <c r="BN41"/>
  <c r="BO41"/>
  <c r="BP41"/>
  <c r="BQ41"/>
  <c r="BR41"/>
  <c r="BS41"/>
  <c r="BT41"/>
  <c r="BU41"/>
  <c r="BV41"/>
  <c r="BW41"/>
  <c r="BX41"/>
  <c r="BY41"/>
  <c r="BZ41"/>
  <c r="CA41"/>
  <c r="CB41"/>
  <c r="CC41"/>
  <c r="CD41"/>
  <c r="CE41"/>
  <c r="CF41"/>
  <c r="CG41"/>
  <c r="CH41"/>
  <c r="CI41"/>
  <c r="CJ41"/>
  <c r="CK41"/>
  <c r="CL41"/>
  <c r="CM41"/>
  <c r="CN41"/>
  <c r="CO41"/>
  <c r="CP41"/>
  <c r="CQ41"/>
  <c r="CR41"/>
  <c r="CS41"/>
  <c r="CT41"/>
  <c r="CU41"/>
  <c r="CV41"/>
  <c r="CW41"/>
  <c r="CX41"/>
  <c r="CY41"/>
  <c r="CZ41"/>
  <c r="DA41"/>
  <c r="DB41"/>
  <c r="DC41"/>
  <c r="DD41"/>
  <c r="DE41"/>
  <c r="DF41"/>
  <c r="DG41"/>
  <c r="DH41"/>
  <c r="DI41"/>
  <c r="DJ41"/>
  <c r="DK41"/>
  <c r="DL41"/>
  <c r="DM41"/>
  <c r="DN41"/>
  <c r="DO41"/>
  <c r="DP41"/>
  <c r="DQ41"/>
  <c r="DR41"/>
  <c r="DS41"/>
  <c r="DT41"/>
  <c r="DU41"/>
  <c r="DV41"/>
  <c r="DW41"/>
  <c r="DX41"/>
  <c r="DY41"/>
  <c r="DZ41"/>
  <c r="EA41"/>
  <c r="EB41"/>
  <c r="EC41"/>
  <c r="ED41"/>
  <c r="EE41"/>
  <c r="EF41"/>
  <c r="EG41"/>
  <c r="EH41"/>
  <c r="EI41"/>
  <c r="EJ41"/>
  <c r="EK41"/>
  <c r="EL41"/>
  <c r="EM41"/>
  <c r="EN41"/>
  <c r="EO41"/>
  <c r="EP41"/>
  <c r="EQ41"/>
  <c r="ER41"/>
  <c r="ES41"/>
  <c r="ET41"/>
  <c r="EU41"/>
  <c r="EV41"/>
  <c r="EW41"/>
  <c r="EX41"/>
  <c r="EY41"/>
  <c r="EZ41"/>
  <c r="FA41"/>
  <c r="FB41"/>
  <c r="FC41"/>
  <c r="FD41"/>
  <c r="FE41"/>
  <c r="FF41"/>
  <c r="FG41"/>
  <c r="FH41"/>
  <c r="FI41"/>
  <c r="FJ41"/>
  <c r="FK41"/>
  <c r="FL41"/>
  <c r="FM41"/>
  <c r="FN41"/>
  <c r="FO41"/>
  <c r="FP41"/>
  <c r="FQ41"/>
  <c r="FR41"/>
  <c r="FS41"/>
  <c r="FT41"/>
  <c r="FU41"/>
  <c r="FV41"/>
  <c r="FW41"/>
  <c r="FX41"/>
  <c r="FY41"/>
  <c r="FZ41"/>
  <c r="GA41"/>
  <c r="GB41"/>
  <c r="GC41"/>
  <c r="GD41"/>
  <c r="GE41"/>
  <c r="GF41"/>
  <c r="GG41"/>
  <c r="GH41"/>
  <c r="GI41"/>
  <c r="GJ41"/>
  <c r="GK41"/>
  <c r="GL41"/>
  <c r="GM41"/>
  <c r="GN41"/>
  <c r="GO41"/>
  <c r="GP41"/>
  <c r="GQ41"/>
  <c r="GR41"/>
  <c r="GS41"/>
  <c r="GT41"/>
  <c r="GU41"/>
  <c r="GV41"/>
  <c r="GW41"/>
  <c r="GX41"/>
  <c r="GY41"/>
  <c r="GZ41"/>
  <c r="HA41"/>
  <c r="HB41"/>
  <c r="HC41"/>
  <c r="HD41"/>
  <c r="HE41"/>
  <c r="HF41"/>
  <c r="HG41"/>
  <c r="HH41"/>
  <c r="HI41"/>
  <c r="HJ41"/>
  <c r="HK41"/>
  <c r="HL41"/>
  <c r="HM41"/>
  <c r="HN41"/>
  <c r="HO41"/>
  <c r="HP41"/>
  <c r="HQ41"/>
  <c r="HR41"/>
  <c r="HS41"/>
  <c r="HT41"/>
  <c r="HU41"/>
  <c r="HV41"/>
  <c r="HW41"/>
  <c r="HX41"/>
  <c r="HY41"/>
  <c r="HZ41"/>
  <c r="IA41"/>
  <c r="IB41"/>
  <c r="IC41"/>
  <c r="ID41"/>
  <c r="IE41"/>
  <c r="IF41"/>
  <c r="IG41"/>
  <c r="IH41"/>
  <c r="II41"/>
  <c r="IJ41"/>
  <c r="IK41"/>
  <c r="IL41"/>
  <c r="IM41"/>
  <c r="IN41"/>
  <c r="IO41"/>
  <c r="IP41"/>
  <c r="IQ41"/>
  <c r="IR41"/>
  <c r="IS41"/>
  <c r="IT41"/>
  <c r="IU41"/>
  <c r="IV41"/>
  <c r="A40"/>
  <c r="B40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L40"/>
  <c r="AM40"/>
  <c r="AN40"/>
  <c r="AO40"/>
  <c r="AP40"/>
  <c r="AQ40"/>
  <c r="AR40"/>
  <c r="AS40"/>
  <c r="AT40"/>
  <c r="AU40"/>
  <c r="AV40"/>
  <c r="AW40"/>
  <c r="AX40"/>
  <c r="AY40"/>
  <c r="AZ40"/>
  <c r="BA40"/>
  <c r="BB40"/>
  <c r="BC40"/>
  <c r="BD40"/>
  <c r="BE40"/>
  <c r="BF40"/>
  <c r="BG40"/>
  <c r="BH40"/>
  <c r="BI40"/>
  <c r="BJ40"/>
  <c r="BK40"/>
  <c r="BL40"/>
  <c r="BM40"/>
  <c r="BN40"/>
  <c r="BO40"/>
  <c r="BP40"/>
  <c r="BQ40"/>
  <c r="BR40"/>
  <c r="BS40"/>
  <c r="BT40"/>
  <c r="BU40"/>
  <c r="BV40"/>
  <c r="BW40"/>
  <c r="BX40"/>
  <c r="BY40"/>
  <c r="BZ40"/>
  <c r="CA40"/>
  <c r="CB40"/>
  <c r="CC40"/>
  <c r="CD40"/>
  <c r="CE40"/>
  <c r="CF40"/>
  <c r="CG40"/>
  <c r="CH40"/>
  <c r="CI40"/>
  <c r="CJ40"/>
  <c r="CK40"/>
  <c r="CL40"/>
  <c r="CM40"/>
  <c r="CN40"/>
  <c r="CO40"/>
  <c r="CP40"/>
  <c r="CQ40"/>
  <c r="CR40"/>
  <c r="CS40"/>
  <c r="CT40"/>
  <c r="CU40"/>
  <c r="CV40"/>
  <c r="CW40"/>
  <c r="CX40"/>
  <c r="CY40"/>
  <c r="CZ40"/>
  <c r="DA40"/>
  <c r="DB40"/>
  <c r="DC40"/>
  <c r="DD40"/>
  <c r="DE40"/>
  <c r="DF40"/>
  <c r="DG40"/>
  <c r="DH40"/>
  <c r="DI40"/>
  <c r="DJ40"/>
  <c r="DK40"/>
  <c r="DL40"/>
  <c r="DM40"/>
  <c r="DN40"/>
  <c r="DO40"/>
  <c r="DP40"/>
  <c r="DQ40"/>
  <c r="DR40"/>
  <c r="DS40"/>
  <c r="DT40"/>
  <c r="DU40"/>
  <c r="DV40"/>
  <c r="DW40"/>
  <c r="DX40"/>
  <c r="DY40"/>
  <c r="DZ40"/>
  <c r="EA40"/>
  <c r="EB40"/>
  <c r="EC40"/>
  <c r="ED40"/>
  <c r="EE40"/>
  <c r="EF40"/>
  <c r="EG40"/>
  <c r="EH40"/>
  <c r="EI40"/>
  <c r="EJ40"/>
  <c r="EK40"/>
  <c r="EL40"/>
  <c r="EM40"/>
  <c r="EN40"/>
  <c r="EO40"/>
  <c r="EP40"/>
  <c r="EQ40"/>
  <c r="ER40"/>
  <c r="ES40"/>
  <c r="ET40"/>
  <c r="EU40"/>
  <c r="EV40"/>
  <c r="EW40"/>
  <c r="EX40"/>
  <c r="EY40"/>
  <c r="EZ40"/>
  <c r="FA40"/>
  <c r="FB40"/>
  <c r="FC40"/>
  <c r="FD40"/>
  <c r="FE40"/>
  <c r="FF40"/>
  <c r="FG40"/>
  <c r="FH40"/>
  <c r="FI40"/>
  <c r="FJ40"/>
  <c r="FK40"/>
  <c r="FL40"/>
  <c r="FM40"/>
  <c r="FN40"/>
  <c r="FO40"/>
  <c r="FP40"/>
  <c r="FQ40"/>
  <c r="FR40"/>
  <c r="FS40"/>
  <c r="FT40"/>
  <c r="FU40"/>
  <c r="FV40"/>
  <c r="FW40"/>
  <c r="FX40"/>
  <c r="FY40"/>
  <c r="FZ40"/>
  <c r="GA40"/>
  <c r="GB40"/>
  <c r="GC40"/>
  <c r="GD40"/>
  <c r="GE40"/>
  <c r="GF40"/>
  <c r="GG40"/>
  <c r="GH40"/>
  <c r="GI40"/>
  <c r="GJ40"/>
  <c r="GK40"/>
  <c r="GL40"/>
  <c r="GM40"/>
  <c r="GN40"/>
  <c r="GO40"/>
  <c r="GP40"/>
  <c r="GQ40"/>
  <c r="GR40"/>
  <c r="GS40"/>
  <c r="GT40"/>
  <c r="GU40"/>
  <c r="GV40"/>
  <c r="GW40"/>
  <c r="GX40"/>
  <c r="GY40"/>
  <c r="GZ40"/>
  <c r="HA40"/>
  <c r="HB40"/>
  <c r="HC40"/>
  <c r="HD40"/>
  <c r="HE40"/>
  <c r="HF40"/>
  <c r="HG40"/>
  <c r="HH40"/>
  <c r="HI40"/>
  <c r="HJ40"/>
  <c r="HK40"/>
  <c r="HL40"/>
  <c r="HM40"/>
  <c r="HN40"/>
  <c r="HO40"/>
  <c r="HP40"/>
  <c r="HQ40"/>
  <c r="HR40"/>
  <c r="HS40"/>
  <c r="HT40"/>
  <c r="HU40"/>
  <c r="HV40"/>
  <c r="HW40"/>
  <c r="HX40"/>
  <c r="HY40"/>
  <c r="HZ40"/>
  <c r="IA40"/>
  <c r="IB40"/>
  <c r="IC40"/>
  <c r="ID40"/>
  <c r="IE40"/>
  <c r="IF40"/>
  <c r="IG40"/>
  <c r="IH40"/>
  <c r="II40"/>
  <c r="IJ40"/>
  <c r="IK40"/>
  <c r="IL40"/>
  <c r="IM40"/>
  <c r="IN40"/>
  <c r="IO40"/>
  <c r="IP40"/>
  <c r="IQ40"/>
  <c r="IR40"/>
  <c r="IS40"/>
  <c r="IT40"/>
  <c r="IU40"/>
  <c r="IV40"/>
  <c r="A39"/>
  <c r="B39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N39"/>
  <c r="AO39"/>
  <c r="AP39"/>
  <c r="AQ39"/>
  <c r="AR39"/>
  <c r="AS39"/>
  <c r="AT39"/>
  <c r="AU39"/>
  <c r="AV39"/>
  <c r="AW39"/>
  <c r="AX39"/>
  <c r="AY39"/>
  <c r="AZ39"/>
  <c r="BA39"/>
  <c r="BB39"/>
  <c r="BC39"/>
  <c r="BD39"/>
  <c r="BE39"/>
  <c r="BF39"/>
  <c r="BG39"/>
  <c r="BH39"/>
  <c r="BI39"/>
  <c r="BJ39"/>
  <c r="BK39"/>
  <c r="BL39"/>
  <c r="BM39"/>
  <c r="BN39"/>
  <c r="BO39"/>
  <c r="BP39"/>
  <c r="BQ39"/>
  <c r="BR39"/>
  <c r="BS39"/>
  <c r="BT39"/>
  <c r="BU39"/>
  <c r="BV39"/>
  <c r="BW39"/>
  <c r="BX39"/>
  <c r="BY39"/>
  <c r="BZ39"/>
  <c r="CA39"/>
  <c r="CB39"/>
  <c r="CC39"/>
  <c r="CD39"/>
  <c r="CE39"/>
  <c r="CF39"/>
  <c r="CG39"/>
  <c r="CH39"/>
  <c r="CI39"/>
  <c r="CJ39"/>
  <c r="CK39"/>
  <c r="CL39"/>
  <c r="CM39"/>
  <c r="CN39"/>
  <c r="CO39"/>
  <c r="CP39"/>
  <c r="CQ39"/>
  <c r="CR39"/>
  <c r="CS39"/>
  <c r="CT39"/>
  <c r="CU39"/>
  <c r="CV39"/>
  <c r="CW39"/>
  <c r="CX39"/>
  <c r="CY39"/>
  <c r="CZ39"/>
  <c r="DA39"/>
  <c r="DB39"/>
  <c r="DC39"/>
  <c r="DD39"/>
  <c r="DE39"/>
  <c r="DF39"/>
  <c r="DG39"/>
  <c r="DH39"/>
  <c r="DI39"/>
  <c r="DJ39"/>
  <c r="DK39"/>
  <c r="DL39"/>
  <c r="DM39"/>
  <c r="DN39"/>
  <c r="DO39"/>
  <c r="DP39"/>
  <c r="DQ39"/>
  <c r="DR39"/>
  <c r="DS39"/>
  <c r="DT39"/>
  <c r="DU39"/>
  <c r="DV39"/>
  <c r="DW39"/>
  <c r="DX39"/>
  <c r="DY39"/>
  <c r="DZ39"/>
  <c r="EA39"/>
  <c r="EB39"/>
  <c r="EC39"/>
  <c r="ED39"/>
  <c r="EE39"/>
  <c r="EF39"/>
  <c r="EG39"/>
  <c r="EH39"/>
  <c r="EI39"/>
  <c r="EJ39"/>
  <c r="EK39"/>
  <c r="EL39"/>
  <c r="EM39"/>
  <c r="EN39"/>
  <c r="EO39"/>
  <c r="EP39"/>
  <c r="EQ39"/>
  <c r="ER39"/>
  <c r="ES39"/>
  <c r="ET39"/>
  <c r="EU39"/>
  <c r="EV39"/>
  <c r="EW39"/>
  <c r="EX39"/>
  <c r="EY39"/>
  <c r="EZ39"/>
  <c r="FA39"/>
  <c r="FB39"/>
  <c r="FC39"/>
  <c r="FD39"/>
  <c r="FE39"/>
  <c r="FF39"/>
  <c r="FG39"/>
  <c r="FH39"/>
  <c r="FI39"/>
  <c r="FJ39"/>
  <c r="FK39"/>
  <c r="FL39"/>
  <c r="FM39"/>
  <c r="FN39"/>
  <c r="FO39"/>
  <c r="FP39"/>
  <c r="FQ39"/>
  <c r="FR39"/>
  <c r="FS39"/>
  <c r="FT39"/>
  <c r="FU39"/>
  <c r="FV39"/>
  <c r="FW39"/>
  <c r="FX39"/>
  <c r="FY39"/>
  <c r="FZ39"/>
  <c r="GA39"/>
  <c r="GB39"/>
  <c r="GC39"/>
  <c r="GD39"/>
  <c r="GE39"/>
  <c r="GF39"/>
  <c r="GG39"/>
  <c r="GH39"/>
  <c r="GI39"/>
  <c r="GJ39"/>
  <c r="GK39"/>
  <c r="GL39"/>
  <c r="GM39"/>
  <c r="GN39"/>
  <c r="GO39"/>
  <c r="GP39"/>
  <c r="GQ39"/>
  <c r="GR39"/>
  <c r="GS39"/>
  <c r="GT39"/>
  <c r="GU39"/>
  <c r="GV39"/>
  <c r="GW39"/>
  <c r="GX39"/>
  <c r="GY39"/>
  <c r="GZ39"/>
  <c r="HA39"/>
  <c r="HB39"/>
  <c r="HC39"/>
  <c r="HD39"/>
  <c r="HE39"/>
  <c r="HF39"/>
  <c r="HG39"/>
  <c r="HH39"/>
  <c r="HI39"/>
  <c r="HJ39"/>
  <c r="HK39"/>
  <c r="HL39"/>
  <c r="HM39"/>
  <c r="HN39"/>
  <c r="HO39"/>
  <c r="HP39"/>
  <c r="HQ39"/>
  <c r="HR39"/>
  <c r="HS39"/>
  <c r="HT39"/>
  <c r="HU39"/>
  <c r="HV39"/>
  <c r="HW39"/>
  <c r="HX39"/>
  <c r="HY39"/>
  <c r="HZ39"/>
  <c r="IA39"/>
  <c r="IB39"/>
  <c r="IC39"/>
  <c r="ID39"/>
  <c r="IE39"/>
  <c r="IF39"/>
  <c r="IG39"/>
  <c r="IH39"/>
  <c r="II39"/>
  <c r="IJ39"/>
  <c r="IK39"/>
  <c r="IL39"/>
  <c r="IM39"/>
  <c r="IN39"/>
  <c r="IO39"/>
  <c r="IP39"/>
  <c r="IQ39"/>
  <c r="IR39"/>
  <c r="IS39"/>
  <c r="IT39"/>
  <c r="IU39"/>
  <c r="IV39"/>
  <c r="A38"/>
  <c r="B38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AM38"/>
  <c r="AN38"/>
  <c r="AO38"/>
  <c r="AP38"/>
  <c r="AQ38"/>
  <c r="AR38"/>
  <c r="AS38"/>
  <c r="AT38"/>
  <c r="AU38"/>
  <c r="AV38"/>
  <c r="AW38"/>
  <c r="AX38"/>
  <c r="AY38"/>
  <c r="AZ38"/>
  <c r="BA38"/>
  <c r="BB38"/>
  <c r="BC38"/>
  <c r="BD38"/>
  <c r="BE38"/>
  <c r="BF38"/>
  <c r="BG38"/>
  <c r="BH38"/>
  <c r="BI38"/>
  <c r="BJ38"/>
  <c r="BK38"/>
  <c r="BL38"/>
  <c r="BM38"/>
  <c r="BN38"/>
  <c r="BO38"/>
  <c r="BP38"/>
  <c r="BQ38"/>
  <c r="BR38"/>
  <c r="BS38"/>
  <c r="BT38"/>
  <c r="BU38"/>
  <c r="BV38"/>
  <c r="BW38"/>
  <c r="BX38"/>
  <c r="BY38"/>
  <c r="BZ38"/>
  <c r="CA38"/>
  <c r="CB38"/>
  <c r="CC38"/>
  <c r="CD38"/>
  <c r="CE38"/>
  <c r="CF38"/>
  <c r="CG38"/>
  <c r="CH38"/>
  <c r="CI38"/>
  <c r="CJ38"/>
  <c r="CK38"/>
  <c r="CL38"/>
  <c r="CM38"/>
  <c r="CN38"/>
  <c r="CO38"/>
  <c r="CP38"/>
  <c r="CQ38"/>
  <c r="CR38"/>
  <c r="CS38"/>
  <c r="CT38"/>
  <c r="CU38"/>
  <c r="CV38"/>
  <c r="CW38"/>
  <c r="CX38"/>
  <c r="CY38"/>
  <c r="CZ38"/>
  <c r="DA38"/>
  <c r="DB38"/>
  <c r="DC38"/>
  <c r="DD38"/>
  <c r="DE38"/>
  <c r="DF38"/>
  <c r="DG38"/>
  <c r="DH38"/>
  <c r="DI38"/>
  <c r="DJ38"/>
  <c r="DK38"/>
  <c r="DL38"/>
  <c r="DM38"/>
  <c r="DN38"/>
  <c r="DO38"/>
  <c r="DP38"/>
  <c r="DQ38"/>
  <c r="DR38"/>
  <c r="DS38"/>
  <c r="DT38"/>
  <c r="DU38"/>
  <c r="DV38"/>
  <c r="DW38"/>
  <c r="DX38"/>
  <c r="DY38"/>
  <c r="DZ38"/>
  <c r="EA38"/>
  <c r="EB38"/>
  <c r="EC38"/>
  <c r="ED38"/>
  <c r="EE38"/>
  <c r="EF38"/>
  <c r="EG38"/>
  <c r="EH38"/>
  <c r="EI38"/>
  <c r="EJ38"/>
  <c r="EK38"/>
  <c r="EL38"/>
  <c r="EM38"/>
  <c r="EN38"/>
  <c r="EO38"/>
  <c r="EP38"/>
  <c r="EQ38"/>
  <c r="ER38"/>
  <c r="ES38"/>
  <c r="ET38"/>
  <c r="EU38"/>
  <c r="EV38"/>
  <c r="EW38"/>
  <c r="EX38"/>
  <c r="EY38"/>
  <c r="EZ38"/>
  <c r="FA38"/>
  <c r="FB38"/>
  <c r="FC38"/>
  <c r="FD38"/>
  <c r="FE38"/>
  <c r="FF38"/>
  <c r="FG38"/>
  <c r="FH38"/>
  <c r="FI38"/>
  <c r="FJ38"/>
  <c r="FK38"/>
  <c r="FL38"/>
  <c r="FM38"/>
  <c r="FN38"/>
  <c r="FO38"/>
  <c r="FP38"/>
  <c r="FQ38"/>
  <c r="FR38"/>
  <c r="FS38"/>
  <c r="FT38"/>
  <c r="FU38"/>
  <c r="FV38"/>
  <c r="FW38"/>
  <c r="FX38"/>
  <c r="FY38"/>
  <c r="FZ38"/>
  <c r="GA38"/>
  <c r="GB38"/>
  <c r="GC38"/>
  <c r="GD38"/>
  <c r="GE38"/>
  <c r="GF38"/>
  <c r="GG38"/>
  <c r="GH38"/>
  <c r="GI38"/>
  <c r="GJ38"/>
  <c r="GK38"/>
  <c r="GL38"/>
  <c r="GM38"/>
  <c r="GN38"/>
  <c r="GO38"/>
  <c r="GP38"/>
  <c r="GQ38"/>
  <c r="GR38"/>
  <c r="GS38"/>
  <c r="GT38"/>
  <c r="GU38"/>
  <c r="GV38"/>
  <c r="GW38"/>
  <c r="GX38"/>
  <c r="GY38"/>
  <c r="GZ38"/>
  <c r="HA38"/>
  <c r="HB38"/>
  <c r="HC38"/>
  <c r="HD38"/>
  <c r="HE38"/>
  <c r="HF38"/>
  <c r="HG38"/>
  <c r="HH38"/>
  <c r="HI38"/>
  <c r="HJ38"/>
  <c r="HK38"/>
  <c r="HL38"/>
  <c r="HM38"/>
  <c r="HN38"/>
  <c r="HO38"/>
  <c r="HP38"/>
  <c r="HQ38"/>
  <c r="HR38"/>
  <c r="HS38"/>
  <c r="HT38"/>
  <c r="HU38"/>
  <c r="HV38"/>
  <c r="HW38"/>
  <c r="HX38"/>
  <c r="HY38"/>
  <c r="HZ38"/>
  <c r="IA38"/>
  <c r="IB38"/>
  <c r="IC38"/>
  <c r="ID38"/>
  <c r="IE38"/>
  <c r="IF38"/>
  <c r="IG38"/>
  <c r="IH38"/>
  <c r="II38"/>
  <c r="IJ38"/>
  <c r="IK38"/>
  <c r="IL38"/>
  <c r="IM38"/>
  <c r="IN38"/>
  <c r="IO38"/>
  <c r="IP38"/>
  <c r="IQ38"/>
  <c r="IR38"/>
  <c r="IS38"/>
  <c r="IT38"/>
  <c r="IU38"/>
  <c r="IV38"/>
  <c r="A37"/>
  <c r="B37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AL37"/>
  <c r="AM37"/>
  <c r="AN37"/>
  <c r="AO37"/>
  <c r="AP37"/>
  <c r="AQ37"/>
  <c r="AR37"/>
  <c r="AS37"/>
  <c r="AT37"/>
  <c r="AU37"/>
  <c r="AV37"/>
  <c r="AW37"/>
  <c r="AX37"/>
  <c r="AY37"/>
  <c r="AZ37"/>
  <c r="BA37"/>
  <c r="BB37"/>
  <c r="BC37"/>
  <c r="BD37"/>
  <c r="BE37"/>
  <c r="BF37"/>
  <c r="BG37"/>
  <c r="BH37"/>
  <c r="BI37"/>
  <c r="BJ37"/>
  <c r="BK37"/>
  <c r="BL37"/>
  <c r="BM37"/>
  <c r="BN37"/>
  <c r="BO37"/>
  <c r="BP37"/>
  <c r="BQ37"/>
  <c r="BR37"/>
  <c r="BS37"/>
  <c r="BT37"/>
  <c r="BU37"/>
  <c r="BV37"/>
  <c r="BW37"/>
  <c r="BX37"/>
  <c r="BY37"/>
  <c r="BZ37"/>
  <c r="CA37"/>
  <c r="CB37"/>
  <c r="CC37"/>
  <c r="CD37"/>
  <c r="CE37"/>
  <c r="CF37"/>
  <c r="CG37"/>
  <c r="CH37"/>
  <c r="CI37"/>
  <c r="CJ37"/>
  <c r="CK37"/>
  <c r="CL37"/>
  <c r="CM37"/>
  <c r="CN37"/>
  <c r="CO37"/>
  <c r="CP37"/>
  <c r="CQ37"/>
  <c r="CR37"/>
  <c r="CS37"/>
  <c r="CT37"/>
  <c r="CU37"/>
  <c r="CV37"/>
  <c r="CW37"/>
  <c r="CX37"/>
  <c r="CY37"/>
  <c r="CZ37"/>
  <c r="DA37"/>
  <c r="DB37"/>
  <c r="DC37"/>
  <c r="DD37"/>
  <c r="DE37"/>
  <c r="DF37"/>
  <c r="DG37"/>
  <c r="DH37"/>
  <c r="DI37"/>
  <c r="DJ37"/>
  <c r="DK37"/>
  <c r="DL37"/>
  <c r="DM37"/>
  <c r="DN37"/>
  <c r="DO37"/>
  <c r="DP37"/>
  <c r="DQ37"/>
  <c r="DR37"/>
  <c r="DS37"/>
  <c r="DT37"/>
  <c r="DU37"/>
  <c r="DV37"/>
  <c r="DW37"/>
  <c r="DX37"/>
  <c r="DY37"/>
  <c r="DZ37"/>
  <c r="EA37"/>
  <c r="EB37"/>
  <c r="EC37"/>
  <c r="ED37"/>
  <c r="EE37"/>
  <c r="EF37"/>
  <c r="EG37"/>
  <c r="EH37"/>
  <c r="EI37"/>
  <c r="EJ37"/>
  <c r="EK37"/>
  <c r="EL37"/>
  <c r="EM37"/>
  <c r="EN37"/>
  <c r="EO37"/>
  <c r="EP37"/>
  <c r="EQ37"/>
  <c r="ER37"/>
  <c r="ES37"/>
  <c r="ET37"/>
  <c r="EU37"/>
  <c r="EV37"/>
  <c r="EW37"/>
  <c r="EX37"/>
  <c r="EY37"/>
  <c r="EZ37"/>
  <c r="FA37"/>
  <c r="FB37"/>
  <c r="FC37"/>
  <c r="FD37"/>
  <c r="FE37"/>
  <c r="FF37"/>
  <c r="FG37"/>
  <c r="FH37"/>
  <c r="FI37"/>
  <c r="FJ37"/>
  <c r="FK37"/>
  <c r="FL37"/>
  <c r="FM37"/>
  <c r="FN37"/>
  <c r="FO37"/>
  <c r="FP37"/>
  <c r="FQ37"/>
  <c r="FR37"/>
  <c r="FS37"/>
  <c r="FT37"/>
  <c r="FU37"/>
  <c r="FV37"/>
  <c r="FW37"/>
  <c r="FX37"/>
  <c r="FY37"/>
  <c r="FZ37"/>
  <c r="GA37"/>
  <c r="GB37"/>
  <c r="GC37"/>
  <c r="GD37"/>
  <c r="GE37"/>
  <c r="GF37"/>
  <c r="GG37"/>
  <c r="GH37"/>
  <c r="GI37"/>
  <c r="GJ37"/>
  <c r="GK37"/>
  <c r="GL37"/>
  <c r="GM37"/>
  <c r="GN37"/>
  <c r="GO37"/>
  <c r="GP37"/>
  <c r="GQ37"/>
  <c r="GR37"/>
  <c r="GS37"/>
  <c r="GT37"/>
  <c r="GU37"/>
  <c r="GV37"/>
  <c r="GW37"/>
  <c r="GX37"/>
  <c r="GY37"/>
  <c r="GZ37"/>
  <c r="HA37"/>
  <c r="HB37"/>
  <c r="HC37"/>
  <c r="HD37"/>
  <c r="HE37"/>
  <c r="HF37"/>
  <c r="HG37"/>
  <c r="HH37"/>
  <c r="HI37"/>
  <c r="HJ37"/>
  <c r="HK37"/>
  <c r="HL37"/>
  <c r="HM37"/>
  <c r="HN37"/>
  <c r="HO37"/>
  <c r="HP37"/>
  <c r="HQ37"/>
  <c r="HR37"/>
  <c r="HS37"/>
  <c r="HT37"/>
  <c r="HU37"/>
  <c r="HV37"/>
  <c r="HW37"/>
  <c r="HX37"/>
  <c r="HY37"/>
  <c r="HZ37"/>
  <c r="IA37"/>
  <c r="IB37"/>
  <c r="IC37"/>
  <c r="ID37"/>
  <c r="IE37"/>
  <c r="IF37"/>
  <c r="IG37"/>
  <c r="IH37"/>
  <c r="II37"/>
  <c r="IJ37"/>
  <c r="IK37"/>
  <c r="IL37"/>
  <c r="IM37"/>
  <c r="IN37"/>
  <c r="IO37"/>
  <c r="IP37"/>
  <c r="IQ37"/>
  <c r="IR37"/>
  <c r="IS37"/>
  <c r="IT37"/>
  <c r="IU37"/>
  <c r="IV37"/>
  <c r="A36"/>
  <c r="B36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AN36"/>
  <c r="AO36"/>
  <c r="AP36"/>
  <c r="AQ36"/>
  <c r="AR36"/>
  <c r="AS36"/>
  <c r="AT36"/>
  <c r="AU36"/>
  <c r="AV36"/>
  <c r="AW36"/>
  <c r="AX36"/>
  <c r="AY36"/>
  <c r="AZ36"/>
  <c r="BA36"/>
  <c r="BB36"/>
  <c r="BC36"/>
  <c r="BD36"/>
  <c r="BE36"/>
  <c r="BF36"/>
  <c r="BG36"/>
  <c r="BH36"/>
  <c r="BI36"/>
  <c r="BJ36"/>
  <c r="BK36"/>
  <c r="BL36"/>
  <c r="BM36"/>
  <c r="BN36"/>
  <c r="BO36"/>
  <c r="BP36"/>
  <c r="BQ36"/>
  <c r="BR36"/>
  <c r="BS36"/>
  <c r="BT36"/>
  <c r="BU36"/>
  <c r="BV36"/>
  <c r="BW36"/>
  <c r="BX36"/>
  <c r="BY36"/>
  <c r="BZ36"/>
  <c r="CA36"/>
  <c r="CB36"/>
  <c r="CC36"/>
  <c r="CD36"/>
  <c r="CE36"/>
  <c r="CF36"/>
  <c r="CG36"/>
  <c r="CH36"/>
  <c r="CI36"/>
  <c r="CJ36"/>
  <c r="CK36"/>
  <c r="CL36"/>
  <c r="CM36"/>
  <c r="CN36"/>
  <c r="CO36"/>
  <c r="CP36"/>
  <c r="CQ36"/>
  <c r="CR36"/>
  <c r="CS36"/>
  <c r="CT36"/>
  <c r="CU36"/>
  <c r="CV36"/>
  <c r="CW36"/>
  <c r="CX36"/>
  <c r="CY36"/>
  <c r="CZ36"/>
  <c r="DA36"/>
  <c r="DB36"/>
  <c r="DC36"/>
  <c r="DD36"/>
  <c r="DE36"/>
  <c r="DF36"/>
  <c r="DG36"/>
  <c r="DH36"/>
  <c r="DI36"/>
  <c r="DJ36"/>
  <c r="DK36"/>
  <c r="DL36"/>
  <c r="DM36"/>
  <c r="DN36"/>
  <c r="DO36"/>
  <c r="DP36"/>
  <c r="DQ36"/>
  <c r="DR36"/>
  <c r="DS36"/>
  <c r="DT36"/>
  <c r="DU36"/>
  <c r="DV36"/>
  <c r="DW36"/>
  <c r="DX36"/>
  <c r="DY36"/>
  <c r="DZ36"/>
  <c r="EA36"/>
  <c r="EB36"/>
  <c r="EC36"/>
  <c r="ED36"/>
  <c r="EE36"/>
  <c r="EF36"/>
  <c r="EG36"/>
  <c r="EH36"/>
  <c r="EI36"/>
  <c r="EJ36"/>
  <c r="EK36"/>
  <c r="EL36"/>
  <c r="EM36"/>
  <c r="EN36"/>
  <c r="EO36"/>
  <c r="EP36"/>
  <c r="EQ36"/>
  <c r="ER36"/>
  <c r="ES36"/>
  <c r="ET36"/>
  <c r="EU36"/>
  <c r="EV36"/>
  <c r="EW36"/>
  <c r="EX36"/>
  <c r="EY36"/>
  <c r="EZ36"/>
  <c r="FA36"/>
  <c r="FB36"/>
  <c r="FC36"/>
  <c r="FD36"/>
  <c r="FE36"/>
  <c r="FF36"/>
  <c r="FG36"/>
  <c r="FH36"/>
  <c r="FI36"/>
  <c r="FJ36"/>
  <c r="FK36"/>
  <c r="FL36"/>
  <c r="FM36"/>
  <c r="FN36"/>
  <c r="FO36"/>
  <c r="FP36"/>
  <c r="FQ36"/>
  <c r="FR36"/>
  <c r="FS36"/>
  <c r="FT36"/>
  <c r="FU36"/>
  <c r="FV36"/>
  <c r="FW36"/>
  <c r="FX36"/>
  <c r="FY36"/>
  <c r="FZ36"/>
  <c r="GA36"/>
  <c r="GB36"/>
  <c r="GC36"/>
  <c r="GD36"/>
  <c r="GE36"/>
  <c r="GF36"/>
  <c r="GG36"/>
  <c r="GH36"/>
  <c r="GI36"/>
  <c r="GJ36"/>
  <c r="GK36"/>
  <c r="GL36"/>
  <c r="GM36"/>
  <c r="GN36"/>
  <c r="GO36"/>
  <c r="GP36"/>
  <c r="GQ36"/>
  <c r="GR36"/>
  <c r="GS36"/>
  <c r="GT36"/>
  <c r="GU36"/>
  <c r="GV36"/>
  <c r="GW36"/>
  <c r="GX36"/>
  <c r="GY36"/>
  <c r="GZ36"/>
  <c r="HA36"/>
  <c r="HB36"/>
  <c r="HC36"/>
  <c r="HD36"/>
  <c r="HE36"/>
  <c r="HF36"/>
  <c r="HG36"/>
  <c r="HH36"/>
  <c r="HI36"/>
  <c r="HJ36"/>
  <c r="HK36"/>
  <c r="HL36"/>
  <c r="HM36"/>
  <c r="HN36"/>
  <c r="HO36"/>
  <c r="HP36"/>
  <c r="HQ36"/>
  <c r="HR36"/>
  <c r="HS36"/>
  <c r="HT36"/>
  <c r="HU36"/>
  <c r="HV36"/>
  <c r="HW36"/>
  <c r="HX36"/>
  <c r="HY36"/>
  <c r="HZ36"/>
  <c r="IA36"/>
  <c r="IB36"/>
  <c r="IC36"/>
  <c r="ID36"/>
  <c r="IE36"/>
  <c r="IF36"/>
  <c r="IG36"/>
  <c r="IH36"/>
  <c r="II36"/>
  <c r="IJ36"/>
  <c r="IK36"/>
  <c r="IL36"/>
  <c r="IM36"/>
  <c r="IN36"/>
  <c r="IO36"/>
  <c r="IP36"/>
  <c r="IQ36"/>
  <c r="IR36"/>
  <c r="IS36"/>
  <c r="IT36"/>
  <c r="IU36"/>
  <c r="IV36"/>
  <c r="A35"/>
  <c r="B35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AN35"/>
  <c r="AO35"/>
  <c r="AP35"/>
  <c r="AQ35"/>
  <c r="AR35"/>
  <c r="AS35"/>
  <c r="AT35"/>
  <c r="AU35"/>
  <c r="AV35"/>
  <c r="AW35"/>
  <c r="AX35"/>
  <c r="AY35"/>
  <c r="AZ35"/>
  <c r="BA35"/>
  <c r="BB35"/>
  <c r="BC35"/>
  <c r="BD35"/>
  <c r="BE35"/>
  <c r="BF35"/>
  <c r="BG35"/>
  <c r="BH35"/>
  <c r="BI35"/>
  <c r="BJ35"/>
  <c r="BK35"/>
  <c r="BL35"/>
  <c r="BM35"/>
  <c r="BN35"/>
  <c r="BO35"/>
  <c r="BP35"/>
  <c r="BQ35"/>
  <c r="BR35"/>
  <c r="BS35"/>
  <c r="BT35"/>
  <c r="BU35"/>
  <c r="BV35"/>
  <c r="BW35"/>
  <c r="BX35"/>
  <c r="BY35"/>
  <c r="BZ35"/>
  <c r="CA35"/>
  <c r="CB35"/>
  <c r="CC35"/>
  <c r="CD35"/>
  <c r="CE35"/>
  <c r="CF35"/>
  <c r="CG35"/>
  <c r="CH35"/>
  <c r="CI35"/>
  <c r="CJ35"/>
  <c r="CK35"/>
  <c r="CL35"/>
  <c r="CM35"/>
  <c r="CN35"/>
  <c r="CO35"/>
  <c r="CP35"/>
  <c r="CQ35"/>
  <c r="CR35"/>
  <c r="CS35"/>
  <c r="CT35"/>
  <c r="CU35"/>
  <c r="CV35"/>
  <c r="CW35"/>
  <c r="CX35"/>
  <c r="CY35"/>
  <c r="CZ35"/>
  <c r="DA35"/>
  <c r="DB35"/>
  <c r="DC35"/>
  <c r="DD35"/>
  <c r="DE35"/>
  <c r="DF35"/>
  <c r="DG35"/>
  <c r="DH35"/>
  <c r="DI35"/>
  <c r="DJ35"/>
  <c r="DK35"/>
  <c r="DL35"/>
  <c r="DM35"/>
  <c r="DN35"/>
  <c r="DO35"/>
  <c r="DP35"/>
  <c r="DQ35"/>
  <c r="DR35"/>
  <c r="DS35"/>
  <c r="DT35"/>
  <c r="DU35"/>
  <c r="DV35"/>
  <c r="DW35"/>
  <c r="DX35"/>
  <c r="DY35"/>
  <c r="DZ35"/>
  <c r="EA35"/>
  <c r="EB35"/>
  <c r="EC35"/>
  <c r="ED35"/>
  <c r="EE35"/>
  <c r="EF35"/>
  <c r="EG35"/>
  <c r="EH35"/>
  <c r="EI35"/>
  <c r="EJ35"/>
  <c r="EK35"/>
  <c r="EL35"/>
  <c r="EM35"/>
  <c r="EN35"/>
  <c r="EO35"/>
  <c r="EP35"/>
  <c r="EQ35"/>
  <c r="ER35"/>
  <c r="ES35"/>
  <c r="ET35"/>
  <c r="EU35"/>
  <c r="EV35"/>
  <c r="EW35"/>
  <c r="EX35"/>
  <c r="EY35"/>
  <c r="EZ35"/>
  <c r="FA35"/>
  <c r="FB35"/>
  <c r="FC35"/>
  <c r="FD35"/>
  <c r="FE35"/>
  <c r="FF35"/>
  <c r="FG35"/>
  <c r="FH35"/>
  <c r="FI35"/>
  <c r="FJ35"/>
  <c r="FK35"/>
  <c r="FL35"/>
  <c r="FM35"/>
  <c r="FN35"/>
  <c r="FO35"/>
  <c r="FP35"/>
  <c r="FQ35"/>
  <c r="FR35"/>
  <c r="FS35"/>
  <c r="FT35"/>
  <c r="FU35"/>
  <c r="FV35"/>
  <c r="FW35"/>
  <c r="FX35"/>
  <c r="FY35"/>
  <c r="FZ35"/>
  <c r="GA35"/>
  <c r="GB35"/>
  <c r="GC35"/>
  <c r="GD35"/>
  <c r="GE35"/>
  <c r="GF35"/>
  <c r="GG35"/>
  <c r="GH35"/>
  <c r="GI35"/>
  <c r="GJ35"/>
  <c r="GK35"/>
  <c r="GL35"/>
  <c r="GM35"/>
  <c r="GN35"/>
  <c r="GO35"/>
  <c r="GP35"/>
  <c r="GQ35"/>
  <c r="GR35"/>
  <c r="GS35"/>
  <c r="GT35"/>
  <c r="GU35"/>
  <c r="GV35"/>
  <c r="GW35"/>
  <c r="GX35"/>
  <c r="GY35"/>
  <c r="GZ35"/>
  <c r="HA35"/>
  <c r="HB35"/>
  <c r="HC35"/>
  <c r="HD35"/>
  <c r="HE35"/>
  <c r="HF35"/>
  <c r="HG35"/>
  <c r="HH35"/>
  <c r="HI35"/>
  <c r="HJ35"/>
  <c r="HK35"/>
  <c r="HL35"/>
  <c r="HM35"/>
  <c r="HN35"/>
  <c r="HO35"/>
  <c r="HP35"/>
  <c r="HQ35"/>
  <c r="HR35"/>
  <c r="HS35"/>
  <c r="HT35"/>
  <c r="HU35"/>
  <c r="HV35"/>
  <c r="HW35"/>
  <c r="HX35"/>
  <c r="HY35"/>
  <c r="HZ35"/>
  <c r="IA35"/>
  <c r="IB35"/>
  <c r="IC35"/>
  <c r="ID35"/>
  <c r="IE35"/>
  <c r="IF35"/>
  <c r="IG35"/>
  <c r="IH35"/>
  <c r="II35"/>
  <c r="IJ35"/>
  <c r="IK35"/>
  <c r="IL35"/>
  <c r="IM35"/>
  <c r="IN35"/>
  <c r="IO35"/>
  <c r="IP35"/>
  <c r="IQ35"/>
  <c r="IR35"/>
  <c r="IS35"/>
  <c r="IT35"/>
  <c r="IU35"/>
  <c r="IV35"/>
  <c r="A34"/>
  <c r="B34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AQ34"/>
  <c r="AR34"/>
  <c r="AS34"/>
  <c r="AT34"/>
  <c r="AU34"/>
  <c r="AV34"/>
  <c r="AW34"/>
  <c r="AX34"/>
  <c r="AY34"/>
  <c r="AZ34"/>
  <c r="BA34"/>
  <c r="BB34"/>
  <c r="BC34"/>
  <c r="BD34"/>
  <c r="BE34"/>
  <c r="BF34"/>
  <c r="BG34"/>
  <c r="BH34"/>
  <c r="BI34"/>
  <c r="BJ34"/>
  <c r="BK34"/>
  <c r="BL34"/>
  <c r="BM34"/>
  <c r="BN34"/>
  <c r="BO34"/>
  <c r="BP34"/>
  <c r="BQ34"/>
  <c r="BR34"/>
  <c r="BS34"/>
  <c r="BT34"/>
  <c r="BU34"/>
  <c r="BV34"/>
  <c r="BW34"/>
  <c r="BX34"/>
  <c r="BY34"/>
  <c r="BZ34"/>
  <c r="CA34"/>
  <c r="CB34"/>
  <c r="CC34"/>
  <c r="CD34"/>
  <c r="CE34"/>
  <c r="CF34"/>
  <c r="CG34"/>
  <c r="CH34"/>
  <c r="CI34"/>
  <c r="CJ34"/>
  <c r="CK34"/>
  <c r="CL34"/>
  <c r="CM34"/>
  <c r="CN34"/>
  <c r="CO34"/>
  <c r="CP34"/>
  <c r="CQ34"/>
  <c r="CR34"/>
  <c r="CS34"/>
  <c r="CT34"/>
  <c r="CU34"/>
  <c r="CV34"/>
  <c r="CW34"/>
  <c r="CX34"/>
  <c r="CY34"/>
  <c r="CZ34"/>
  <c r="DA34"/>
  <c r="DB34"/>
  <c r="DC34"/>
  <c r="DD34"/>
  <c r="DE34"/>
  <c r="DF34"/>
  <c r="DG34"/>
  <c r="DH34"/>
  <c r="DI34"/>
  <c r="DJ34"/>
  <c r="DK34"/>
  <c r="DL34"/>
  <c r="DM34"/>
  <c r="DN34"/>
  <c r="DO34"/>
  <c r="DP34"/>
  <c r="DQ34"/>
  <c r="DR34"/>
  <c r="DS34"/>
  <c r="DT34"/>
  <c r="DU34"/>
  <c r="DV34"/>
  <c r="DW34"/>
  <c r="DX34"/>
  <c r="DY34"/>
  <c r="DZ34"/>
  <c r="EA34"/>
  <c r="EB34"/>
  <c r="EC34"/>
  <c r="ED34"/>
  <c r="EE34"/>
  <c r="EF34"/>
  <c r="EG34"/>
  <c r="EH34"/>
  <c r="EI34"/>
  <c r="EJ34"/>
  <c r="EK34"/>
  <c r="EL34"/>
  <c r="EM34"/>
  <c r="EN34"/>
  <c r="EO34"/>
  <c r="EP34"/>
  <c r="EQ34"/>
  <c r="ER34"/>
  <c r="ES34"/>
  <c r="ET34"/>
  <c r="EU34"/>
  <c r="EV34"/>
  <c r="EW34"/>
  <c r="EX34"/>
  <c r="EY34"/>
  <c r="EZ34"/>
  <c r="FA34"/>
  <c r="FB34"/>
  <c r="FC34"/>
  <c r="FD34"/>
  <c r="FE34"/>
  <c r="FF34"/>
  <c r="FG34"/>
  <c r="FH34"/>
  <c r="FI34"/>
  <c r="FJ34"/>
  <c r="FK34"/>
  <c r="FL34"/>
  <c r="FM34"/>
  <c r="FN34"/>
  <c r="FO34"/>
  <c r="FP34"/>
  <c r="FQ34"/>
  <c r="FR34"/>
  <c r="FS34"/>
  <c r="FT34"/>
  <c r="FU34"/>
  <c r="FV34"/>
  <c r="FW34"/>
  <c r="FX34"/>
  <c r="FY34"/>
  <c r="FZ34"/>
  <c r="GA34"/>
  <c r="GB34"/>
  <c r="GC34"/>
  <c r="GD34"/>
  <c r="GE34"/>
  <c r="GF34"/>
  <c r="GG34"/>
  <c r="GH34"/>
  <c r="GI34"/>
  <c r="GJ34"/>
  <c r="GK34"/>
  <c r="GL34"/>
  <c r="GM34"/>
  <c r="GN34"/>
  <c r="GO34"/>
  <c r="GP34"/>
  <c r="GQ34"/>
  <c r="GR34"/>
  <c r="GS34"/>
  <c r="GT34"/>
  <c r="GU34"/>
  <c r="GV34"/>
  <c r="GW34"/>
  <c r="GX34"/>
  <c r="GY34"/>
  <c r="GZ34"/>
  <c r="HA34"/>
  <c r="HB34"/>
  <c r="HC34"/>
  <c r="HD34"/>
  <c r="HE34"/>
  <c r="HF34"/>
  <c r="HG34"/>
  <c r="HH34"/>
  <c r="HI34"/>
  <c r="HJ34"/>
  <c r="HK34"/>
  <c r="HL34"/>
  <c r="HM34"/>
  <c r="HN34"/>
  <c r="HO34"/>
  <c r="HP34"/>
  <c r="HQ34"/>
  <c r="HR34"/>
  <c r="HS34"/>
  <c r="HT34"/>
  <c r="HU34"/>
  <c r="HV34"/>
  <c r="HW34"/>
  <c r="HX34"/>
  <c r="HY34"/>
  <c r="HZ34"/>
  <c r="IA34"/>
  <c r="IB34"/>
  <c r="IC34"/>
  <c r="ID34"/>
  <c r="IE34"/>
  <c r="IF34"/>
  <c r="IG34"/>
  <c r="IH34"/>
  <c r="II34"/>
  <c r="IJ34"/>
  <c r="IK34"/>
  <c r="IL34"/>
  <c r="IM34"/>
  <c r="IN34"/>
  <c r="IO34"/>
  <c r="IP34"/>
  <c r="IQ34"/>
  <c r="IR34"/>
  <c r="IS34"/>
  <c r="IT34"/>
  <c r="IU34"/>
  <c r="IV34"/>
  <c r="A33"/>
  <c r="B33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AO33"/>
  <c r="AP33"/>
  <c r="AQ33"/>
  <c r="AR33"/>
  <c r="AS33"/>
  <c r="AT33"/>
  <c r="AU33"/>
  <c r="AV33"/>
  <c r="AW33"/>
  <c r="AX33"/>
  <c r="AY33"/>
  <c r="AZ33"/>
  <c r="BA33"/>
  <c r="BB33"/>
  <c r="BC33"/>
  <c r="BD33"/>
  <c r="BE33"/>
  <c r="BF33"/>
  <c r="BG33"/>
  <c r="BH33"/>
  <c r="BI33"/>
  <c r="BJ33"/>
  <c r="BK33"/>
  <c r="BL33"/>
  <c r="BM33"/>
  <c r="BN33"/>
  <c r="BO33"/>
  <c r="BP33"/>
  <c r="BQ33"/>
  <c r="BR33"/>
  <c r="BS33"/>
  <c r="BT33"/>
  <c r="BU33"/>
  <c r="BV33"/>
  <c r="BW33"/>
  <c r="BX33"/>
  <c r="BY33"/>
  <c r="BZ33"/>
  <c r="CA33"/>
  <c r="CB33"/>
  <c r="CC33"/>
  <c r="CD33"/>
  <c r="CE33"/>
  <c r="CF33"/>
  <c r="CG33"/>
  <c r="CH33"/>
  <c r="CI33"/>
  <c r="CJ33"/>
  <c r="CK33"/>
  <c r="CL33"/>
  <c r="CM33"/>
  <c r="CN33"/>
  <c r="CO33"/>
  <c r="CP33"/>
  <c r="CQ33"/>
  <c r="CR33"/>
  <c r="CS33"/>
  <c r="CT33"/>
  <c r="CU33"/>
  <c r="CV33"/>
  <c r="CW33"/>
  <c r="CX33"/>
  <c r="CY33"/>
  <c r="CZ33"/>
  <c r="DA33"/>
  <c r="DB33"/>
  <c r="DC33"/>
  <c r="DD33"/>
  <c r="DE33"/>
  <c r="DF33"/>
  <c r="DG33"/>
  <c r="DH33"/>
  <c r="DI33"/>
  <c r="DJ33"/>
  <c r="DK33"/>
  <c r="DL33"/>
  <c r="DM33"/>
  <c r="DN33"/>
  <c r="DO33"/>
  <c r="DP33"/>
  <c r="DQ33"/>
  <c r="DR33"/>
  <c r="DS33"/>
  <c r="DT33"/>
  <c r="DU33"/>
  <c r="DV33"/>
  <c r="DW33"/>
  <c r="DX33"/>
  <c r="DY33"/>
  <c r="DZ33"/>
  <c r="EA33"/>
  <c r="EB33"/>
  <c r="EC33"/>
  <c r="ED33"/>
  <c r="EE33"/>
  <c r="EF33"/>
  <c r="EG33"/>
  <c r="EH33"/>
  <c r="EI33"/>
  <c r="EJ33"/>
  <c r="EK33"/>
  <c r="EL33"/>
  <c r="EM33"/>
  <c r="EN33"/>
  <c r="EO33"/>
  <c r="EP33"/>
  <c r="EQ33"/>
  <c r="ER33"/>
  <c r="ES33"/>
  <c r="ET33"/>
  <c r="EU33"/>
  <c r="EV33"/>
  <c r="EW33"/>
  <c r="EX33"/>
  <c r="EY33"/>
  <c r="EZ33"/>
  <c r="FA33"/>
  <c r="FB33"/>
  <c r="FC33"/>
  <c r="FD33"/>
  <c r="FE33"/>
  <c r="FF33"/>
  <c r="FG33"/>
  <c r="FH33"/>
  <c r="FI33"/>
  <c r="FJ33"/>
  <c r="FK33"/>
  <c r="FL33"/>
  <c r="FM33"/>
  <c r="FN33"/>
  <c r="FO33"/>
  <c r="FP33"/>
  <c r="FQ33"/>
  <c r="FR33"/>
  <c r="FS33"/>
  <c r="FT33"/>
  <c r="FU33"/>
  <c r="FV33"/>
  <c r="FW33"/>
  <c r="FX33"/>
  <c r="FY33"/>
  <c r="FZ33"/>
  <c r="GA33"/>
  <c r="GB33"/>
  <c r="GC33"/>
  <c r="GD33"/>
  <c r="GE33"/>
  <c r="GF33"/>
  <c r="GG33"/>
  <c r="GH33"/>
  <c r="GI33"/>
  <c r="GJ33"/>
  <c r="GK33"/>
  <c r="GL33"/>
  <c r="GM33"/>
  <c r="GN33"/>
  <c r="GO33"/>
  <c r="GP33"/>
  <c r="GQ33"/>
  <c r="GR33"/>
  <c r="GS33"/>
  <c r="GT33"/>
  <c r="GU33"/>
  <c r="GV33"/>
  <c r="GW33"/>
  <c r="GX33"/>
  <c r="GY33"/>
  <c r="GZ33"/>
  <c r="HA33"/>
  <c r="HB33"/>
  <c r="HC33"/>
  <c r="HD33"/>
  <c r="HE33"/>
  <c r="HF33"/>
  <c r="HG33"/>
  <c r="HH33"/>
  <c r="HI33"/>
  <c r="HJ33"/>
  <c r="HK33"/>
  <c r="HL33"/>
  <c r="HM33"/>
  <c r="HN33"/>
  <c r="HO33"/>
  <c r="HP33"/>
  <c r="HQ33"/>
  <c r="HR33"/>
  <c r="HS33"/>
  <c r="HT33"/>
  <c r="HU33"/>
  <c r="HV33"/>
  <c r="HW33"/>
  <c r="HX33"/>
  <c r="HY33"/>
  <c r="HZ33"/>
  <c r="IA33"/>
  <c r="IB33"/>
  <c r="IC33"/>
  <c r="ID33"/>
  <c r="IE33"/>
  <c r="IF33"/>
  <c r="IG33"/>
  <c r="IH33"/>
  <c r="II33"/>
  <c r="IJ33"/>
  <c r="IK33"/>
  <c r="IL33"/>
  <c r="IM33"/>
  <c r="IN33"/>
  <c r="IO33"/>
  <c r="IP33"/>
  <c r="IQ33"/>
  <c r="IR33"/>
  <c r="IS33"/>
  <c r="IT33"/>
  <c r="IU33"/>
  <c r="IV33"/>
  <c r="A32"/>
  <c r="B32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AO32"/>
  <c r="AP32"/>
  <c r="AQ32"/>
  <c r="AR32"/>
  <c r="AS32"/>
  <c r="AT32"/>
  <c r="AU32"/>
  <c r="AV32"/>
  <c r="AW32"/>
  <c r="AX32"/>
  <c r="AY32"/>
  <c r="AZ32"/>
  <c r="BA32"/>
  <c r="BB32"/>
  <c r="BC32"/>
  <c r="BD32"/>
  <c r="BE32"/>
  <c r="BF32"/>
  <c r="BG32"/>
  <c r="BH32"/>
  <c r="BI32"/>
  <c r="BJ32"/>
  <c r="BK32"/>
  <c r="BL32"/>
  <c r="BM32"/>
  <c r="BN32"/>
  <c r="BO32"/>
  <c r="BP32"/>
  <c r="BQ32"/>
  <c r="BR32"/>
  <c r="BS32"/>
  <c r="BT32"/>
  <c r="BU32"/>
  <c r="BV32"/>
  <c r="BW32"/>
  <c r="BX32"/>
  <c r="BY32"/>
  <c r="BZ32"/>
  <c r="CA32"/>
  <c r="CB32"/>
  <c r="CC32"/>
  <c r="CD32"/>
  <c r="CE32"/>
  <c r="CF32"/>
  <c r="CG32"/>
  <c r="CH32"/>
  <c r="CI32"/>
  <c r="CJ32"/>
  <c r="CK32"/>
  <c r="CL32"/>
  <c r="CM32"/>
  <c r="CN32"/>
  <c r="CO32"/>
  <c r="CP32"/>
  <c r="CQ32"/>
  <c r="CR32"/>
  <c r="CS32"/>
  <c r="CT32"/>
  <c r="CU32"/>
  <c r="CV32"/>
  <c r="CW32"/>
  <c r="CX32"/>
  <c r="CY32"/>
  <c r="CZ32"/>
  <c r="DA32"/>
  <c r="DB32"/>
  <c r="DC32"/>
  <c r="DD32"/>
  <c r="DE32"/>
  <c r="DF32"/>
  <c r="DG32"/>
  <c r="DH32"/>
  <c r="DI32"/>
  <c r="DJ32"/>
  <c r="DK32"/>
  <c r="DL32"/>
  <c r="DM32"/>
  <c r="DN32"/>
  <c r="DO32"/>
  <c r="DP32"/>
  <c r="DQ32"/>
  <c r="DR32"/>
  <c r="DS32"/>
  <c r="DT32"/>
  <c r="DU32"/>
  <c r="DV32"/>
  <c r="DW32"/>
  <c r="DX32"/>
  <c r="DY32"/>
  <c r="DZ32"/>
  <c r="EA32"/>
  <c r="EB32"/>
  <c r="EC32"/>
  <c r="ED32"/>
  <c r="EE32"/>
  <c r="EF32"/>
  <c r="EG32"/>
  <c r="EH32"/>
  <c r="EI32"/>
  <c r="EJ32"/>
  <c r="EK32"/>
  <c r="EL32"/>
  <c r="EM32"/>
  <c r="EN32"/>
  <c r="EO32"/>
  <c r="EP32"/>
  <c r="EQ32"/>
  <c r="ER32"/>
  <c r="ES32"/>
  <c r="ET32"/>
  <c r="EU32"/>
  <c r="EV32"/>
  <c r="EW32"/>
  <c r="EX32"/>
  <c r="EY32"/>
  <c r="EZ32"/>
  <c r="FA32"/>
  <c r="FB32"/>
  <c r="FC32"/>
  <c r="FD32"/>
  <c r="FE32"/>
  <c r="FF32"/>
  <c r="FG32"/>
  <c r="FH32"/>
  <c r="FI32"/>
  <c r="FJ32"/>
  <c r="FK32"/>
  <c r="FL32"/>
  <c r="FM32"/>
  <c r="FN32"/>
  <c r="FO32"/>
  <c r="FP32"/>
  <c r="FQ32"/>
  <c r="FR32"/>
  <c r="FS32"/>
  <c r="FT32"/>
  <c r="FU32"/>
  <c r="FV32"/>
  <c r="FW32"/>
  <c r="FX32"/>
  <c r="FY32"/>
  <c r="FZ32"/>
  <c r="GA32"/>
  <c r="GB32"/>
  <c r="GC32"/>
  <c r="GD32"/>
  <c r="GE32"/>
  <c r="GF32"/>
  <c r="GG32"/>
  <c r="GH32"/>
  <c r="GI32"/>
  <c r="GJ32"/>
  <c r="GK32"/>
  <c r="GL32"/>
  <c r="GM32"/>
  <c r="GN32"/>
  <c r="GO32"/>
  <c r="GP32"/>
  <c r="GQ32"/>
  <c r="GR32"/>
  <c r="GS32"/>
  <c r="GT32"/>
  <c r="GU32"/>
  <c r="GV32"/>
  <c r="GW32"/>
  <c r="GX32"/>
  <c r="GY32"/>
  <c r="GZ32"/>
  <c r="HA32"/>
  <c r="HB32"/>
  <c r="HC32"/>
  <c r="HD32"/>
  <c r="HE32"/>
  <c r="HF32"/>
  <c r="HG32"/>
  <c r="HH32"/>
  <c r="HI32"/>
  <c r="HJ32"/>
  <c r="HK32"/>
  <c r="HL32"/>
  <c r="HM32"/>
  <c r="HN32"/>
  <c r="HO32"/>
  <c r="HP32"/>
  <c r="HQ32"/>
  <c r="HR32"/>
  <c r="HS32"/>
  <c r="HT32"/>
  <c r="HU32"/>
  <c r="HV32"/>
  <c r="HW32"/>
  <c r="HX32"/>
  <c r="HY32"/>
  <c r="HZ32"/>
  <c r="IA32"/>
  <c r="IB32"/>
  <c r="IC32"/>
  <c r="ID32"/>
  <c r="IE32"/>
  <c r="IF32"/>
  <c r="IG32"/>
  <c r="IH32"/>
  <c r="II32"/>
  <c r="IJ32"/>
  <c r="IK32"/>
  <c r="IL32"/>
  <c r="IM32"/>
  <c r="IN32"/>
  <c r="IO32"/>
  <c r="IP32"/>
  <c r="IQ32"/>
  <c r="IR32"/>
  <c r="IS32"/>
  <c r="IT32"/>
  <c r="IU32"/>
  <c r="IV32"/>
  <c r="A31"/>
  <c r="B31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AR31"/>
  <c r="AS31"/>
  <c r="AT31"/>
  <c r="AU31"/>
  <c r="AV31"/>
  <c r="AW31"/>
  <c r="AX31"/>
  <c r="AY31"/>
  <c r="AZ31"/>
  <c r="BA31"/>
  <c r="BB31"/>
  <c r="BC31"/>
  <c r="BD31"/>
  <c r="BE31"/>
  <c r="BF31"/>
  <c r="BG31"/>
  <c r="BH31"/>
  <c r="BI31"/>
  <c r="BJ31"/>
  <c r="BK31"/>
  <c r="BL31"/>
  <c r="BM31"/>
  <c r="BN31"/>
  <c r="BO31"/>
  <c r="BP31"/>
  <c r="BQ31"/>
  <c r="BR31"/>
  <c r="BS31"/>
  <c r="BT31"/>
  <c r="BU31"/>
  <c r="BV31"/>
  <c r="BW31"/>
  <c r="BX31"/>
  <c r="BY31"/>
  <c r="BZ31"/>
  <c r="CA31"/>
  <c r="CB31"/>
  <c r="CC31"/>
  <c r="CD31"/>
  <c r="CE31"/>
  <c r="CF31"/>
  <c r="CG31"/>
  <c r="CH31"/>
  <c r="CI31"/>
  <c r="CJ31"/>
  <c r="CK31"/>
  <c r="CL31"/>
  <c r="CM31"/>
  <c r="CN31"/>
  <c r="CO31"/>
  <c r="CP31"/>
  <c r="CQ31"/>
  <c r="CR31"/>
  <c r="CS31"/>
  <c r="CT31"/>
  <c r="CU31"/>
  <c r="CV31"/>
  <c r="CW31"/>
  <c r="CX31"/>
  <c r="CY31"/>
  <c r="CZ31"/>
  <c r="DA31"/>
  <c r="DB31"/>
  <c r="DC31"/>
  <c r="DD31"/>
  <c r="DE31"/>
  <c r="DF31"/>
  <c r="DG31"/>
  <c r="DH31"/>
  <c r="DI31"/>
  <c r="DJ31"/>
  <c r="DK31"/>
  <c r="DL31"/>
  <c r="DM31"/>
  <c r="DN31"/>
  <c r="DO31"/>
  <c r="DP31"/>
  <c r="DQ31"/>
  <c r="DR31"/>
  <c r="DS31"/>
  <c r="DT31"/>
  <c r="DU31"/>
  <c r="DV31"/>
  <c r="DW31"/>
  <c r="DX31"/>
  <c r="DY31"/>
  <c r="DZ31"/>
  <c r="EA31"/>
  <c r="EB31"/>
  <c r="EC31"/>
  <c r="ED31"/>
  <c r="EE31"/>
  <c r="EF31"/>
  <c r="EG31"/>
  <c r="EH31"/>
  <c r="EI31"/>
  <c r="EJ31"/>
  <c r="EK31"/>
  <c r="EL31"/>
  <c r="EM31"/>
  <c r="EN31"/>
  <c r="EO31"/>
  <c r="EP31"/>
  <c r="EQ31"/>
  <c r="ER31"/>
  <c r="ES31"/>
  <c r="ET31"/>
  <c r="EU31"/>
  <c r="EV31"/>
  <c r="EW31"/>
  <c r="EX31"/>
  <c r="EY31"/>
  <c r="EZ31"/>
  <c r="FA31"/>
  <c r="FB31"/>
  <c r="FC31"/>
  <c r="FD31"/>
  <c r="FE31"/>
  <c r="FF31"/>
  <c r="FG31"/>
  <c r="FH31"/>
  <c r="FI31"/>
  <c r="FJ31"/>
  <c r="FK31"/>
  <c r="FL31"/>
  <c r="FM31"/>
  <c r="FN31"/>
  <c r="FO31"/>
  <c r="FP31"/>
  <c r="FQ31"/>
  <c r="FR31"/>
  <c r="FS31"/>
  <c r="FT31"/>
  <c r="FU31"/>
  <c r="FV31"/>
  <c r="FW31"/>
  <c r="FX31"/>
  <c r="FY31"/>
  <c r="FZ31"/>
  <c r="GA31"/>
  <c r="GB31"/>
  <c r="GC31"/>
  <c r="GD31"/>
  <c r="GE31"/>
  <c r="GF31"/>
  <c r="GG31"/>
  <c r="GH31"/>
  <c r="GI31"/>
  <c r="GJ31"/>
  <c r="GK31"/>
  <c r="GL31"/>
  <c r="GM31"/>
  <c r="GN31"/>
  <c r="GO31"/>
  <c r="GP31"/>
  <c r="GQ31"/>
  <c r="GR31"/>
  <c r="GS31"/>
  <c r="GT31"/>
  <c r="GU31"/>
  <c r="GV31"/>
  <c r="GW31"/>
  <c r="GX31"/>
  <c r="GY31"/>
  <c r="GZ31"/>
  <c r="HA31"/>
  <c r="HB31"/>
  <c r="HC31"/>
  <c r="HD31"/>
  <c r="HE31"/>
  <c r="HF31"/>
  <c r="HG31"/>
  <c r="HH31"/>
  <c r="HI31"/>
  <c r="HJ31"/>
  <c r="HK31"/>
  <c r="HL31"/>
  <c r="HM31"/>
  <c r="HN31"/>
  <c r="HO31"/>
  <c r="HP31"/>
  <c r="HQ31"/>
  <c r="HR31"/>
  <c r="HS31"/>
  <c r="HT31"/>
  <c r="HU31"/>
  <c r="HV31"/>
  <c r="HW31"/>
  <c r="HX31"/>
  <c r="HY31"/>
  <c r="HZ31"/>
  <c r="IA31"/>
  <c r="IB31"/>
  <c r="IC31"/>
  <c r="ID31"/>
  <c r="IE31"/>
  <c r="IF31"/>
  <c r="IG31"/>
  <c r="IH31"/>
  <c r="II31"/>
  <c r="IJ31"/>
  <c r="IK31"/>
  <c r="IL31"/>
  <c r="IM31"/>
  <c r="IN31"/>
  <c r="IO31"/>
  <c r="IP31"/>
  <c r="IQ31"/>
  <c r="IR31"/>
  <c r="IS31"/>
  <c r="IT31"/>
  <c r="IU31"/>
  <c r="IV31"/>
  <c r="A30"/>
  <c r="B30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AS30"/>
  <c r="AT30"/>
  <c r="AU30"/>
  <c r="AV30"/>
  <c r="AW30"/>
  <c r="AX30"/>
  <c r="AY30"/>
  <c r="AZ30"/>
  <c r="BA30"/>
  <c r="BB30"/>
  <c r="BC30"/>
  <c r="BD30"/>
  <c r="BE30"/>
  <c r="BF30"/>
  <c r="BG30"/>
  <c r="BH30"/>
  <c r="BI30"/>
  <c r="BJ30"/>
  <c r="BK30"/>
  <c r="BL30"/>
  <c r="BM30"/>
  <c r="BN30"/>
  <c r="BO30"/>
  <c r="BP30"/>
  <c r="BQ30"/>
  <c r="BR30"/>
  <c r="BS30"/>
  <c r="BT30"/>
  <c r="BU30"/>
  <c r="BV30"/>
  <c r="BW30"/>
  <c r="BX30"/>
  <c r="BY30"/>
  <c r="BZ30"/>
  <c r="CA30"/>
  <c r="CB30"/>
  <c r="CC30"/>
  <c r="CD30"/>
  <c r="CE30"/>
  <c r="CF30"/>
  <c r="CG30"/>
  <c r="CH30"/>
  <c r="CI30"/>
  <c r="CJ30"/>
  <c r="CK30"/>
  <c r="CL30"/>
  <c r="CM30"/>
  <c r="CN30"/>
  <c r="CO30"/>
  <c r="CP30"/>
  <c r="CQ30"/>
  <c r="CR30"/>
  <c r="CS30"/>
  <c r="CT30"/>
  <c r="CU30"/>
  <c r="CV30"/>
  <c r="CW30"/>
  <c r="CX30"/>
  <c r="CY30"/>
  <c r="CZ30"/>
  <c r="DA30"/>
  <c r="DB30"/>
  <c r="DC30"/>
  <c r="DD30"/>
  <c r="DE30"/>
  <c r="DF30"/>
  <c r="DG30"/>
  <c r="DH30"/>
  <c r="DI30"/>
  <c r="DJ30"/>
  <c r="DK30"/>
  <c r="DL30"/>
  <c r="DM30"/>
  <c r="DN30"/>
  <c r="DO30"/>
  <c r="DP30"/>
  <c r="DQ30"/>
  <c r="DR30"/>
  <c r="DS30"/>
  <c r="DT30"/>
  <c r="DU30"/>
  <c r="DV30"/>
  <c r="DW30"/>
  <c r="DX30"/>
  <c r="DY30"/>
  <c r="DZ30"/>
  <c r="EA30"/>
  <c r="EB30"/>
  <c r="EC30"/>
  <c r="ED30"/>
  <c r="EE30"/>
  <c r="EF30"/>
  <c r="EG30"/>
  <c r="EH30"/>
  <c r="EI30"/>
  <c r="EJ30"/>
  <c r="EK30"/>
  <c r="EL30"/>
  <c r="EM30"/>
  <c r="EN30"/>
  <c r="EO30"/>
  <c r="EP30"/>
  <c r="EQ30"/>
  <c r="ER30"/>
  <c r="ES30"/>
  <c r="ET30"/>
  <c r="EU30"/>
  <c r="EV30"/>
  <c r="EW30"/>
  <c r="EX30"/>
  <c r="EY30"/>
  <c r="EZ30"/>
  <c r="FA30"/>
  <c r="FB30"/>
  <c r="FC30"/>
  <c r="FD30"/>
  <c r="FE30"/>
  <c r="FF30"/>
  <c r="FG30"/>
  <c r="FH30"/>
  <c r="FI30"/>
  <c r="FJ30"/>
  <c r="FK30"/>
  <c r="FL30"/>
  <c r="FM30"/>
  <c r="FN30"/>
  <c r="FO30"/>
  <c r="FP30"/>
  <c r="FQ30"/>
  <c r="FR30"/>
  <c r="FS30"/>
  <c r="FT30"/>
  <c r="FU30"/>
  <c r="FV30"/>
  <c r="FW30"/>
  <c r="FX30"/>
  <c r="FY30"/>
  <c r="FZ30"/>
  <c r="GA30"/>
  <c r="GB30"/>
  <c r="GC30"/>
  <c r="GD30"/>
  <c r="GE30"/>
  <c r="GF30"/>
  <c r="GG30"/>
  <c r="GH30"/>
  <c r="GI30"/>
  <c r="GJ30"/>
  <c r="GK30"/>
  <c r="GL30"/>
  <c r="GM30"/>
  <c r="GN30"/>
  <c r="GO30"/>
  <c r="GP30"/>
  <c r="GQ30"/>
  <c r="GR30"/>
  <c r="GS30"/>
  <c r="GT30"/>
  <c r="GU30"/>
  <c r="GV30"/>
  <c r="GW30"/>
  <c r="GX30"/>
  <c r="GY30"/>
  <c r="GZ30"/>
  <c r="HA30"/>
  <c r="HB30"/>
  <c r="HC30"/>
  <c r="HD30"/>
  <c r="HE30"/>
  <c r="HF30"/>
  <c r="HG30"/>
  <c r="HH30"/>
  <c r="HI30"/>
  <c r="HJ30"/>
  <c r="HK30"/>
  <c r="HL30"/>
  <c r="HM30"/>
  <c r="HN30"/>
  <c r="HO30"/>
  <c r="HP30"/>
  <c r="HQ30"/>
  <c r="HR30"/>
  <c r="HS30"/>
  <c r="HT30"/>
  <c r="HU30"/>
  <c r="HV30"/>
  <c r="HW30"/>
  <c r="HX30"/>
  <c r="HY30"/>
  <c r="HZ30"/>
  <c r="IA30"/>
  <c r="IB30"/>
  <c r="IC30"/>
  <c r="ID30"/>
  <c r="IE30"/>
  <c r="IF30"/>
  <c r="IG30"/>
  <c r="IH30"/>
  <c r="II30"/>
  <c r="IJ30"/>
  <c r="IK30"/>
  <c r="IL30"/>
  <c r="IM30"/>
  <c r="IN30"/>
  <c r="IO30"/>
  <c r="IP30"/>
  <c r="IQ30"/>
  <c r="IR30"/>
  <c r="IS30"/>
  <c r="IT30"/>
  <c r="IU30"/>
  <c r="IV30"/>
  <c r="A29"/>
  <c r="B29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AU29"/>
  <c r="AV29"/>
  <c r="AW29"/>
  <c r="AX29"/>
  <c r="AY29"/>
  <c r="AZ29"/>
  <c r="BA29"/>
  <c r="BB29"/>
  <c r="BC29"/>
  <c r="BD29"/>
  <c r="BE29"/>
  <c r="BF29"/>
  <c r="BG29"/>
  <c r="BH29"/>
  <c r="BI29"/>
  <c r="BJ29"/>
  <c r="BK29"/>
  <c r="BL29"/>
  <c r="BM29"/>
  <c r="BN29"/>
  <c r="BO29"/>
  <c r="BP29"/>
  <c r="BQ29"/>
  <c r="BR29"/>
  <c r="BS29"/>
  <c r="BT29"/>
  <c r="BU29"/>
  <c r="BV29"/>
  <c r="BW29"/>
  <c r="BX29"/>
  <c r="BY29"/>
  <c r="BZ29"/>
  <c r="CA29"/>
  <c r="CB29"/>
  <c r="CC29"/>
  <c r="CD29"/>
  <c r="CE29"/>
  <c r="CF29"/>
  <c r="CG29"/>
  <c r="CH29"/>
  <c r="CI29"/>
  <c r="CJ29"/>
  <c r="CK29"/>
  <c r="CL29"/>
  <c r="CM29"/>
  <c r="CN29"/>
  <c r="CO29"/>
  <c r="CP29"/>
  <c r="CQ29"/>
  <c r="CR29"/>
  <c r="CS29"/>
  <c r="CT29"/>
  <c r="CU29"/>
  <c r="CV29"/>
  <c r="CW29"/>
  <c r="CX29"/>
  <c r="CY29"/>
  <c r="CZ29"/>
  <c r="DA29"/>
  <c r="DB29"/>
  <c r="DC29"/>
  <c r="DD29"/>
  <c r="DE29"/>
  <c r="DF29"/>
  <c r="DG29"/>
  <c r="DH29"/>
  <c r="DI29"/>
  <c r="DJ29"/>
  <c r="DK29"/>
  <c r="DL29"/>
  <c r="DM29"/>
  <c r="DN29"/>
  <c r="DO29"/>
  <c r="DP29"/>
  <c r="DQ29"/>
  <c r="DR29"/>
  <c r="DS29"/>
  <c r="DT29"/>
  <c r="DU29"/>
  <c r="DV29"/>
  <c r="DW29"/>
  <c r="DX29"/>
  <c r="DY29"/>
  <c r="DZ29"/>
  <c r="EA29"/>
  <c r="EB29"/>
  <c r="EC29"/>
  <c r="ED29"/>
  <c r="EE29"/>
  <c r="EF29"/>
  <c r="EG29"/>
  <c r="EH29"/>
  <c r="EI29"/>
  <c r="EJ29"/>
  <c r="EK29"/>
  <c r="EL29"/>
  <c r="EM29"/>
  <c r="EN29"/>
  <c r="EO29"/>
  <c r="EP29"/>
  <c r="EQ29"/>
  <c r="ER29"/>
  <c r="ES29"/>
  <c r="ET29"/>
  <c r="EU29"/>
  <c r="EV29"/>
  <c r="EW29"/>
  <c r="EX29"/>
  <c r="EY29"/>
  <c r="EZ29"/>
  <c r="FA29"/>
  <c r="FB29"/>
  <c r="FC29"/>
  <c r="FD29"/>
  <c r="FE29"/>
  <c r="FF29"/>
  <c r="FG29"/>
  <c r="FH29"/>
  <c r="FI29"/>
  <c r="FJ29"/>
  <c r="FK29"/>
  <c r="FL29"/>
  <c r="FM29"/>
  <c r="FN29"/>
  <c r="FO29"/>
  <c r="FP29"/>
  <c r="FQ29"/>
  <c r="FR29"/>
  <c r="FS29"/>
  <c r="FT29"/>
  <c r="FU29"/>
  <c r="FV29"/>
  <c r="FW29"/>
  <c r="FX29"/>
  <c r="FY29"/>
  <c r="FZ29"/>
  <c r="GA29"/>
  <c r="GB29"/>
  <c r="GC29"/>
  <c r="GD29"/>
  <c r="GE29"/>
  <c r="GF29"/>
  <c r="GG29"/>
  <c r="GH29"/>
  <c r="GI29"/>
  <c r="GJ29"/>
  <c r="GK29"/>
  <c r="GL29"/>
  <c r="GM29"/>
  <c r="GN29"/>
  <c r="GO29"/>
  <c r="GP29"/>
  <c r="GQ29"/>
  <c r="GR29"/>
  <c r="GS29"/>
  <c r="GT29"/>
  <c r="GU29"/>
  <c r="GV29"/>
  <c r="GW29"/>
  <c r="GX29"/>
  <c r="GY29"/>
  <c r="GZ29"/>
  <c r="HA29"/>
  <c r="HB29"/>
  <c r="HC29"/>
  <c r="HD29"/>
  <c r="HE29"/>
  <c r="HF29"/>
  <c r="HG29"/>
  <c r="HH29"/>
  <c r="HI29"/>
  <c r="HJ29"/>
  <c r="HK29"/>
  <c r="HL29"/>
  <c r="HM29"/>
  <c r="HN29"/>
  <c r="HO29"/>
  <c r="HP29"/>
  <c r="HQ29"/>
  <c r="HR29"/>
  <c r="HS29"/>
  <c r="HT29"/>
  <c r="HU29"/>
  <c r="HV29"/>
  <c r="HW29"/>
  <c r="HX29"/>
  <c r="HY29"/>
  <c r="HZ29"/>
  <c r="IA29"/>
  <c r="IB29"/>
  <c r="IC29"/>
  <c r="ID29"/>
  <c r="IE29"/>
  <c r="IF29"/>
  <c r="IG29"/>
  <c r="IH29"/>
  <c r="II29"/>
  <c r="IJ29"/>
  <c r="IK29"/>
  <c r="IL29"/>
  <c r="IM29"/>
  <c r="IN29"/>
  <c r="IO29"/>
  <c r="IP29"/>
  <c r="IQ29"/>
  <c r="IR29"/>
  <c r="IS29"/>
  <c r="IT29"/>
  <c r="IU29"/>
  <c r="IV29"/>
  <c r="A28"/>
  <c r="B28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AT28"/>
  <c r="AU28"/>
  <c r="AV28"/>
  <c r="AW28"/>
  <c r="AX28"/>
  <c r="AY28"/>
  <c r="AZ28"/>
  <c r="BA28"/>
  <c r="BB28"/>
  <c r="BC28"/>
  <c r="BD28"/>
  <c r="BE28"/>
  <c r="BF28"/>
  <c r="BG28"/>
  <c r="BH28"/>
  <c r="BI28"/>
  <c r="BJ28"/>
  <c r="BK28"/>
  <c r="BL28"/>
  <c r="BM28"/>
  <c r="BN28"/>
  <c r="BO28"/>
  <c r="BP28"/>
  <c r="BQ28"/>
  <c r="BR28"/>
  <c r="BS28"/>
  <c r="BT28"/>
  <c r="BU28"/>
  <c r="BV28"/>
  <c r="BW28"/>
  <c r="BX28"/>
  <c r="BY28"/>
  <c r="BZ28"/>
  <c r="CA28"/>
  <c r="CB28"/>
  <c r="CC28"/>
  <c r="CD28"/>
  <c r="CE28"/>
  <c r="CF28"/>
  <c r="CG28"/>
  <c r="CH28"/>
  <c r="CI28"/>
  <c r="CJ28"/>
  <c r="CK28"/>
  <c r="CL28"/>
  <c r="CM28"/>
  <c r="CN28"/>
  <c r="CO28"/>
  <c r="CP28"/>
  <c r="CQ28"/>
  <c r="CR28"/>
  <c r="CS28"/>
  <c r="CT28"/>
  <c r="CU28"/>
  <c r="CV28"/>
  <c r="CW28"/>
  <c r="CX28"/>
  <c r="CY28"/>
  <c r="CZ28"/>
  <c r="DA28"/>
  <c r="DB28"/>
  <c r="DC28"/>
  <c r="DD28"/>
  <c r="DE28"/>
  <c r="DF28"/>
  <c r="DG28"/>
  <c r="DH28"/>
  <c r="DI28"/>
  <c r="DJ28"/>
  <c r="DK28"/>
  <c r="DL28"/>
  <c r="DM28"/>
  <c r="DN28"/>
  <c r="DO28"/>
  <c r="DP28"/>
  <c r="DQ28"/>
  <c r="DR28"/>
  <c r="DS28"/>
  <c r="DT28"/>
  <c r="DU28"/>
  <c r="DV28"/>
  <c r="DW28"/>
  <c r="DX28"/>
  <c r="DY28"/>
  <c r="DZ28"/>
  <c r="EA28"/>
  <c r="EB28"/>
  <c r="EC28"/>
  <c r="ED28"/>
  <c r="EE28"/>
  <c r="EF28"/>
  <c r="EG28"/>
  <c r="EH28"/>
  <c r="EI28"/>
  <c r="EJ28"/>
  <c r="EK28"/>
  <c r="EL28"/>
  <c r="EM28"/>
  <c r="EN28"/>
  <c r="EO28"/>
  <c r="EP28"/>
  <c r="EQ28"/>
  <c r="ER28"/>
  <c r="ES28"/>
  <c r="ET28"/>
  <c r="EU28"/>
  <c r="EV28"/>
  <c r="EW28"/>
  <c r="EX28"/>
  <c r="EY28"/>
  <c r="EZ28"/>
  <c r="FA28"/>
  <c r="FB28"/>
  <c r="FC28"/>
  <c r="FD28"/>
  <c r="FE28"/>
  <c r="FF28"/>
  <c r="FG28"/>
  <c r="FH28"/>
  <c r="FI28"/>
  <c r="FJ28"/>
  <c r="FK28"/>
  <c r="FL28"/>
  <c r="FM28"/>
  <c r="FN28"/>
  <c r="FO28"/>
  <c r="FP28"/>
  <c r="FQ28"/>
  <c r="FR28"/>
  <c r="FS28"/>
  <c r="FT28"/>
  <c r="FU28"/>
  <c r="FV28"/>
  <c r="FW28"/>
  <c r="FX28"/>
  <c r="FY28"/>
  <c r="FZ28"/>
  <c r="GA28"/>
  <c r="GB28"/>
  <c r="GC28"/>
  <c r="GD28"/>
  <c r="GE28"/>
  <c r="GF28"/>
  <c r="GG28"/>
  <c r="GH28"/>
  <c r="GI28"/>
  <c r="GJ28"/>
  <c r="GK28"/>
  <c r="GL28"/>
  <c r="GM28"/>
  <c r="GN28"/>
  <c r="GO28"/>
  <c r="GP28"/>
  <c r="GQ28"/>
  <c r="GR28"/>
  <c r="GS28"/>
  <c r="GT28"/>
  <c r="GU28"/>
  <c r="GV28"/>
  <c r="GW28"/>
  <c r="GX28"/>
  <c r="GY28"/>
  <c r="GZ28"/>
  <c r="HA28"/>
  <c r="HB28"/>
  <c r="HC28"/>
  <c r="HD28"/>
  <c r="HE28"/>
  <c r="HF28"/>
  <c r="HG28"/>
  <c r="HH28"/>
  <c r="HI28"/>
  <c r="HJ28"/>
  <c r="HK28"/>
  <c r="HL28"/>
  <c r="HM28"/>
  <c r="HN28"/>
  <c r="HO28"/>
  <c r="HP28"/>
  <c r="HQ28"/>
  <c r="HR28"/>
  <c r="HS28"/>
  <c r="HT28"/>
  <c r="HU28"/>
  <c r="HV28"/>
  <c r="HW28"/>
  <c r="HX28"/>
  <c r="HY28"/>
  <c r="HZ28"/>
  <c r="IA28"/>
  <c r="IB28"/>
  <c r="IC28"/>
  <c r="ID28"/>
  <c r="IE28"/>
  <c r="IF28"/>
  <c r="IG28"/>
  <c r="IH28"/>
  <c r="II28"/>
  <c r="IJ28"/>
  <c r="IK28"/>
  <c r="IL28"/>
  <c r="IM28"/>
  <c r="IN28"/>
  <c r="IO28"/>
  <c r="IP28"/>
  <c r="IQ28"/>
  <c r="IR28"/>
  <c r="IS28"/>
  <c r="IT28"/>
  <c r="IU28"/>
  <c r="IV28"/>
  <c r="A27"/>
  <c r="B27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T27"/>
  <c r="AU27"/>
  <c r="AV27"/>
  <c r="AW27"/>
  <c r="AX27"/>
  <c r="AY27"/>
  <c r="AZ27"/>
  <c r="BA27"/>
  <c r="BB27"/>
  <c r="BC27"/>
  <c r="BD27"/>
  <c r="BE27"/>
  <c r="BF27"/>
  <c r="BG27"/>
  <c r="BH27"/>
  <c r="BI27"/>
  <c r="BJ27"/>
  <c r="BK27"/>
  <c r="BL27"/>
  <c r="BM27"/>
  <c r="BN27"/>
  <c r="BO27"/>
  <c r="BP27"/>
  <c r="BQ27"/>
  <c r="BR27"/>
  <c r="BS27"/>
  <c r="BT27"/>
  <c r="BU27"/>
  <c r="BV27"/>
  <c r="BW27"/>
  <c r="BX27"/>
  <c r="BY27"/>
  <c r="BZ27"/>
  <c r="CA27"/>
  <c r="CB27"/>
  <c r="CC27"/>
  <c r="CD27"/>
  <c r="CE27"/>
  <c r="CF27"/>
  <c r="CG27"/>
  <c r="CH27"/>
  <c r="CI27"/>
  <c r="CJ27"/>
  <c r="CK27"/>
  <c r="CL27"/>
  <c r="CM27"/>
  <c r="CN27"/>
  <c r="CO27"/>
  <c r="CP27"/>
  <c r="CQ27"/>
  <c r="CR27"/>
  <c r="CS27"/>
  <c r="CT27"/>
  <c r="CU27"/>
  <c r="CV27"/>
  <c r="CW27"/>
  <c r="CX27"/>
  <c r="CY27"/>
  <c r="CZ27"/>
  <c r="DA27"/>
  <c r="DB27"/>
  <c r="DC27"/>
  <c r="DD27"/>
  <c r="DE27"/>
  <c r="DF27"/>
  <c r="DG27"/>
  <c r="DH27"/>
  <c r="DI27"/>
  <c r="DJ27"/>
  <c r="DK27"/>
  <c r="DL27"/>
  <c r="DM27"/>
  <c r="DN27"/>
  <c r="DO27"/>
  <c r="DP27"/>
  <c r="DQ27"/>
  <c r="DR27"/>
  <c r="DS27"/>
  <c r="DT27"/>
  <c r="DU27"/>
  <c r="DV27"/>
  <c r="DW27"/>
  <c r="DX27"/>
  <c r="DY27"/>
  <c r="DZ27"/>
  <c r="EA27"/>
  <c r="EB27"/>
  <c r="EC27"/>
  <c r="ED27"/>
  <c r="EE27"/>
  <c r="EF27"/>
  <c r="EG27"/>
  <c r="EH27"/>
  <c r="EI27"/>
  <c r="EJ27"/>
  <c r="EK27"/>
  <c r="EL27"/>
  <c r="EM27"/>
  <c r="EN27"/>
  <c r="EO27"/>
  <c r="EP27"/>
  <c r="EQ27"/>
  <c r="ER27"/>
  <c r="ES27"/>
  <c r="ET27"/>
  <c r="EU27"/>
  <c r="EV27"/>
  <c r="EW27"/>
  <c r="EX27"/>
  <c r="EY27"/>
  <c r="EZ27"/>
  <c r="FA27"/>
  <c r="FB27"/>
  <c r="FC27"/>
  <c r="FD27"/>
  <c r="FE27"/>
  <c r="FF27"/>
  <c r="FG27"/>
  <c r="FH27"/>
  <c r="FI27"/>
  <c r="FJ27"/>
  <c r="FK27"/>
  <c r="FL27"/>
  <c r="FM27"/>
  <c r="FN27"/>
  <c r="FO27"/>
  <c r="FP27"/>
  <c r="FQ27"/>
  <c r="FR27"/>
  <c r="FS27"/>
  <c r="FT27"/>
  <c r="FU27"/>
  <c r="FV27"/>
  <c r="FW27"/>
  <c r="FX27"/>
  <c r="FY27"/>
  <c r="FZ27"/>
  <c r="GA27"/>
  <c r="GB27"/>
  <c r="GC27"/>
  <c r="GD27"/>
  <c r="GE27"/>
  <c r="GF27"/>
  <c r="GG27"/>
  <c r="GH27"/>
  <c r="GI27"/>
  <c r="GJ27"/>
  <c r="GK27"/>
  <c r="GL27"/>
  <c r="GM27"/>
  <c r="GN27"/>
  <c r="GO27"/>
  <c r="GP27"/>
  <c r="GQ27"/>
  <c r="GR27"/>
  <c r="GS27"/>
  <c r="GT27"/>
  <c r="GU27"/>
  <c r="GV27"/>
  <c r="GW27"/>
  <c r="GX27"/>
  <c r="GY27"/>
  <c r="GZ27"/>
  <c r="HA27"/>
  <c r="HB27"/>
  <c r="HC27"/>
  <c r="HD27"/>
  <c r="HE27"/>
  <c r="HF27"/>
  <c r="HG27"/>
  <c r="HH27"/>
  <c r="HI27"/>
  <c r="HJ27"/>
  <c r="HK27"/>
  <c r="HL27"/>
  <c r="HM27"/>
  <c r="HN27"/>
  <c r="HO27"/>
  <c r="HP27"/>
  <c r="HQ27"/>
  <c r="HR27"/>
  <c r="HS27"/>
  <c r="HT27"/>
  <c r="HU27"/>
  <c r="HV27"/>
  <c r="HW27"/>
  <c r="HX27"/>
  <c r="HY27"/>
  <c r="HZ27"/>
  <c r="IA27"/>
  <c r="IB27"/>
  <c r="IC27"/>
  <c r="ID27"/>
  <c r="IE27"/>
  <c r="IF27"/>
  <c r="IG27"/>
  <c r="IH27"/>
  <c r="II27"/>
  <c r="IJ27"/>
  <c r="IK27"/>
  <c r="IL27"/>
  <c r="IM27"/>
  <c r="IN27"/>
  <c r="IO27"/>
  <c r="IP27"/>
  <c r="IQ27"/>
  <c r="IR27"/>
  <c r="IS27"/>
  <c r="IT27"/>
  <c r="IU27"/>
  <c r="IV27"/>
  <c r="A26"/>
  <c r="B26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T26"/>
  <c r="AU26"/>
  <c r="AV26"/>
  <c r="AW26"/>
  <c r="AX26"/>
  <c r="AY26"/>
  <c r="AZ26"/>
  <c r="BA26"/>
  <c r="BB26"/>
  <c r="BC26"/>
  <c r="BD26"/>
  <c r="BE26"/>
  <c r="BF26"/>
  <c r="BG26"/>
  <c r="BH26"/>
  <c r="BI26"/>
  <c r="BJ26"/>
  <c r="BK26"/>
  <c r="BL26"/>
  <c r="BM26"/>
  <c r="BN26"/>
  <c r="BO26"/>
  <c r="BP26"/>
  <c r="BQ26"/>
  <c r="BR26"/>
  <c r="BS26"/>
  <c r="BT26"/>
  <c r="BU26"/>
  <c r="BV26"/>
  <c r="BW26"/>
  <c r="BX26"/>
  <c r="BY26"/>
  <c r="BZ26"/>
  <c r="CA26"/>
  <c r="CB26"/>
  <c r="CC26"/>
  <c r="CD26"/>
  <c r="CE26"/>
  <c r="CF26"/>
  <c r="CG26"/>
  <c r="CH26"/>
  <c r="CI26"/>
  <c r="CJ26"/>
  <c r="CK26"/>
  <c r="CL26"/>
  <c r="CM26"/>
  <c r="CN26"/>
  <c r="CO26"/>
  <c r="CP26"/>
  <c r="CQ26"/>
  <c r="CR26"/>
  <c r="CS26"/>
  <c r="CT26"/>
  <c r="CU26"/>
  <c r="CV26"/>
  <c r="CW26"/>
  <c r="CX26"/>
  <c r="CY26"/>
  <c r="CZ26"/>
  <c r="DA26"/>
  <c r="DB26"/>
  <c r="DC26"/>
  <c r="DD26"/>
  <c r="DE26"/>
  <c r="DF26"/>
  <c r="DG26"/>
  <c r="DH26"/>
  <c r="DI26"/>
  <c r="DJ26"/>
  <c r="DK26"/>
  <c r="DL26"/>
  <c r="DM26"/>
  <c r="DN26"/>
  <c r="DO26"/>
  <c r="DP26"/>
  <c r="DQ26"/>
  <c r="DR26"/>
  <c r="DS26"/>
  <c r="DT26"/>
  <c r="DU26"/>
  <c r="DV26"/>
  <c r="DW26"/>
  <c r="DX26"/>
  <c r="DY26"/>
  <c r="DZ26"/>
  <c r="EA26"/>
  <c r="EB26"/>
  <c r="EC26"/>
  <c r="ED26"/>
  <c r="EE26"/>
  <c r="EF26"/>
  <c r="EG26"/>
  <c r="EH26"/>
  <c r="EI26"/>
  <c r="EJ26"/>
  <c r="EK26"/>
  <c r="EL26"/>
  <c r="EM26"/>
  <c r="EN26"/>
  <c r="EO26"/>
  <c r="EP26"/>
  <c r="EQ26"/>
  <c r="ER26"/>
  <c r="ES26"/>
  <c r="ET26"/>
  <c r="EU26"/>
  <c r="EV26"/>
  <c r="EW26"/>
  <c r="EX26"/>
  <c r="EY26"/>
  <c r="EZ26"/>
  <c r="FA26"/>
  <c r="FB26"/>
  <c r="FC26"/>
  <c r="FD26"/>
  <c r="FE26"/>
  <c r="FF26"/>
  <c r="FG26"/>
  <c r="FH26"/>
  <c r="FI26"/>
  <c r="FJ26"/>
  <c r="FK26"/>
  <c r="FL26"/>
  <c r="FM26"/>
  <c r="FN26"/>
  <c r="FO26"/>
  <c r="FP26"/>
  <c r="FQ26"/>
  <c r="FR26"/>
  <c r="FS26"/>
  <c r="FT26"/>
  <c r="FU26"/>
  <c r="FV26"/>
  <c r="FW26"/>
  <c r="FX26"/>
  <c r="FY26"/>
  <c r="FZ26"/>
  <c r="GA26"/>
  <c r="GB26"/>
  <c r="GC26"/>
  <c r="GD26"/>
  <c r="GE26"/>
  <c r="GF26"/>
  <c r="GG26"/>
  <c r="GH26"/>
  <c r="GI26"/>
  <c r="GJ26"/>
  <c r="GK26"/>
  <c r="GL26"/>
  <c r="GM26"/>
  <c r="GN26"/>
  <c r="GO26"/>
  <c r="GP26"/>
  <c r="GQ26"/>
  <c r="GR26"/>
  <c r="GS26"/>
  <c r="GT26"/>
  <c r="GU26"/>
  <c r="GV26"/>
  <c r="GW26"/>
  <c r="GX26"/>
  <c r="GY26"/>
  <c r="GZ26"/>
  <c r="HA26"/>
  <c r="HB26"/>
  <c r="HC26"/>
  <c r="HD26"/>
  <c r="HE26"/>
  <c r="HF26"/>
  <c r="HG26"/>
  <c r="HH26"/>
  <c r="HI26"/>
  <c r="HJ26"/>
  <c r="HK26"/>
  <c r="HL26"/>
  <c r="HM26"/>
  <c r="HN26"/>
  <c r="HO26"/>
  <c r="HP26"/>
  <c r="HQ26"/>
  <c r="HR26"/>
  <c r="HS26"/>
  <c r="HT26"/>
  <c r="HU26"/>
  <c r="HV26"/>
  <c r="HW26"/>
  <c r="HX26"/>
  <c r="HY26"/>
  <c r="HZ26"/>
  <c r="IA26"/>
  <c r="IB26"/>
  <c r="IC26"/>
  <c r="ID26"/>
  <c r="IE26"/>
  <c r="IF26"/>
  <c r="IG26"/>
  <c r="IH26"/>
  <c r="II26"/>
  <c r="IJ26"/>
  <c r="IK26"/>
  <c r="IL26"/>
  <c r="IM26"/>
  <c r="IN26"/>
  <c r="IO26"/>
  <c r="IP26"/>
  <c r="IQ26"/>
  <c r="IR26"/>
  <c r="IS26"/>
  <c r="IT26"/>
  <c r="IU26"/>
  <c r="IV26"/>
  <c r="A25"/>
  <c r="B25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AS25"/>
  <c r="AT25"/>
  <c r="AU25"/>
  <c r="AV25"/>
  <c r="AW25"/>
  <c r="AX25"/>
  <c r="AY25"/>
  <c r="AZ25"/>
  <c r="BA25"/>
  <c r="BB25"/>
  <c r="BC25"/>
  <c r="BD25"/>
  <c r="BE25"/>
  <c r="BF25"/>
  <c r="BG25"/>
  <c r="BH25"/>
  <c r="BI25"/>
  <c r="BJ25"/>
  <c r="BK25"/>
  <c r="BL25"/>
  <c r="BM25"/>
  <c r="BN25"/>
  <c r="BO25"/>
  <c r="BP25"/>
  <c r="BQ25"/>
  <c r="BR25"/>
  <c r="BS25"/>
  <c r="BT25"/>
  <c r="BU25"/>
  <c r="BV25"/>
  <c r="BW25"/>
  <c r="BX25"/>
  <c r="BY25"/>
  <c r="BZ25"/>
  <c r="CA25"/>
  <c r="CB25"/>
  <c r="CC25"/>
  <c r="CD25"/>
  <c r="CE25"/>
  <c r="CF25"/>
  <c r="CG25"/>
  <c r="CH25"/>
  <c r="CI25"/>
  <c r="CJ25"/>
  <c r="CK25"/>
  <c r="CL25"/>
  <c r="CM25"/>
  <c r="CN25"/>
  <c r="CO25"/>
  <c r="CP25"/>
  <c r="CQ25"/>
  <c r="CR25"/>
  <c r="CS25"/>
  <c r="CT25"/>
  <c r="CU25"/>
  <c r="CV25"/>
  <c r="CW25"/>
  <c r="CX25"/>
  <c r="CY25"/>
  <c r="CZ25"/>
  <c r="DA25"/>
  <c r="DB25"/>
  <c r="DC25"/>
  <c r="DD25"/>
  <c r="DE25"/>
  <c r="DF25"/>
  <c r="DG25"/>
  <c r="DH25"/>
  <c r="DI25"/>
  <c r="DJ25"/>
  <c r="DK25"/>
  <c r="DL25"/>
  <c r="DM25"/>
  <c r="DN25"/>
  <c r="DO25"/>
  <c r="DP25"/>
  <c r="DQ25"/>
  <c r="DR25"/>
  <c r="DS25"/>
  <c r="DT25"/>
  <c r="DU25"/>
  <c r="DV25"/>
  <c r="DW25"/>
  <c r="DX25"/>
  <c r="DY25"/>
  <c r="DZ25"/>
  <c r="EA25"/>
  <c r="EB25"/>
  <c r="EC25"/>
  <c r="ED25"/>
  <c r="EE25"/>
  <c r="EF25"/>
  <c r="EG25"/>
  <c r="EH25"/>
  <c r="EI25"/>
  <c r="EJ25"/>
  <c r="EK25"/>
  <c r="EL25"/>
  <c r="EM25"/>
  <c r="EN25"/>
  <c r="EO25"/>
  <c r="EP25"/>
  <c r="EQ25"/>
  <c r="ER25"/>
  <c r="ES25"/>
  <c r="ET25"/>
  <c r="EU25"/>
  <c r="EV25"/>
  <c r="EW25"/>
  <c r="EX25"/>
  <c r="EY25"/>
  <c r="EZ25"/>
  <c r="FA25"/>
  <c r="FB25"/>
  <c r="FC25"/>
  <c r="FD25"/>
  <c r="FE25"/>
  <c r="FF25"/>
  <c r="FG25"/>
  <c r="FH25"/>
  <c r="FI25"/>
  <c r="FJ25"/>
  <c r="FK25"/>
  <c r="FL25"/>
  <c r="FM25"/>
  <c r="FN25"/>
  <c r="FO25"/>
  <c r="FP25"/>
  <c r="FQ25"/>
  <c r="FR25"/>
  <c r="FS25"/>
  <c r="FT25"/>
  <c r="FU25"/>
  <c r="FV25"/>
  <c r="FW25"/>
  <c r="FX25"/>
  <c r="FY25"/>
  <c r="FZ25"/>
  <c r="GA25"/>
  <c r="GB25"/>
  <c r="GC25"/>
  <c r="GD25"/>
  <c r="GE25"/>
  <c r="GF25"/>
  <c r="GG25"/>
  <c r="GH25"/>
  <c r="GI25"/>
  <c r="GJ25"/>
  <c r="GK25"/>
  <c r="GL25"/>
  <c r="GM25"/>
  <c r="GN25"/>
  <c r="GO25"/>
  <c r="GP25"/>
  <c r="GQ25"/>
  <c r="GR25"/>
  <c r="GS25"/>
  <c r="GT25"/>
  <c r="GU25"/>
  <c r="GV25"/>
  <c r="GW25"/>
  <c r="GX25"/>
  <c r="GY25"/>
  <c r="GZ25"/>
  <c r="HA25"/>
  <c r="HB25"/>
  <c r="HC25"/>
  <c r="HD25"/>
  <c r="HE25"/>
  <c r="HF25"/>
  <c r="HG25"/>
  <c r="HH25"/>
  <c r="HI25"/>
  <c r="HJ25"/>
  <c r="HK25"/>
  <c r="HL25"/>
  <c r="HM25"/>
  <c r="HN25"/>
  <c r="HO25"/>
  <c r="HP25"/>
  <c r="HQ25"/>
  <c r="HR25"/>
  <c r="HS25"/>
  <c r="HT25"/>
  <c r="HU25"/>
  <c r="HV25"/>
  <c r="HW25"/>
  <c r="HX25"/>
  <c r="HY25"/>
  <c r="HZ25"/>
  <c r="IA25"/>
  <c r="IB25"/>
  <c r="IC25"/>
  <c r="ID25"/>
  <c r="IE25"/>
  <c r="IF25"/>
  <c r="IG25"/>
  <c r="IH25"/>
  <c r="II25"/>
  <c r="IJ25"/>
  <c r="IK25"/>
  <c r="IL25"/>
  <c r="IM25"/>
  <c r="IN25"/>
  <c r="IO25"/>
  <c r="IP25"/>
  <c r="IQ25"/>
  <c r="IR25"/>
  <c r="IS25"/>
  <c r="IT25"/>
  <c r="IU25"/>
  <c r="IV25"/>
  <c r="A24"/>
  <c r="B24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AT24"/>
  <c r="AU24"/>
  <c r="AV24"/>
  <c r="AW24"/>
  <c r="AX24"/>
  <c r="AY24"/>
  <c r="AZ24"/>
  <c r="BA24"/>
  <c r="BB24"/>
  <c r="BC24"/>
  <c r="BD24"/>
  <c r="BE24"/>
  <c r="BF24"/>
  <c r="BG24"/>
  <c r="BH24"/>
  <c r="BI24"/>
  <c r="BJ24"/>
  <c r="BK24"/>
  <c r="BL24"/>
  <c r="BM24"/>
  <c r="BN24"/>
  <c r="BO24"/>
  <c r="BP24"/>
  <c r="BQ24"/>
  <c r="BR24"/>
  <c r="BS24"/>
  <c r="BT24"/>
  <c r="BU24"/>
  <c r="BV24"/>
  <c r="BW24"/>
  <c r="BX24"/>
  <c r="BY24"/>
  <c r="BZ24"/>
  <c r="CA24"/>
  <c r="CB24"/>
  <c r="CC24"/>
  <c r="CD24"/>
  <c r="CE24"/>
  <c r="CF24"/>
  <c r="CG24"/>
  <c r="CH24"/>
  <c r="CI24"/>
  <c r="CJ24"/>
  <c r="CK24"/>
  <c r="CL24"/>
  <c r="CM24"/>
  <c r="CN24"/>
  <c r="CO24"/>
  <c r="CP24"/>
  <c r="CQ24"/>
  <c r="CR24"/>
  <c r="CS24"/>
  <c r="CT24"/>
  <c r="CU24"/>
  <c r="CV24"/>
  <c r="CW24"/>
  <c r="CX24"/>
  <c r="CY24"/>
  <c r="CZ24"/>
  <c r="DA24"/>
  <c r="DB24"/>
  <c r="DC24"/>
  <c r="DD24"/>
  <c r="DE24"/>
  <c r="DF24"/>
  <c r="DG24"/>
  <c r="DH24"/>
  <c r="DI24"/>
  <c r="DJ24"/>
  <c r="DK24"/>
  <c r="DL24"/>
  <c r="DM24"/>
  <c r="DN24"/>
  <c r="DO24"/>
  <c r="DP24"/>
  <c r="DQ24"/>
  <c r="DR24"/>
  <c r="DS24"/>
  <c r="DT24"/>
  <c r="DU24"/>
  <c r="DV24"/>
  <c r="DW24"/>
  <c r="DX24"/>
  <c r="DY24"/>
  <c r="DZ24"/>
  <c r="EA24"/>
  <c r="EB24"/>
  <c r="EC24"/>
  <c r="ED24"/>
  <c r="EE24"/>
  <c r="EF24"/>
  <c r="EG24"/>
  <c r="EH24"/>
  <c r="EI24"/>
  <c r="EJ24"/>
  <c r="EK24"/>
  <c r="EL24"/>
  <c r="EM24"/>
  <c r="EN24"/>
  <c r="EO24"/>
  <c r="EP24"/>
  <c r="EQ24"/>
  <c r="ER24"/>
  <c r="ES24"/>
  <c r="ET24"/>
  <c r="EU24"/>
  <c r="EV24"/>
  <c r="EW24"/>
  <c r="EX24"/>
  <c r="EY24"/>
  <c r="EZ24"/>
  <c r="FA24"/>
  <c r="FB24"/>
  <c r="FC24"/>
  <c r="FD24"/>
  <c r="FE24"/>
  <c r="FF24"/>
  <c r="FG24"/>
  <c r="FH24"/>
  <c r="FI24"/>
  <c r="FJ24"/>
  <c r="FK24"/>
  <c r="FL24"/>
  <c r="FM24"/>
  <c r="FN24"/>
  <c r="FO24"/>
  <c r="FP24"/>
  <c r="FQ24"/>
  <c r="FR24"/>
  <c r="FS24"/>
  <c r="FT24"/>
  <c r="FU24"/>
  <c r="FV24"/>
  <c r="FW24"/>
  <c r="FX24"/>
  <c r="FY24"/>
  <c r="FZ24"/>
  <c r="GA24"/>
  <c r="GB24"/>
  <c r="GC24"/>
  <c r="GD24"/>
  <c r="GE24"/>
  <c r="GF24"/>
  <c r="GG24"/>
  <c r="GH24"/>
  <c r="GI24"/>
  <c r="GJ24"/>
  <c r="GK24"/>
  <c r="GL24"/>
  <c r="GM24"/>
  <c r="GN24"/>
  <c r="GO24"/>
  <c r="GP24"/>
  <c r="GQ24"/>
  <c r="GR24"/>
  <c r="GS24"/>
  <c r="GT24"/>
  <c r="GU24"/>
  <c r="GV24"/>
  <c r="GW24"/>
  <c r="GX24"/>
  <c r="GY24"/>
  <c r="GZ24"/>
  <c r="HA24"/>
  <c r="HB24"/>
  <c r="HC24"/>
  <c r="HD24"/>
  <c r="HE24"/>
  <c r="HF24"/>
  <c r="HG24"/>
  <c r="HH24"/>
  <c r="HI24"/>
  <c r="HJ24"/>
  <c r="HK24"/>
  <c r="HL24"/>
  <c r="HM24"/>
  <c r="HN24"/>
  <c r="HO24"/>
  <c r="HP24"/>
  <c r="HQ24"/>
  <c r="HR24"/>
  <c r="HS24"/>
  <c r="HT24"/>
  <c r="HU24"/>
  <c r="HV24"/>
  <c r="HW24"/>
  <c r="HX24"/>
  <c r="HY24"/>
  <c r="HZ24"/>
  <c r="IA24"/>
  <c r="IB24"/>
  <c r="IC24"/>
  <c r="ID24"/>
  <c r="IE24"/>
  <c r="IF24"/>
  <c r="IG24"/>
  <c r="IH24"/>
  <c r="II24"/>
  <c r="IJ24"/>
  <c r="IK24"/>
  <c r="IL24"/>
  <c r="IM24"/>
  <c r="IN24"/>
  <c r="IO24"/>
  <c r="IP24"/>
  <c r="IQ24"/>
  <c r="IR24"/>
  <c r="IS24"/>
  <c r="IT24"/>
  <c r="IU24"/>
  <c r="IV24"/>
  <c r="A23"/>
  <c r="B23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AW23"/>
  <c r="AX23"/>
  <c r="AY23"/>
  <c r="AZ23"/>
  <c r="BA23"/>
  <c r="BB23"/>
  <c r="BC23"/>
  <c r="BD23"/>
  <c r="BE23"/>
  <c r="BF23"/>
  <c r="BG23"/>
  <c r="BH23"/>
  <c r="BI23"/>
  <c r="BJ23"/>
  <c r="BK23"/>
  <c r="BL23"/>
  <c r="BM23"/>
  <c r="BN23"/>
  <c r="BO23"/>
  <c r="BP23"/>
  <c r="BQ23"/>
  <c r="BR23"/>
  <c r="BS23"/>
  <c r="BT23"/>
  <c r="BU23"/>
  <c r="BV23"/>
  <c r="BW23"/>
  <c r="BX23"/>
  <c r="BY23"/>
  <c r="BZ23"/>
  <c r="CA23"/>
  <c r="CB23"/>
  <c r="CC23"/>
  <c r="CD23"/>
  <c r="CE23"/>
  <c r="CF23"/>
  <c r="CG23"/>
  <c r="CH23"/>
  <c r="CI23"/>
  <c r="CJ23"/>
  <c r="CK23"/>
  <c r="CL23"/>
  <c r="CM23"/>
  <c r="CN23"/>
  <c r="CO23"/>
  <c r="CP23"/>
  <c r="CQ23"/>
  <c r="CR23"/>
  <c r="CS23"/>
  <c r="CT23"/>
  <c r="CU23"/>
  <c r="CV23"/>
  <c r="CW23"/>
  <c r="CX23"/>
  <c r="CY23"/>
  <c r="CZ23"/>
  <c r="DA23"/>
  <c r="DB23"/>
  <c r="DC23"/>
  <c r="DD23"/>
  <c r="DE23"/>
  <c r="DF23"/>
  <c r="DG23"/>
  <c r="DH23"/>
  <c r="DI23"/>
  <c r="DJ23"/>
  <c r="DK23"/>
  <c r="DL23"/>
  <c r="DM23"/>
  <c r="DN23"/>
  <c r="DO23"/>
  <c r="DP23"/>
  <c r="DQ23"/>
  <c r="DR23"/>
  <c r="DS23"/>
  <c r="DT23"/>
  <c r="DU23"/>
  <c r="DV23"/>
  <c r="DW23"/>
  <c r="DX23"/>
  <c r="DY23"/>
  <c r="DZ23"/>
  <c r="EA23"/>
  <c r="EB23"/>
  <c r="EC23"/>
  <c r="ED23"/>
  <c r="EE23"/>
  <c r="EF23"/>
  <c r="EG23"/>
  <c r="EH23"/>
  <c r="EI23"/>
  <c r="EJ23"/>
  <c r="EK23"/>
  <c r="EL23"/>
  <c r="EM23"/>
  <c r="EN23"/>
  <c r="EO23"/>
  <c r="EP23"/>
  <c r="EQ23"/>
  <c r="ER23"/>
  <c r="ES23"/>
  <c r="ET23"/>
  <c r="EU23"/>
  <c r="EV23"/>
  <c r="EW23"/>
  <c r="EX23"/>
  <c r="EY23"/>
  <c r="EZ23"/>
  <c r="FA23"/>
  <c r="FB23"/>
  <c r="FC23"/>
  <c r="FD23"/>
  <c r="FE23"/>
  <c r="FF23"/>
  <c r="FG23"/>
  <c r="FH23"/>
  <c r="FI23"/>
  <c r="FJ23"/>
  <c r="FK23"/>
  <c r="FL23"/>
  <c r="FM23"/>
  <c r="FN23"/>
  <c r="FO23"/>
  <c r="FP23"/>
  <c r="FQ23"/>
  <c r="FR23"/>
  <c r="FS23"/>
  <c r="FT23"/>
  <c r="FU23"/>
  <c r="FV23"/>
  <c r="FW23"/>
  <c r="FX23"/>
  <c r="FY23"/>
  <c r="FZ23"/>
  <c r="GA23"/>
  <c r="GB23"/>
  <c r="GC23"/>
  <c r="GD23"/>
  <c r="GE23"/>
  <c r="GF23"/>
  <c r="GG23"/>
  <c r="GH23"/>
  <c r="GI23"/>
  <c r="GJ23"/>
  <c r="GK23"/>
  <c r="GL23"/>
  <c r="GM23"/>
  <c r="GN23"/>
  <c r="GO23"/>
  <c r="GP23"/>
  <c r="GQ23"/>
  <c r="GR23"/>
  <c r="GS23"/>
  <c r="GT23"/>
  <c r="GU23"/>
  <c r="GV23"/>
  <c r="GW23"/>
  <c r="GX23"/>
  <c r="GY23"/>
  <c r="GZ23"/>
  <c r="HA23"/>
  <c r="HB23"/>
  <c r="HC23"/>
  <c r="HD23"/>
  <c r="HE23"/>
  <c r="HF23"/>
  <c r="HG23"/>
  <c r="HH23"/>
  <c r="HI23"/>
  <c r="HJ23"/>
  <c r="HK23"/>
  <c r="HL23"/>
  <c r="HM23"/>
  <c r="HN23"/>
  <c r="HO23"/>
  <c r="HP23"/>
  <c r="HQ23"/>
  <c r="HR23"/>
  <c r="HS23"/>
  <c r="HT23"/>
  <c r="HU23"/>
  <c r="HV23"/>
  <c r="HW23"/>
  <c r="HX23"/>
  <c r="HY23"/>
  <c r="HZ23"/>
  <c r="IA23"/>
  <c r="IB23"/>
  <c r="IC23"/>
  <c r="ID23"/>
  <c r="IE23"/>
  <c r="IF23"/>
  <c r="IG23"/>
  <c r="IH23"/>
  <c r="II23"/>
  <c r="IJ23"/>
  <c r="IK23"/>
  <c r="IL23"/>
  <c r="IM23"/>
  <c r="IN23"/>
  <c r="IO23"/>
  <c r="IP23"/>
  <c r="IQ23"/>
  <c r="IR23"/>
  <c r="IS23"/>
  <c r="IT23"/>
  <c r="IU23"/>
  <c r="IV23"/>
  <c r="A22"/>
  <c r="B22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AS22"/>
  <c r="AT22"/>
  <c r="AU22"/>
  <c r="AV22"/>
  <c r="AW22"/>
  <c r="AX22"/>
  <c r="AY22"/>
  <c r="AZ22"/>
  <c r="BA22"/>
  <c r="BB22"/>
  <c r="BC22"/>
  <c r="BD22"/>
  <c r="BE22"/>
  <c r="BF22"/>
  <c r="BG22"/>
  <c r="BH22"/>
  <c r="BI22"/>
  <c r="BJ22"/>
  <c r="BK22"/>
  <c r="BL22"/>
  <c r="BM22"/>
  <c r="BN22"/>
  <c r="BO22"/>
  <c r="BP22"/>
  <c r="BQ22"/>
  <c r="BR22"/>
  <c r="BS22"/>
  <c r="BT22"/>
  <c r="BU22"/>
  <c r="BV22"/>
  <c r="BW22"/>
  <c r="BX22"/>
  <c r="BY22"/>
  <c r="BZ22"/>
  <c r="CA22"/>
  <c r="CB22"/>
  <c r="CC22"/>
  <c r="CD22"/>
  <c r="CE22"/>
  <c r="CF22"/>
  <c r="CG22"/>
  <c r="CH22"/>
  <c r="CI22"/>
  <c r="CJ22"/>
  <c r="CK22"/>
  <c r="CL22"/>
  <c r="CM22"/>
  <c r="CN22"/>
  <c r="CO22"/>
  <c r="CP22"/>
  <c r="CQ22"/>
  <c r="CR22"/>
  <c r="CS22"/>
  <c r="CT22"/>
  <c r="CU22"/>
  <c r="CV22"/>
  <c r="CW22"/>
  <c r="CX22"/>
  <c r="CY22"/>
  <c r="CZ22"/>
  <c r="DA22"/>
  <c r="DB22"/>
  <c r="DC22"/>
  <c r="DD22"/>
  <c r="DE22"/>
  <c r="DF22"/>
  <c r="DG22"/>
  <c r="DH22"/>
  <c r="DI22"/>
  <c r="DJ22"/>
  <c r="DK22"/>
  <c r="DL22"/>
  <c r="DM22"/>
  <c r="DN22"/>
  <c r="DO22"/>
  <c r="DP22"/>
  <c r="DQ22"/>
  <c r="DR22"/>
  <c r="DS22"/>
  <c r="DT22"/>
  <c r="DU22"/>
  <c r="DV22"/>
  <c r="DW22"/>
  <c r="DX22"/>
  <c r="DY22"/>
  <c r="DZ22"/>
  <c r="EA22"/>
  <c r="EB22"/>
  <c r="EC22"/>
  <c r="ED22"/>
  <c r="EE22"/>
  <c r="EF22"/>
  <c r="EG22"/>
  <c r="EH22"/>
  <c r="EI22"/>
  <c r="EJ22"/>
  <c r="EK22"/>
  <c r="EL22"/>
  <c r="EM22"/>
  <c r="EN22"/>
  <c r="EO22"/>
  <c r="EP22"/>
  <c r="EQ22"/>
  <c r="ER22"/>
  <c r="ES22"/>
  <c r="ET22"/>
  <c r="EU22"/>
  <c r="EV22"/>
  <c r="EW22"/>
  <c r="EX22"/>
  <c r="EY22"/>
  <c r="EZ22"/>
  <c r="FA22"/>
  <c r="FB22"/>
  <c r="FC22"/>
  <c r="FD22"/>
  <c r="FE22"/>
  <c r="FF22"/>
  <c r="FG22"/>
  <c r="FH22"/>
  <c r="FI22"/>
  <c r="FJ22"/>
  <c r="FK22"/>
  <c r="FL22"/>
  <c r="FM22"/>
  <c r="FN22"/>
  <c r="FO22"/>
  <c r="FP22"/>
  <c r="FQ22"/>
  <c r="FR22"/>
  <c r="FS22"/>
  <c r="FT22"/>
  <c r="FU22"/>
  <c r="FV22"/>
  <c r="FW22"/>
  <c r="FX22"/>
  <c r="FY22"/>
  <c r="FZ22"/>
  <c r="GA22"/>
  <c r="GB22"/>
  <c r="GC22"/>
  <c r="GD22"/>
  <c r="GE22"/>
  <c r="GF22"/>
  <c r="GG22"/>
  <c r="GH22"/>
  <c r="GI22"/>
  <c r="GJ22"/>
  <c r="GK22"/>
  <c r="GL22"/>
  <c r="GM22"/>
  <c r="GN22"/>
  <c r="GO22"/>
  <c r="GP22"/>
  <c r="GQ22"/>
  <c r="GR22"/>
  <c r="GS22"/>
  <c r="GT22"/>
  <c r="GU22"/>
  <c r="GV22"/>
  <c r="GW22"/>
  <c r="GX22"/>
  <c r="GY22"/>
  <c r="GZ22"/>
  <c r="HA22"/>
  <c r="HB22"/>
  <c r="HC22"/>
  <c r="HD22"/>
  <c r="HE22"/>
  <c r="HF22"/>
  <c r="HG22"/>
  <c r="HH22"/>
  <c r="HI22"/>
  <c r="HJ22"/>
  <c r="HK22"/>
  <c r="HL22"/>
  <c r="HM22"/>
  <c r="HN22"/>
  <c r="HO22"/>
  <c r="HP22"/>
  <c r="HQ22"/>
  <c r="HR22"/>
  <c r="HS22"/>
  <c r="HT22"/>
  <c r="HU22"/>
  <c r="HV22"/>
  <c r="HW22"/>
  <c r="HX22"/>
  <c r="HY22"/>
  <c r="HZ22"/>
  <c r="IA22"/>
  <c r="IB22"/>
  <c r="IC22"/>
  <c r="ID22"/>
  <c r="IE22"/>
  <c r="IF22"/>
  <c r="IG22"/>
  <c r="IH22"/>
  <c r="II22"/>
  <c r="IJ22"/>
  <c r="IK22"/>
  <c r="IL22"/>
  <c r="IM22"/>
  <c r="IN22"/>
  <c r="IO22"/>
  <c r="IP22"/>
  <c r="IQ22"/>
  <c r="IR22"/>
  <c r="IS22"/>
  <c r="IT22"/>
  <c r="IU22"/>
  <c r="IV22"/>
  <c r="A21"/>
  <c r="B21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AU21"/>
  <c r="AV21"/>
  <c r="AW21"/>
  <c r="AX21"/>
  <c r="AY21"/>
  <c r="AZ21"/>
  <c r="BA21"/>
  <c r="BB21"/>
  <c r="BC21"/>
  <c r="BD21"/>
  <c r="BE21"/>
  <c r="BF21"/>
  <c r="BG21"/>
  <c r="BH21"/>
  <c r="BI21"/>
  <c r="BJ21"/>
  <c r="BK21"/>
  <c r="BL21"/>
  <c r="BM21"/>
  <c r="BN21"/>
  <c r="BO21"/>
  <c r="BP21"/>
  <c r="BQ21"/>
  <c r="BR21"/>
  <c r="BS21"/>
  <c r="BT21"/>
  <c r="BU21"/>
  <c r="BV21"/>
  <c r="BW21"/>
  <c r="BX21"/>
  <c r="BY21"/>
  <c r="BZ21"/>
  <c r="CA21"/>
  <c r="CB21"/>
  <c r="CC21"/>
  <c r="CD21"/>
  <c r="CE21"/>
  <c r="CF21"/>
  <c r="CG21"/>
  <c r="CH21"/>
  <c r="CI21"/>
  <c r="CJ21"/>
  <c r="CK21"/>
  <c r="CL21"/>
  <c r="CM21"/>
  <c r="CN21"/>
  <c r="CO21"/>
  <c r="CP21"/>
  <c r="CQ21"/>
  <c r="CR21"/>
  <c r="CS21"/>
  <c r="CT21"/>
  <c r="CU21"/>
  <c r="CV21"/>
  <c r="CW21"/>
  <c r="CX21"/>
  <c r="CY21"/>
  <c r="CZ21"/>
  <c r="DA21"/>
  <c r="DB21"/>
  <c r="DC21"/>
  <c r="DD21"/>
  <c r="DE21"/>
  <c r="DF21"/>
  <c r="DG21"/>
  <c r="DH21"/>
  <c r="DI21"/>
  <c r="DJ21"/>
  <c r="DK21"/>
  <c r="DL21"/>
  <c r="DM21"/>
  <c r="DN21"/>
  <c r="DO21"/>
  <c r="DP21"/>
  <c r="DQ21"/>
  <c r="DR21"/>
  <c r="DS21"/>
  <c r="DT21"/>
  <c r="DU21"/>
  <c r="DV21"/>
  <c r="DW21"/>
  <c r="DX21"/>
  <c r="DY21"/>
  <c r="DZ21"/>
  <c r="EA21"/>
  <c r="EB21"/>
  <c r="EC21"/>
  <c r="ED21"/>
  <c r="EE21"/>
  <c r="EF21"/>
  <c r="EG21"/>
  <c r="EH21"/>
  <c r="EI21"/>
  <c r="EJ21"/>
  <c r="EK21"/>
  <c r="EL21"/>
  <c r="EM21"/>
  <c r="EN21"/>
  <c r="EO21"/>
  <c r="EP21"/>
  <c r="EQ21"/>
  <c r="ER21"/>
  <c r="ES21"/>
  <c r="ET21"/>
  <c r="EU21"/>
  <c r="EV21"/>
  <c r="EW21"/>
  <c r="EX21"/>
  <c r="EY21"/>
  <c r="EZ21"/>
  <c r="FA21"/>
  <c r="FB21"/>
  <c r="FC21"/>
  <c r="FD21"/>
  <c r="FE21"/>
  <c r="FF21"/>
  <c r="FG21"/>
  <c r="FH21"/>
  <c r="FI21"/>
  <c r="FJ21"/>
  <c r="FK21"/>
  <c r="FL21"/>
  <c r="FM21"/>
  <c r="FN21"/>
  <c r="FO21"/>
  <c r="FP21"/>
  <c r="FQ21"/>
  <c r="FR21"/>
  <c r="FS21"/>
  <c r="FT21"/>
  <c r="FU21"/>
  <c r="FV21"/>
  <c r="FW21"/>
  <c r="FX21"/>
  <c r="FY21"/>
  <c r="FZ21"/>
  <c r="GA21"/>
  <c r="GB21"/>
  <c r="GC21"/>
  <c r="GD21"/>
  <c r="GE21"/>
  <c r="GF21"/>
  <c r="GG21"/>
  <c r="GH21"/>
  <c r="GI21"/>
  <c r="GJ21"/>
  <c r="GK21"/>
  <c r="GL21"/>
  <c r="GM21"/>
  <c r="GN21"/>
  <c r="GO21"/>
  <c r="GP21"/>
  <c r="GQ21"/>
  <c r="GR21"/>
  <c r="GS21"/>
  <c r="GT21"/>
  <c r="GU21"/>
  <c r="GV21"/>
  <c r="GW21"/>
  <c r="GX21"/>
  <c r="GY21"/>
  <c r="GZ21"/>
  <c r="HA21"/>
  <c r="HB21"/>
  <c r="HC21"/>
  <c r="HD21"/>
  <c r="HE21"/>
  <c r="HF21"/>
  <c r="HG21"/>
  <c r="HH21"/>
  <c r="HI21"/>
  <c r="HJ21"/>
  <c r="HK21"/>
  <c r="HL21"/>
  <c r="HM21"/>
  <c r="HN21"/>
  <c r="HO21"/>
  <c r="HP21"/>
  <c r="HQ21"/>
  <c r="HR21"/>
  <c r="HS21"/>
  <c r="HT21"/>
  <c r="HU21"/>
  <c r="HV21"/>
  <c r="HW21"/>
  <c r="HX21"/>
  <c r="HY21"/>
  <c r="HZ21"/>
  <c r="IA21"/>
  <c r="IB21"/>
  <c r="IC21"/>
  <c r="ID21"/>
  <c r="IE21"/>
  <c r="IF21"/>
  <c r="IG21"/>
  <c r="IH21"/>
  <c r="II21"/>
  <c r="IJ21"/>
  <c r="IK21"/>
  <c r="IL21"/>
  <c r="IM21"/>
  <c r="IN21"/>
  <c r="IO21"/>
  <c r="IP21"/>
  <c r="IQ21"/>
  <c r="IR21"/>
  <c r="IS21"/>
  <c r="IT21"/>
  <c r="IU21"/>
  <c r="IV21"/>
  <c r="A20"/>
  <c r="B20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AU20"/>
  <c r="AV20"/>
  <c r="AW20"/>
  <c r="AX20"/>
  <c r="AY20"/>
  <c r="AZ20"/>
  <c r="BA20"/>
  <c r="BB20"/>
  <c r="BC20"/>
  <c r="BD20"/>
  <c r="BE20"/>
  <c r="BF20"/>
  <c r="BG20"/>
  <c r="BH20"/>
  <c r="BI20"/>
  <c r="BJ20"/>
  <c r="BK20"/>
  <c r="BL20"/>
  <c r="BM20"/>
  <c r="BN20"/>
  <c r="BO20"/>
  <c r="BP20"/>
  <c r="BQ20"/>
  <c r="BR20"/>
  <c r="BS20"/>
  <c r="BT20"/>
  <c r="BU20"/>
  <c r="BV20"/>
  <c r="BW20"/>
  <c r="BX20"/>
  <c r="BY20"/>
  <c r="BZ20"/>
  <c r="CA20"/>
  <c r="CB20"/>
  <c r="CC20"/>
  <c r="CD20"/>
  <c r="CE20"/>
  <c r="CF20"/>
  <c r="CG20"/>
  <c r="CH20"/>
  <c r="CI20"/>
  <c r="CJ20"/>
  <c r="CK20"/>
  <c r="CL20"/>
  <c r="CM20"/>
  <c r="CN20"/>
  <c r="CO20"/>
  <c r="CP20"/>
  <c r="CQ20"/>
  <c r="CR20"/>
  <c r="CS20"/>
  <c r="CT20"/>
  <c r="CU20"/>
  <c r="CV20"/>
  <c r="CW20"/>
  <c r="CX20"/>
  <c r="CY20"/>
  <c r="CZ20"/>
  <c r="DA20"/>
  <c r="DB20"/>
  <c r="DC20"/>
  <c r="DD20"/>
  <c r="DE20"/>
  <c r="DF20"/>
  <c r="DG20"/>
  <c r="DH20"/>
  <c r="DI20"/>
  <c r="DJ20"/>
  <c r="DK20"/>
  <c r="DL20"/>
  <c r="DM20"/>
  <c r="DN20"/>
  <c r="DO20"/>
  <c r="DP20"/>
  <c r="DQ20"/>
  <c r="DR20"/>
  <c r="DS20"/>
  <c r="DT20"/>
  <c r="DU20"/>
  <c r="DV20"/>
  <c r="DW20"/>
  <c r="DX20"/>
  <c r="DY20"/>
  <c r="DZ20"/>
  <c r="EA20"/>
  <c r="EB20"/>
  <c r="EC20"/>
  <c r="ED20"/>
  <c r="EE20"/>
  <c r="EF20"/>
  <c r="EG20"/>
  <c r="EH20"/>
  <c r="EI20"/>
  <c r="EJ20"/>
  <c r="EK20"/>
  <c r="EL20"/>
  <c r="EM20"/>
  <c r="EN20"/>
  <c r="EO20"/>
  <c r="EP20"/>
  <c r="EQ20"/>
  <c r="ER20"/>
  <c r="ES20"/>
  <c r="ET20"/>
  <c r="EU20"/>
  <c r="EV20"/>
  <c r="EW20"/>
  <c r="EX20"/>
  <c r="EY20"/>
  <c r="EZ20"/>
  <c r="FA20"/>
  <c r="FB20"/>
  <c r="FC20"/>
  <c r="FD20"/>
  <c r="FE20"/>
  <c r="FF20"/>
  <c r="FG20"/>
  <c r="FH20"/>
  <c r="FI20"/>
  <c r="FJ20"/>
  <c r="FK20"/>
  <c r="FL20"/>
  <c r="FM20"/>
  <c r="FN20"/>
  <c r="FO20"/>
  <c r="FP20"/>
  <c r="FQ20"/>
  <c r="FR20"/>
  <c r="FS20"/>
  <c r="FT20"/>
  <c r="FU20"/>
  <c r="FV20"/>
  <c r="FW20"/>
  <c r="FX20"/>
  <c r="FY20"/>
  <c r="FZ20"/>
  <c r="GA20"/>
  <c r="GB20"/>
  <c r="GC20"/>
  <c r="GD20"/>
  <c r="GE20"/>
  <c r="GF20"/>
  <c r="GG20"/>
  <c r="GH20"/>
  <c r="GI20"/>
  <c r="GJ20"/>
  <c r="GK20"/>
  <c r="GL20"/>
  <c r="GM20"/>
  <c r="GN20"/>
  <c r="GO20"/>
  <c r="GP20"/>
  <c r="GQ20"/>
  <c r="GR20"/>
  <c r="GS20"/>
  <c r="GT20"/>
  <c r="GU20"/>
  <c r="GV20"/>
  <c r="GW20"/>
  <c r="GX20"/>
  <c r="GY20"/>
  <c r="GZ20"/>
  <c r="HA20"/>
  <c r="HB20"/>
  <c r="HC20"/>
  <c r="HD20"/>
  <c r="HE20"/>
  <c r="HF20"/>
  <c r="HG20"/>
  <c r="HH20"/>
  <c r="HI20"/>
  <c r="HJ20"/>
  <c r="HK20"/>
  <c r="HL20"/>
  <c r="HM20"/>
  <c r="HN20"/>
  <c r="HO20"/>
  <c r="HP20"/>
  <c r="HQ20"/>
  <c r="HR20"/>
  <c r="HS20"/>
  <c r="HT20"/>
  <c r="HU20"/>
  <c r="HV20"/>
  <c r="HW20"/>
  <c r="HX20"/>
  <c r="HY20"/>
  <c r="HZ20"/>
  <c r="IA20"/>
  <c r="IB20"/>
  <c r="IC20"/>
  <c r="ID20"/>
  <c r="IE20"/>
  <c r="IF20"/>
  <c r="IG20"/>
  <c r="IH20"/>
  <c r="II20"/>
  <c r="IJ20"/>
  <c r="IK20"/>
  <c r="IL20"/>
  <c r="IM20"/>
  <c r="IN20"/>
  <c r="IO20"/>
  <c r="IP20"/>
  <c r="IQ20"/>
  <c r="IR20"/>
  <c r="IS20"/>
  <c r="IT20"/>
  <c r="IU20"/>
  <c r="IV20"/>
  <c r="A19"/>
  <c r="B19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AT19"/>
  <c r="AU19"/>
  <c r="AV19"/>
  <c r="AW19"/>
  <c r="AX19"/>
  <c r="AY19"/>
  <c r="AZ19"/>
  <c r="BA19"/>
  <c r="BB19"/>
  <c r="BC19"/>
  <c r="BD19"/>
  <c r="BE19"/>
  <c r="BF19"/>
  <c r="BG19"/>
  <c r="BH19"/>
  <c r="BI19"/>
  <c r="BJ19"/>
  <c r="BK19"/>
  <c r="BL19"/>
  <c r="BM19"/>
  <c r="BN19"/>
  <c r="BO19"/>
  <c r="BP19"/>
  <c r="BQ19"/>
  <c r="BR19"/>
  <c r="BS19"/>
  <c r="BT19"/>
  <c r="BU19"/>
  <c r="BV19"/>
  <c r="BW19"/>
  <c r="BX19"/>
  <c r="BY19"/>
  <c r="BZ19"/>
  <c r="CA19"/>
  <c r="CB19"/>
  <c r="CC19"/>
  <c r="CD19"/>
  <c r="CE19"/>
  <c r="CF19"/>
  <c r="CG19"/>
  <c r="CH19"/>
  <c r="CI19"/>
  <c r="CJ19"/>
  <c r="CK19"/>
  <c r="CL19"/>
  <c r="CM19"/>
  <c r="CN19"/>
  <c r="CO19"/>
  <c r="CP19"/>
  <c r="CQ19"/>
  <c r="CR19"/>
  <c r="CS19"/>
  <c r="CT19"/>
  <c r="CU19"/>
  <c r="CV19"/>
  <c r="CW19"/>
  <c r="CX19"/>
  <c r="CY19"/>
  <c r="CZ19"/>
  <c r="DA19"/>
  <c r="DB19"/>
  <c r="DC19"/>
  <c r="DD19"/>
  <c r="DE19"/>
  <c r="DF19"/>
  <c r="DG19"/>
  <c r="DH19"/>
  <c r="DI19"/>
  <c r="DJ19"/>
  <c r="DK19"/>
  <c r="DL19"/>
  <c r="DM19"/>
  <c r="DN19"/>
  <c r="DO19"/>
  <c r="DP19"/>
  <c r="DQ19"/>
  <c r="DR19"/>
  <c r="DS19"/>
  <c r="DT19"/>
  <c r="DU19"/>
  <c r="DV19"/>
  <c r="DW19"/>
  <c r="DX19"/>
  <c r="DY19"/>
  <c r="DZ19"/>
  <c r="EA19"/>
  <c r="EB19"/>
  <c r="EC19"/>
  <c r="ED19"/>
  <c r="EE19"/>
  <c r="EF19"/>
  <c r="EG19"/>
  <c r="EH19"/>
  <c r="EI19"/>
  <c r="EJ19"/>
  <c r="EK19"/>
  <c r="EL19"/>
  <c r="EM19"/>
  <c r="EN19"/>
  <c r="EO19"/>
  <c r="EP19"/>
  <c r="EQ19"/>
  <c r="ER19"/>
  <c r="ES19"/>
  <c r="ET19"/>
  <c r="EU19"/>
  <c r="EV19"/>
  <c r="EW19"/>
  <c r="EX19"/>
  <c r="EY19"/>
  <c r="EZ19"/>
  <c r="FA19"/>
  <c r="FB19"/>
  <c r="FC19"/>
  <c r="FD19"/>
  <c r="FE19"/>
  <c r="FF19"/>
  <c r="FG19"/>
  <c r="FH19"/>
  <c r="FI19"/>
  <c r="FJ19"/>
  <c r="FK19"/>
  <c r="FL19"/>
  <c r="FM19"/>
  <c r="FN19"/>
  <c r="FO19"/>
  <c r="FP19"/>
  <c r="FQ19"/>
  <c r="FR19"/>
  <c r="FS19"/>
  <c r="FT19"/>
  <c r="FU19"/>
  <c r="FV19"/>
  <c r="FW19"/>
  <c r="FX19"/>
  <c r="FY19"/>
  <c r="FZ19"/>
  <c r="GA19"/>
  <c r="GB19"/>
  <c r="GC19"/>
  <c r="GD19"/>
  <c r="GE19"/>
  <c r="GF19"/>
  <c r="GG19"/>
  <c r="GH19"/>
  <c r="GI19"/>
  <c r="GJ19"/>
  <c r="GK19"/>
  <c r="GL19"/>
  <c r="GM19"/>
  <c r="GN19"/>
  <c r="GO19"/>
  <c r="GP19"/>
  <c r="GQ19"/>
  <c r="GR19"/>
  <c r="GS19"/>
  <c r="GT19"/>
  <c r="GU19"/>
  <c r="GV19"/>
  <c r="GW19"/>
  <c r="GX19"/>
  <c r="GY19"/>
  <c r="GZ19"/>
  <c r="HA19"/>
  <c r="HB19"/>
  <c r="HC19"/>
  <c r="HD19"/>
  <c r="HE19"/>
  <c r="HF19"/>
  <c r="HG19"/>
  <c r="HH19"/>
  <c r="HI19"/>
  <c r="HJ19"/>
  <c r="HK19"/>
  <c r="HL19"/>
  <c r="HM19"/>
  <c r="HN19"/>
  <c r="HO19"/>
  <c r="HP19"/>
  <c r="HQ19"/>
  <c r="HR19"/>
  <c r="HS19"/>
  <c r="HT19"/>
  <c r="HU19"/>
  <c r="HV19"/>
  <c r="HW19"/>
  <c r="HX19"/>
  <c r="HY19"/>
  <c r="HZ19"/>
  <c r="IA19"/>
  <c r="IB19"/>
  <c r="IC19"/>
  <c r="ID19"/>
  <c r="IE19"/>
  <c r="IF19"/>
  <c r="IG19"/>
  <c r="IH19"/>
  <c r="II19"/>
  <c r="IJ19"/>
  <c r="IK19"/>
  <c r="IL19"/>
  <c r="IM19"/>
  <c r="IN19"/>
  <c r="IO19"/>
  <c r="IP19"/>
  <c r="IQ19"/>
  <c r="IR19"/>
  <c r="IS19"/>
  <c r="IT19"/>
  <c r="IU19"/>
  <c r="IV19"/>
  <c r="A18"/>
  <c r="B18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W18"/>
  <c r="AX18"/>
  <c r="AY18"/>
  <c r="AZ18"/>
  <c r="BA18"/>
  <c r="BB18"/>
  <c r="BC18"/>
  <c r="BD18"/>
  <c r="BE18"/>
  <c r="BF18"/>
  <c r="BG18"/>
  <c r="BH18"/>
  <c r="BI18"/>
  <c r="BJ18"/>
  <c r="BK18"/>
  <c r="BL18"/>
  <c r="BM18"/>
  <c r="BN18"/>
  <c r="BO18"/>
  <c r="BP18"/>
  <c r="BQ18"/>
  <c r="BR18"/>
  <c r="BS18"/>
  <c r="BT18"/>
  <c r="BU18"/>
  <c r="BV18"/>
  <c r="BW18"/>
  <c r="BX18"/>
  <c r="BY18"/>
  <c r="BZ18"/>
  <c r="CA18"/>
  <c r="CB18"/>
  <c r="CC18"/>
  <c r="CD18"/>
  <c r="CE18"/>
  <c r="CF18"/>
  <c r="CG18"/>
  <c r="CH18"/>
  <c r="CI18"/>
  <c r="CJ18"/>
  <c r="CK18"/>
  <c r="CL18"/>
  <c r="CM18"/>
  <c r="CN18"/>
  <c r="CO18"/>
  <c r="CP18"/>
  <c r="CQ18"/>
  <c r="CR18"/>
  <c r="CS18"/>
  <c r="CT18"/>
  <c r="CU18"/>
  <c r="CV18"/>
  <c r="CW18"/>
  <c r="CX18"/>
  <c r="CY18"/>
  <c r="CZ18"/>
  <c r="DA18"/>
  <c r="DB18"/>
  <c r="DC18"/>
  <c r="DD18"/>
  <c r="DE18"/>
  <c r="DF18"/>
  <c r="DG18"/>
  <c r="DH18"/>
  <c r="DI18"/>
  <c r="DJ18"/>
  <c r="DK18"/>
  <c r="DL18"/>
  <c r="DM18"/>
  <c r="DN18"/>
  <c r="DO18"/>
  <c r="DP18"/>
  <c r="DQ18"/>
  <c r="DR18"/>
  <c r="DS18"/>
  <c r="DT18"/>
  <c r="DU18"/>
  <c r="DV18"/>
  <c r="DW18"/>
  <c r="DX18"/>
  <c r="DY18"/>
  <c r="DZ18"/>
  <c r="EA18"/>
  <c r="EB18"/>
  <c r="EC18"/>
  <c r="ED18"/>
  <c r="EE18"/>
  <c r="EF18"/>
  <c r="EG18"/>
  <c r="EH18"/>
  <c r="EI18"/>
  <c r="EJ18"/>
  <c r="EK18"/>
  <c r="EL18"/>
  <c r="EM18"/>
  <c r="EN18"/>
  <c r="EO18"/>
  <c r="EP18"/>
  <c r="EQ18"/>
  <c r="ER18"/>
  <c r="ES18"/>
  <c r="ET18"/>
  <c r="EU18"/>
  <c r="EV18"/>
  <c r="EW18"/>
  <c r="EX18"/>
  <c r="EY18"/>
  <c r="EZ18"/>
  <c r="FA18"/>
  <c r="FB18"/>
  <c r="FC18"/>
  <c r="FD18"/>
  <c r="FE18"/>
  <c r="FF18"/>
  <c r="FG18"/>
  <c r="FH18"/>
  <c r="FI18"/>
  <c r="FJ18"/>
  <c r="FK18"/>
  <c r="FL18"/>
  <c r="FM18"/>
  <c r="FN18"/>
  <c r="FO18"/>
  <c r="FP18"/>
  <c r="FQ18"/>
  <c r="FR18"/>
  <c r="FS18"/>
  <c r="FT18"/>
  <c r="FU18"/>
  <c r="FV18"/>
  <c r="FW18"/>
  <c r="FX18"/>
  <c r="FY18"/>
  <c r="FZ18"/>
  <c r="GA18"/>
  <c r="GB18"/>
  <c r="GC18"/>
  <c r="GD18"/>
  <c r="GE18"/>
  <c r="GF18"/>
  <c r="GG18"/>
  <c r="GH18"/>
  <c r="GI18"/>
  <c r="GJ18"/>
  <c r="GK18"/>
  <c r="GL18"/>
  <c r="GM18"/>
  <c r="GN18"/>
  <c r="GO18"/>
  <c r="GP18"/>
  <c r="GQ18"/>
  <c r="GR18"/>
  <c r="GS18"/>
  <c r="GT18"/>
  <c r="GU18"/>
  <c r="GV18"/>
  <c r="GW18"/>
  <c r="GX18"/>
  <c r="GY18"/>
  <c r="GZ18"/>
  <c r="HA18"/>
  <c r="HB18"/>
  <c r="HC18"/>
  <c r="HD18"/>
  <c r="HE18"/>
  <c r="HF18"/>
  <c r="HG18"/>
  <c r="HH18"/>
  <c r="HI18"/>
  <c r="HJ18"/>
  <c r="HK18"/>
  <c r="HL18"/>
  <c r="HM18"/>
  <c r="HN18"/>
  <c r="HO18"/>
  <c r="HP18"/>
  <c r="HQ18"/>
  <c r="HR18"/>
  <c r="HS18"/>
  <c r="HT18"/>
  <c r="HU18"/>
  <c r="HV18"/>
  <c r="HW18"/>
  <c r="HX18"/>
  <c r="HY18"/>
  <c r="HZ18"/>
  <c r="IA18"/>
  <c r="IB18"/>
  <c r="IC18"/>
  <c r="ID18"/>
  <c r="IE18"/>
  <c r="IF18"/>
  <c r="IG18"/>
  <c r="IH18"/>
  <c r="II18"/>
  <c r="IJ18"/>
  <c r="IK18"/>
  <c r="IL18"/>
  <c r="IM18"/>
  <c r="IN18"/>
  <c r="IO18"/>
  <c r="IP18"/>
  <c r="IQ18"/>
  <c r="IR18"/>
  <c r="IS18"/>
  <c r="IT18"/>
  <c r="IU18"/>
  <c r="IV18"/>
  <c r="A17"/>
  <c r="B17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AW17"/>
  <c r="AX17"/>
  <c r="AY17"/>
  <c r="AZ17"/>
  <c r="BA17"/>
  <c r="BB17"/>
  <c r="BC17"/>
  <c r="BD17"/>
  <c r="BE17"/>
  <c r="BF17"/>
  <c r="BG17"/>
  <c r="BH17"/>
  <c r="BI17"/>
  <c r="BJ17"/>
  <c r="BK17"/>
  <c r="BL17"/>
  <c r="BM17"/>
  <c r="BN17"/>
  <c r="BO17"/>
  <c r="BP17"/>
  <c r="BQ17"/>
  <c r="BR17"/>
  <c r="BS17"/>
  <c r="BT17"/>
  <c r="BU17"/>
  <c r="BV17"/>
  <c r="BW17"/>
  <c r="BX17"/>
  <c r="BY17"/>
  <c r="BZ17"/>
  <c r="CA17"/>
  <c r="CB17"/>
  <c r="CC17"/>
  <c r="CD17"/>
  <c r="CE17"/>
  <c r="CF17"/>
  <c r="CG17"/>
  <c r="CH17"/>
  <c r="CI17"/>
  <c r="CJ17"/>
  <c r="CK17"/>
  <c r="CL17"/>
  <c r="CM17"/>
  <c r="CN17"/>
  <c r="CO17"/>
  <c r="CP17"/>
  <c r="CQ17"/>
  <c r="CR17"/>
  <c r="CS17"/>
  <c r="CT17"/>
  <c r="CU17"/>
  <c r="CV17"/>
  <c r="CW17"/>
  <c r="CX17"/>
  <c r="CY17"/>
  <c r="CZ17"/>
  <c r="DA17"/>
  <c r="DB17"/>
  <c r="DC17"/>
  <c r="DD17"/>
  <c r="DE17"/>
  <c r="DF17"/>
  <c r="DG17"/>
  <c r="DH17"/>
  <c r="DI17"/>
  <c r="DJ17"/>
  <c r="DK17"/>
  <c r="DL17"/>
  <c r="DM17"/>
  <c r="DN17"/>
  <c r="DO17"/>
  <c r="DP17"/>
  <c r="DQ17"/>
  <c r="DR17"/>
  <c r="DS17"/>
  <c r="DT17"/>
  <c r="DU17"/>
  <c r="DV17"/>
  <c r="DW17"/>
  <c r="DX17"/>
  <c r="DY17"/>
  <c r="DZ17"/>
  <c r="EA17"/>
  <c r="EB17"/>
  <c r="EC17"/>
  <c r="ED17"/>
  <c r="EE17"/>
  <c r="EF17"/>
  <c r="EG17"/>
  <c r="EH17"/>
  <c r="EI17"/>
  <c r="EJ17"/>
  <c r="EK17"/>
  <c r="EL17"/>
  <c r="EM17"/>
  <c r="EN17"/>
  <c r="EO17"/>
  <c r="EP17"/>
  <c r="EQ17"/>
  <c r="ER17"/>
  <c r="ES17"/>
  <c r="ET17"/>
  <c r="EU17"/>
  <c r="EV17"/>
  <c r="EW17"/>
  <c r="EX17"/>
  <c r="EY17"/>
  <c r="EZ17"/>
  <c r="FA17"/>
  <c r="FB17"/>
  <c r="FC17"/>
  <c r="FD17"/>
  <c r="FE17"/>
  <c r="FF17"/>
  <c r="FG17"/>
  <c r="FH17"/>
  <c r="FI17"/>
  <c r="FJ17"/>
  <c r="FK17"/>
  <c r="FL17"/>
  <c r="FM17"/>
  <c r="FN17"/>
  <c r="FO17"/>
  <c r="FP17"/>
  <c r="FQ17"/>
  <c r="FR17"/>
  <c r="FS17"/>
  <c r="FT17"/>
  <c r="FU17"/>
  <c r="FV17"/>
  <c r="FW17"/>
  <c r="FX17"/>
  <c r="FY17"/>
  <c r="FZ17"/>
  <c r="GA17"/>
  <c r="GB17"/>
  <c r="GC17"/>
  <c r="GD17"/>
  <c r="GE17"/>
  <c r="GF17"/>
  <c r="GG17"/>
  <c r="GH17"/>
  <c r="GI17"/>
  <c r="GJ17"/>
  <c r="GK17"/>
  <c r="GL17"/>
  <c r="GM17"/>
  <c r="GN17"/>
  <c r="GO17"/>
  <c r="GP17"/>
  <c r="GQ17"/>
  <c r="GR17"/>
  <c r="GS17"/>
  <c r="GT17"/>
  <c r="GU17"/>
  <c r="GV17"/>
  <c r="GW17"/>
  <c r="GX17"/>
  <c r="GY17"/>
  <c r="GZ17"/>
  <c r="HA17"/>
  <c r="HB17"/>
  <c r="HC17"/>
  <c r="HD17"/>
  <c r="HE17"/>
  <c r="HF17"/>
  <c r="HG17"/>
  <c r="HH17"/>
  <c r="HI17"/>
  <c r="HJ17"/>
  <c r="HK17"/>
  <c r="HL17"/>
  <c r="HM17"/>
  <c r="HN17"/>
  <c r="HO17"/>
  <c r="HP17"/>
  <c r="HQ17"/>
  <c r="HR17"/>
  <c r="HS17"/>
  <c r="HT17"/>
  <c r="HU17"/>
  <c r="HV17"/>
  <c r="HW17"/>
  <c r="HX17"/>
  <c r="HY17"/>
  <c r="HZ17"/>
  <c r="IA17"/>
  <c r="IB17"/>
  <c r="IC17"/>
  <c r="ID17"/>
  <c r="IE17"/>
  <c r="IF17"/>
  <c r="IG17"/>
  <c r="IH17"/>
  <c r="II17"/>
  <c r="IJ17"/>
  <c r="IK17"/>
  <c r="IL17"/>
  <c r="IM17"/>
  <c r="IN17"/>
  <c r="IO17"/>
  <c r="IP17"/>
  <c r="IQ17"/>
  <c r="IR17"/>
  <c r="IS17"/>
  <c r="IT17"/>
  <c r="IU17"/>
  <c r="IV17"/>
  <c r="A16"/>
  <c r="B16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AW16"/>
  <c r="AX16"/>
  <c r="AY16"/>
  <c r="AZ16"/>
  <c r="BA16"/>
  <c r="BB16"/>
  <c r="BC16"/>
  <c r="BD16"/>
  <c r="BE16"/>
  <c r="BF16"/>
  <c r="BG16"/>
  <c r="BH16"/>
  <c r="BI16"/>
  <c r="BJ16"/>
  <c r="BK16"/>
  <c r="BL16"/>
  <c r="BM16"/>
  <c r="BN16"/>
  <c r="BO16"/>
  <c r="BP16"/>
  <c r="BQ16"/>
  <c r="BR16"/>
  <c r="BS16"/>
  <c r="BT16"/>
  <c r="BU16"/>
  <c r="BV16"/>
  <c r="BW16"/>
  <c r="BX16"/>
  <c r="BY16"/>
  <c r="BZ16"/>
  <c r="CA16"/>
  <c r="CB16"/>
  <c r="CC16"/>
  <c r="CD16"/>
  <c r="CE16"/>
  <c r="CF16"/>
  <c r="CG16"/>
  <c r="CH16"/>
  <c r="CI16"/>
  <c r="CJ16"/>
  <c r="CK16"/>
  <c r="CL16"/>
  <c r="CM16"/>
  <c r="CN16"/>
  <c r="CO16"/>
  <c r="CP16"/>
  <c r="CQ16"/>
  <c r="CR16"/>
  <c r="CS16"/>
  <c r="CT16"/>
  <c r="CU16"/>
  <c r="CV16"/>
  <c r="CW16"/>
  <c r="CX16"/>
  <c r="CY16"/>
  <c r="CZ16"/>
  <c r="DA16"/>
  <c r="DB16"/>
  <c r="DC16"/>
  <c r="DD16"/>
  <c r="DE16"/>
  <c r="DF16"/>
  <c r="DG16"/>
  <c r="DH16"/>
  <c r="DI16"/>
  <c r="DJ16"/>
  <c r="DK16"/>
  <c r="DL16"/>
  <c r="DM16"/>
  <c r="DN16"/>
  <c r="DO16"/>
  <c r="DP16"/>
  <c r="DQ16"/>
  <c r="DR16"/>
  <c r="DS16"/>
  <c r="DT16"/>
  <c r="DU16"/>
  <c r="DV16"/>
  <c r="DW16"/>
  <c r="DX16"/>
  <c r="DY16"/>
  <c r="DZ16"/>
  <c r="EA16"/>
  <c r="EB16"/>
  <c r="EC16"/>
  <c r="ED16"/>
  <c r="EE16"/>
  <c r="EF16"/>
  <c r="EG16"/>
  <c r="EH16"/>
  <c r="EI16"/>
  <c r="EJ16"/>
  <c r="EK16"/>
  <c r="EL16"/>
  <c r="EM16"/>
  <c r="EN16"/>
  <c r="EO16"/>
  <c r="EP16"/>
  <c r="EQ16"/>
  <c r="ER16"/>
  <c r="ES16"/>
  <c r="ET16"/>
  <c r="EU16"/>
  <c r="EV16"/>
  <c r="EW16"/>
  <c r="EX16"/>
  <c r="EY16"/>
  <c r="EZ16"/>
  <c r="FA16"/>
  <c r="FB16"/>
  <c r="FC16"/>
  <c r="FD16"/>
  <c r="FE16"/>
  <c r="FF16"/>
  <c r="FG16"/>
  <c r="FH16"/>
  <c r="FI16"/>
  <c r="FJ16"/>
  <c r="FK16"/>
  <c r="FL16"/>
  <c r="FM16"/>
  <c r="FN16"/>
  <c r="FO16"/>
  <c r="FP16"/>
  <c r="FQ16"/>
  <c r="FR16"/>
  <c r="FS16"/>
  <c r="FT16"/>
  <c r="FU16"/>
  <c r="FV16"/>
  <c r="FW16"/>
  <c r="FX16"/>
  <c r="FY16"/>
  <c r="FZ16"/>
  <c r="GA16"/>
  <c r="GB16"/>
  <c r="GC16"/>
  <c r="GD16"/>
  <c r="GE16"/>
  <c r="GF16"/>
  <c r="GG16"/>
  <c r="GH16"/>
  <c r="GI16"/>
  <c r="GJ16"/>
  <c r="GK16"/>
  <c r="GL16"/>
  <c r="GM16"/>
  <c r="GN16"/>
  <c r="GO16"/>
  <c r="GP16"/>
  <c r="GQ16"/>
  <c r="GR16"/>
  <c r="GS16"/>
  <c r="GT16"/>
  <c r="GU16"/>
  <c r="GV16"/>
  <c r="GW16"/>
  <c r="GX16"/>
  <c r="GY16"/>
  <c r="GZ16"/>
  <c r="HA16"/>
  <c r="HB16"/>
  <c r="HC16"/>
  <c r="HD16"/>
  <c r="HE16"/>
  <c r="HF16"/>
  <c r="HG16"/>
  <c r="HH16"/>
  <c r="HI16"/>
  <c r="HJ16"/>
  <c r="HK16"/>
  <c r="HL16"/>
  <c r="HM16"/>
  <c r="HN16"/>
  <c r="HO16"/>
  <c r="HP16"/>
  <c r="HQ16"/>
  <c r="HR16"/>
  <c r="HS16"/>
  <c r="HT16"/>
  <c r="HU16"/>
  <c r="HV16"/>
  <c r="HW16"/>
  <c r="HX16"/>
  <c r="HY16"/>
  <c r="HZ16"/>
  <c r="IA16"/>
  <c r="IB16"/>
  <c r="IC16"/>
  <c r="ID16"/>
  <c r="IE16"/>
  <c r="IF16"/>
  <c r="IG16"/>
  <c r="IH16"/>
  <c r="II16"/>
  <c r="IJ16"/>
  <c r="IK16"/>
  <c r="IL16"/>
  <c r="IM16"/>
  <c r="IN16"/>
  <c r="IO16"/>
  <c r="IP16"/>
  <c r="IQ16"/>
  <c r="IR16"/>
  <c r="IS16"/>
  <c r="IT16"/>
  <c r="IU16"/>
  <c r="IV16"/>
  <c r="A15"/>
  <c r="B15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AX15"/>
  <c r="AY15"/>
  <c r="AZ15"/>
  <c r="BA15"/>
  <c r="BB15"/>
  <c r="BC15"/>
  <c r="BD15"/>
  <c r="BE15"/>
  <c r="BF15"/>
  <c r="BG15"/>
  <c r="BH15"/>
  <c r="BI15"/>
  <c r="BJ15"/>
  <c r="BK15"/>
  <c r="BL15"/>
  <c r="BM15"/>
  <c r="BN15"/>
  <c r="BO15"/>
  <c r="BP15"/>
  <c r="BQ15"/>
  <c r="BR15"/>
  <c r="BS15"/>
  <c r="BT15"/>
  <c r="BU15"/>
  <c r="BV15"/>
  <c r="BW15"/>
  <c r="BX15"/>
  <c r="BY15"/>
  <c r="BZ15"/>
  <c r="CA15"/>
  <c r="CB15"/>
  <c r="CC15"/>
  <c r="CD15"/>
  <c r="CE15"/>
  <c r="CF15"/>
  <c r="CG15"/>
  <c r="CH15"/>
  <c r="CI15"/>
  <c r="CJ15"/>
  <c r="CK15"/>
  <c r="CL15"/>
  <c r="CM15"/>
  <c r="CN15"/>
  <c r="CO15"/>
  <c r="CP15"/>
  <c r="CQ15"/>
  <c r="CR15"/>
  <c r="CS15"/>
  <c r="CT15"/>
  <c r="CU15"/>
  <c r="CV15"/>
  <c r="CW15"/>
  <c r="CX15"/>
  <c r="CY15"/>
  <c r="CZ15"/>
  <c r="DA15"/>
  <c r="DB15"/>
  <c r="DC15"/>
  <c r="DD15"/>
  <c r="DE15"/>
  <c r="DF15"/>
  <c r="DG15"/>
  <c r="DH15"/>
  <c r="DI15"/>
  <c r="DJ15"/>
  <c r="DK15"/>
  <c r="DL15"/>
  <c r="DM15"/>
  <c r="DN15"/>
  <c r="DO15"/>
  <c r="DP15"/>
  <c r="DQ15"/>
  <c r="DR15"/>
  <c r="DS15"/>
  <c r="DT15"/>
  <c r="DU15"/>
  <c r="DV15"/>
  <c r="DW15"/>
  <c r="DX15"/>
  <c r="DY15"/>
  <c r="DZ15"/>
  <c r="EA15"/>
  <c r="EB15"/>
  <c r="EC15"/>
  <c r="ED15"/>
  <c r="EE15"/>
  <c r="EF15"/>
  <c r="EG15"/>
  <c r="EH15"/>
  <c r="EI15"/>
  <c r="EJ15"/>
  <c r="EK15"/>
  <c r="EL15"/>
  <c r="EM15"/>
  <c r="EN15"/>
  <c r="EO15"/>
  <c r="EP15"/>
  <c r="EQ15"/>
  <c r="ER15"/>
  <c r="ES15"/>
  <c r="ET15"/>
  <c r="EU15"/>
  <c r="EV15"/>
  <c r="EW15"/>
  <c r="EX15"/>
  <c r="EY15"/>
  <c r="EZ15"/>
  <c r="FA15"/>
  <c r="FB15"/>
  <c r="FC15"/>
  <c r="FD15"/>
  <c r="FE15"/>
  <c r="FF15"/>
  <c r="FG15"/>
  <c r="FH15"/>
  <c r="FI15"/>
  <c r="FJ15"/>
  <c r="FK15"/>
  <c r="FL15"/>
  <c r="FM15"/>
  <c r="FN15"/>
  <c r="FO15"/>
  <c r="FP15"/>
  <c r="FQ15"/>
  <c r="FR15"/>
  <c r="FS15"/>
  <c r="FT15"/>
  <c r="FU15"/>
  <c r="FV15"/>
  <c r="FW15"/>
  <c r="FX15"/>
  <c r="FY15"/>
  <c r="FZ15"/>
  <c r="GA15"/>
  <c r="GB15"/>
  <c r="GC15"/>
  <c r="GD15"/>
  <c r="GE15"/>
  <c r="GF15"/>
  <c r="GG15"/>
  <c r="GH15"/>
  <c r="GI15"/>
  <c r="GJ15"/>
  <c r="GK15"/>
  <c r="GL15"/>
  <c r="GM15"/>
  <c r="GN15"/>
  <c r="GO15"/>
  <c r="GP15"/>
  <c r="GQ15"/>
  <c r="GR15"/>
  <c r="GS15"/>
  <c r="GT15"/>
  <c r="GU15"/>
  <c r="GV15"/>
  <c r="GW15"/>
  <c r="GX15"/>
  <c r="GY15"/>
  <c r="GZ15"/>
  <c r="HA15"/>
  <c r="HB15"/>
  <c r="HC15"/>
  <c r="HD15"/>
  <c r="HE15"/>
  <c r="HF15"/>
  <c r="HG15"/>
  <c r="HH15"/>
  <c r="HI15"/>
  <c r="HJ15"/>
  <c r="HK15"/>
  <c r="HL15"/>
  <c r="HM15"/>
  <c r="HN15"/>
  <c r="HO15"/>
  <c r="HP15"/>
  <c r="HQ15"/>
  <c r="HR15"/>
  <c r="HS15"/>
  <c r="HT15"/>
  <c r="HU15"/>
  <c r="HV15"/>
  <c r="HW15"/>
  <c r="HX15"/>
  <c r="HY15"/>
  <c r="HZ15"/>
  <c r="IA15"/>
  <c r="IB15"/>
  <c r="IC15"/>
  <c r="ID15"/>
  <c r="IE15"/>
  <c r="IF15"/>
  <c r="IG15"/>
  <c r="IH15"/>
  <c r="II15"/>
  <c r="IJ15"/>
  <c r="IK15"/>
  <c r="IL15"/>
  <c r="IM15"/>
  <c r="IN15"/>
  <c r="IO15"/>
  <c r="IP15"/>
  <c r="IQ15"/>
  <c r="IR15"/>
  <c r="IS15"/>
  <c r="IT15"/>
  <c r="IU15"/>
  <c r="IV15"/>
  <c r="A14"/>
  <c r="B14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AW14"/>
  <c r="AX14"/>
  <c r="AY14"/>
  <c r="AZ14"/>
  <c r="BA14"/>
  <c r="BB14"/>
  <c r="BC14"/>
  <c r="BD14"/>
  <c r="BE14"/>
  <c r="BF14"/>
  <c r="BG14"/>
  <c r="BH14"/>
  <c r="BI14"/>
  <c r="BJ14"/>
  <c r="BK14"/>
  <c r="BL14"/>
  <c r="BM14"/>
  <c r="BN14"/>
  <c r="BO14"/>
  <c r="BP14"/>
  <c r="BQ14"/>
  <c r="BR14"/>
  <c r="BS14"/>
  <c r="BT14"/>
  <c r="BU14"/>
  <c r="BV14"/>
  <c r="BW14"/>
  <c r="BX14"/>
  <c r="BY14"/>
  <c r="BZ14"/>
  <c r="CA14"/>
  <c r="CB14"/>
  <c r="CC14"/>
  <c r="CD14"/>
  <c r="CE14"/>
  <c r="CF14"/>
  <c r="CG14"/>
  <c r="CH14"/>
  <c r="CI14"/>
  <c r="CJ14"/>
  <c r="CK14"/>
  <c r="CL14"/>
  <c r="CM14"/>
  <c r="CN14"/>
  <c r="CO14"/>
  <c r="CP14"/>
  <c r="CQ14"/>
  <c r="CR14"/>
  <c r="CS14"/>
  <c r="CT14"/>
  <c r="CU14"/>
  <c r="CV14"/>
  <c r="CW14"/>
  <c r="CX14"/>
  <c r="CY14"/>
  <c r="CZ14"/>
  <c r="DA14"/>
  <c r="DB14"/>
  <c r="DC14"/>
  <c r="DD14"/>
  <c r="DE14"/>
  <c r="DF14"/>
  <c r="DG14"/>
  <c r="DH14"/>
  <c r="DI14"/>
  <c r="DJ14"/>
  <c r="DK14"/>
  <c r="DL14"/>
  <c r="DM14"/>
  <c r="DN14"/>
  <c r="DO14"/>
  <c r="DP14"/>
  <c r="DQ14"/>
  <c r="DR14"/>
  <c r="DS14"/>
  <c r="DT14"/>
  <c r="DU14"/>
  <c r="DV14"/>
  <c r="DW14"/>
  <c r="DX14"/>
  <c r="DY14"/>
  <c r="DZ14"/>
  <c r="EA14"/>
  <c r="EB14"/>
  <c r="EC14"/>
  <c r="ED14"/>
  <c r="EE14"/>
  <c r="EF14"/>
  <c r="EG14"/>
  <c r="EH14"/>
  <c r="EI14"/>
  <c r="EJ14"/>
  <c r="EK14"/>
  <c r="EL14"/>
  <c r="EM14"/>
  <c r="EN14"/>
  <c r="EO14"/>
  <c r="EP14"/>
  <c r="EQ14"/>
  <c r="ER14"/>
  <c r="ES14"/>
  <c r="ET14"/>
  <c r="EU14"/>
  <c r="EV14"/>
  <c r="EW14"/>
  <c r="EX14"/>
  <c r="EY14"/>
  <c r="EZ14"/>
  <c r="FA14"/>
  <c r="FB14"/>
  <c r="FC14"/>
  <c r="FD14"/>
  <c r="FE14"/>
  <c r="FF14"/>
  <c r="FG14"/>
  <c r="FH14"/>
  <c r="FI14"/>
  <c r="FJ14"/>
  <c r="FK14"/>
  <c r="FL14"/>
  <c r="FM14"/>
  <c r="FN14"/>
  <c r="FO14"/>
  <c r="FP14"/>
  <c r="FQ14"/>
  <c r="FR14"/>
  <c r="FS14"/>
  <c r="FT14"/>
  <c r="FU14"/>
  <c r="FV14"/>
  <c r="FW14"/>
  <c r="FX14"/>
  <c r="FY14"/>
  <c r="FZ14"/>
  <c r="GA14"/>
  <c r="GB14"/>
  <c r="GC14"/>
  <c r="GD14"/>
  <c r="GE14"/>
  <c r="GF14"/>
  <c r="GG14"/>
  <c r="GH14"/>
  <c r="GI14"/>
  <c r="GJ14"/>
  <c r="GK14"/>
  <c r="GL14"/>
  <c r="GM14"/>
  <c r="GN14"/>
  <c r="GO14"/>
  <c r="GP14"/>
  <c r="GQ14"/>
  <c r="GR14"/>
  <c r="GS14"/>
  <c r="GT14"/>
  <c r="GU14"/>
  <c r="GV14"/>
  <c r="GW14"/>
  <c r="GX14"/>
  <c r="GY14"/>
  <c r="GZ14"/>
  <c r="HA14"/>
  <c r="HB14"/>
  <c r="HC14"/>
  <c r="HD14"/>
  <c r="HE14"/>
  <c r="HF14"/>
  <c r="HG14"/>
  <c r="HH14"/>
  <c r="HI14"/>
  <c r="HJ14"/>
  <c r="HK14"/>
  <c r="HL14"/>
  <c r="HM14"/>
  <c r="HN14"/>
  <c r="HO14"/>
  <c r="HP14"/>
  <c r="HQ14"/>
  <c r="HR14"/>
  <c r="HS14"/>
  <c r="HT14"/>
  <c r="HU14"/>
  <c r="HV14"/>
  <c r="HW14"/>
  <c r="HX14"/>
  <c r="HY14"/>
  <c r="HZ14"/>
  <c r="IA14"/>
  <c r="IB14"/>
  <c r="IC14"/>
  <c r="ID14"/>
  <c r="IE14"/>
  <c r="IF14"/>
  <c r="IG14"/>
  <c r="IH14"/>
  <c r="II14"/>
  <c r="IJ14"/>
  <c r="IK14"/>
  <c r="IL14"/>
  <c r="IM14"/>
  <c r="IN14"/>
  <c r="IO14"/>
  <c r="IP14"/>
  <c r="IQ14"/>
  <c r="IR14"/>
  <c r="IS14"/>
  <c r="IT14"/>
  <c r="IU14"/>
  <c r="IV14"/>
  <c r="A13"/>
  <c r="B13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AU13"/>
  <c r="AV13"/>
  <c r="AW13"/>
  <c r="AX13"/>
  <c r="AY13"/>
  <c r="AZ13"/>
  <c r="BA13"/>
  <c r="BB13"/>
  <c r="BC13"/>
  <c r="BD13"/>
  <c r="BE13"/>
  <c r="BF13"/>
  <c r="BG13"/>
  <c r="BH13"/>
  <c r="BI13"/>
  <c r="BJ13"/>
  <c r="BK13"/>
  <c r="BL13"/>
  <c r="BM13"/>
  <c r="BN13"/>
  <c r="BO13"/>
  <c r="BP13"/>
  <c r="BQ13"/>
  <c r="BR13"/>
  <c r="BS13"/>
  <c r="BT13"/>
  <c r="BU13"/>
  <c r="BV13"/>
  <c r="BW13"/>
  <c r="BX13"/>
  <c r="BY13"/>
  <c r="BZ13"/>
  <c r="CA13"/>
  <c r="CB13"/>
  <c r="CC13"/>
  <c r="CD13"/>
  <c r="CE13"/>
  <c r="CF13"/>
  <c r="CG13"/>
  <c r="CH13"/>
  <c r="CI13"/>
  <c r="CJ13"/>
  <c r="CK13"/>
  <c r="CL13"/>
  <c r="CM13"/>
  <c r="CN13"/>
  <c r="CO13"/>
  <c r="CP13"/>
  <c r="CQ13"/>
  <c r="CR13"/>
  <c r="CS13"/>
  <c r="CT13"/>
  <c r="CU13"/>
  <c r="CV13"/>
  <c r="CW13"/>
  <c r="CX13"/>
  <c r="CY13"/>
  <c r="CZ13"/>
  <c r="DA13"/>
  <c r="DB13"/>
  <c r="DC13"/>
  <c r="DD13"/>
  <c r="DE13"/>
  <c r="DF13"/>
  <c r="DG13"/>
  <c r="DH13"/>
  <c r="DI13"/>
  <c r="DJ13"/>
  <c r="DK13"/>
  <c r="DL13"/>
  <c r="DM13"/>
  <c r="DN13"/>
  <c r="DO13"/>
  <c r="DP13"/>
  <c r="DQ13"/>
  <c r="DR13"/>
  <c r="DS13"/>
  <c r="DT13"/>
  <c r="DU13"/>
  <c r="DV13"/>
  <c r="DW13"/>
  <c r="DX13"/>
  <c r="DY13"/>
  <c r="DZ13"/>
  <c r="EA13"/>
  <c r="EB13"/>
  <c r="EC13"/>
  <c r="ED13"/>
  <c r="EE13"/>
  <c r="EF13"/>
  <c r="EG13"/>
  <c r="EH13"/>
  <c r="EI13"/>
  <c r="EJ13"/>
  <c r="EK13"/>
  <c r="EL13"/>
  <c r="EM13"/>
  <c r="EN13"/>
  <c r="EO13"/>
  <c r="EP13"/>
  <c r="EQ13"/>
  <c r="ER13"/>
  <c r="ES13"/>
  <c r="ET13"/>
  <c r="EU13"/>
  <c r="EV13"/>
  <c r="EW13"/>
  <c r="EX13"/>
  <c r="EY13"/>
  <c r="EZ13"/>
  <c r="FA13"/>
  <c r="FB13"/>
  <c r="FC13"/>
  <c r="FD13"/>
  <c r="FE13"/>
  <c r="FF13"/>
  <c r="FG13"/>
  <c r="FH13"/>
  <c r="FI13"/>
  <c r="FJ13"/>
  <c r="FK13"/>
  <c r="FL13"/>
  <c r="FM13"/>
  <c r="FN13"/>
  <c r="FO13"/>
  <c r="FP13"/>
  <c r="FQ13"/>
  <c r="FR13"/>
  <c r="FS13"/>
  <c r="FT13"/>
  <c r="FU13"/>
  <c r="FV13"/>
  <c r="FW13"/>
  <c r="FX13"/>
  <c r="FY13"/>
  <c r="FZ13"/>
  <c r="GA13"/>
  <c r="GB13"/>
  <c r="GC13"/>
  <c r="GD13"/>
  <c r="GE13"/>
  <c r="GF13"/>
  <c r="GG13"/>
  <c r="GH13"/>
  <c r="GI13"/>
  <c r="GJ13"/>
  <c r="GK13"/>
  <c r="GL13"/>
  <c r="GM13"/>
  <c r="GN13"/>
  <c r="GO13"/>
  <c r="GP13"/>
  <c r="GQ13"/>
  <c r="GR13"/>
  <c r="GS13"/>
  <c r="GT13"/>
  <c r="GU13"/>
  <c r="GV13"/>
  <c r="GW13"/>
  <c r="GX13"/>
  <c r="GY13"/>
  <c r="GZ13"/>
  <c r="HA13"/>
  <c r="HB13"/>
  <c r="HC13"/>
  <c r="HD13"/>
  <c r="HE13"/>
  <c r="HF13"/>
  <c r="HG13"/>
  <c r="HH13"/>
  <c r="HI13"/>
  <c r="HJ13"/>
  <c r="HK13"/>
  <c r="HL13"/>
  <c r="HM13"/>
  <c r="HN13"/>
  <c r="HO13"/>
  <c r="HP13"/>
  <c r="HQ13"/>
  <c r="HR13"/>
  <c r="HS13"/>
  <c r="HT13"/>
  <c r="HU13"/>
  <c r="HV13"/>
  <c r="HW13"/>
  <c r="HX13"/>
  <c r="HY13"/>
  <c r="HZ13"/>
  <c r="IA13"/>
  <c r="IB13"/>
  <c r="IC13"/>
  <c r="ID13"/>
  <c r="IE13"/>
  <c r="IF13"/>
  <c r="IG13"/>
  <c r="IH13"/>
  <c r="II13"/>
  <c r="IJ13"/>
  <c r="IK13"/>
  <c r="IL13"/>
  <c r="IM13"/>
  <c r="IN13"/>
  <c r="IO13"/>
  <c r="IP13"/>
  <c r="IQ13"/>
  <c r="IR13"/>
  <c r="IS13"/>
  <c r="IT13"/>
  <c r="IU13"/>
  <c r="IV13"/>
  <c r="A12"/>
  <c r="B12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2"/>
  <c r="BL12"/>
  <c r="BM12"/>
  <c r="BN12"/>
  <c r="BO12"/>
  <c r="BP12"/>
  <c r="BQ12"/>
  <c r="BR12"/>
  <c r="BS12"/>
  <c r="BT12"/>
  <c r="BU12"/>
  <c r="BV12"/>
  <c r="BW12"/>
  <c r="BX12"/>
  <c r="BY12"/>
  <c r="BZ12"/>
  <c r="CA12"/>
  <c r="CB12"/>
  <c r="CC12"/>
  <c r="CD12"/>
  <c r="CE12"/>
  <c r="CF12"/>
  <c r="CG12"/>
  <c r="CH12"/>
  <c r="CI12"/>
  <c r="CJ12"/>
  <c r="CK12"/>
  <c r="CL12"/>
  <c r="CM12"/>
  <c r="CN12"/>
  <c r="CO12"/>
  <c r="CP12"/>
  <c r="CQ12"/>
  <c r="CR12"/>
  <c r="CS12"/>
  <c r="CT12"/>
  <c r="CU12"/>
  <c r="CV12"/>
  <c r="CW12"/>
  <c r="CX12"/>
  <c r="CY12"/>
  <c r="CZ12"/>
  <c r="DA12"/>
  <c r="DB12"/>
  <c r="DC12"/>
  <c r="DD12"/>
  <c r="DE12"/>
  <c r="DF12"/>
  <c r="DG12"/>
  <c r="DH12"/>
  <c r="DI12"/>
  <c r="DJ12"/>
  <c r="DK12"/>
  <c r="DL12"/>
  <c r="DM12"/>
  <c r="DN12"/>
  <c r="DO12"/>
  <c r="DP12"/>
  <c r="DQ12"/>
  <c r="DR12"/>
  <c r="DS12"/>
  <c r="DT12"/>
  <c r="DU12"/>
  <c r="DV12"/>
  <c r="DW12"/>
  <c r="DX12"/>
  <c r="DY12"/>
  <c r="DZ12"/>
  <c r="EA12"/>
  <c r="EB12"/>
  <c r="EC12"/>
  <c r="ED12"/>
  <c r="EE12"/>
  <c r="EF12"/>
  <c r="EG12"/>
  <c r="EH12"/>
  <c r="EI12"/>
  <c r="EJ12"/>
  <c r="EK12"/>
  <c r="EL12"/>
  <c r="EM12"/>
  <c r="EN12"/>
  <c r="EO12"/>
  <c r="EP12"/>
  <c r="EQ12"/>
  <c r="ER12"/>
  <c r="ES12"/>
  <c r="ET12"/>
  <c r="EU12"/>
  <c r="EV12"/>
  <c r="EW12"/>
  <c r="EX12"/>
  <c r="EY12"/>
  <c r="EZ12"/>
  <c r="FA12"/>
  <c r="FB12"/>
  <c r="FC12"/>
  <c r="FD12"/>
  <c r="FE12"/>
  <c r="FF12"/>
  <c r="FG12"/>
  <c r="FH12"/>
  <c r="FI12"/>
  <c r="FJ12"/>
  <c r="FK12"/>
  <c r="FL12"/>
  <c r="FM12"/>
  <c r="FN12"/>
  <c r="FO12"/>
  <c r="FP12"/>
  <c r="FQ12"/>
  <c r="FR12"/>
  <c r="FS12"/>
  <c r="FT12"/>
  <c r="FU12"/>
  <c r="FV12"/>
  <c r="FW12"/>
  <c r="FX12"/>
  <c r="FY12"/>
  <c r="FZ12"/>
  <c r="GA12"/>
  <c r="GB12"/>
  <c r="GC12"/>
  <c r="GD12"/>
  <c r="GE12"/>
  <c r="GF12"/>
  <c r="GG12"/>
  <c r="GH12"/>
  <c r="GI12"/>
  <c r="GJ12"/>
  <c r="GK12"/>
  <c r="GL12"/>
  <c r="GM12"/>
  <c r="GN12"/>
  <c r="GO12"/>
  <c r="GP12"/>
  <c r="GQ12"/>
  <c r="GR12"/>
  <c r="GS12"/>
  <c r="GT12"/>
  <c r="GU12"/>
  <c r="GV12"/>
  <c r="GW12"/>
  <c r="GX12"/>
  <c r="GY12"/>
  <c r="GZ12"/>
  <c r="HA12"/>
  <c r="HB12"/>
  <c r="HC12"/>
  <c r="HD12"/>
  <c r="HE12"/>
  <c r="HF12"/>
  <c r="HG12"/>
  <c r="HH12"/>
  <c r="HI12"/>
  <c r="HJ12"/>
  <c r="HK12"/>
  <c r="HL12"/>
  <c r="HM12"/>
  <c r="HN12"/>
  <c r="HO12"/>
  <c r="HP12"/>
  <c r="HQ12"/>
  <c r="HR12"/>
  <c r="HS12"/>
  <c r="HT12"/>
  <c r="HU12"/>
  <c r="HV12"/>
  <c r="HW12"/>
  <c r="HX12"/>
  <c r="HY12"/>
  <c r="HZ12"/>
  <c r="IA12"/>
  <c r="IB12"/>
  <c r="IC12"/>
  <c r="ID12"/>
  <c r="IE12"/>
  <c r="IF12"/>
  <c r="IG12"/>
  <c r="IH12"/>
  <c r="II12"/>
  <c r="IJ12"/>
  <c r="IK12"/>
  <c r="IL12"/>
  <c r="IM12"/>
  <c r="IN12"/>
  <c r="IO12"/>
  <c r="IP12"/>
  <c r="IQ12"/>
  <c r="IR12"/>
  <c r="IS12"/>
  <c r="IT12"/>
  <c r="IU12"/>
  <c r="IV12"/>
  <c r="A11"/>
  <c r="B11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AX11"/>
  <c r="AY11"/>
  <c r="AZ11"/>
  <c r="BA11"/>
  <c r="BB11"/>
  <c r="BC11"/>
  <c r="BD11"/>
  <c r="BE11"/>
  <c r="BF11"/>
  <c r="BG11"/>
  <c r="BH11"/>
  <c r="BI11"/>
  <c r="BJ11"/>
  <c r="BK11"/>
  <c r="BL11"/>
  <c r="BM11"/>
  <c r="BN11"/>
  <c r="BO11"/>
  <c r="BP11"/>
  <c r="BQ11"/>
  <c r="BR11"/>
  <c r="BS11"/>
  <c r="BT11"/>
  <c r="BU11"/>
  <c r="BV11"/>
  <c r="BW11"/>
  <c r="BX11"/>
  <c r="BY11"/>
  <c r="BZ11"/>
  <c r="CA11"/>
  <c r="CB11"/>
  <c r="CC11"/>
  <c r="CD11"/>
  <c r="CE11"/>
  <c r="CF11"/>
  <c r="CG11"/>
  <c r="CH11"/>
  <c r="CI11"/>
  <c r="CJ11"/>
  <c r="CK11"/>
  <c r="CL11"/>
  <c r="CM11"/>
  <c r="CN11"/>
  <c r="CO11"/>
  <c r="CP11"/>
  <c r="CQ11"/>
  <c r="CR11"/>
  <c r="CS11"/>
  <c r="CT11"/>
  <c r="CU11"/>
  <c r="CV11"/>
  <c r="CW11"/>
  <c r="CX11"/>
  <c r="CY11"/>
  <c r="CZ11"/>
  <c r="DA11"/>
  <c r="DB11"/>
  <c r="DC11"/>
  <c r="DD11"/>
  <c r="DE11"/>
  <c r="DF11"/>
  <c r="DG11"/>
  <c r="DH11"/>
  <c r="DI11"/>
  <c r="DJ11"/>
  <c r="DK11"/>
  <c r="DL11"/>
  <c r="DM11"/>
  <c r="DN11"/>
  <c r="DO11"/>
  <c r="DP11"/>
  <c r="DQ11"/>
  <c r="DR11"/>
  <c r="DS11"/>
  <c r="DT11"/>
  <c r="DU11"/>
  <c r="DV11"/>
  <c r="DW11"/>
  <c r="DX11"/>
  <c r="DY11"/>
  <c r="DZ11"/>
  <c r="EA11"/>
  <c r="EB11"/>
  <c r="EC11"/>
  <c r="ED11"/>
  <c r="EE11"/>
  <c r="EF11"/>
  <c r="EG11"/>
  <c r="EH11"/>
  <c r="EI11"/>
  <c r="EJ11"/>
  <c r="EK11"/>
  <c r="EL11"/>
  <c r="EM11"/>
  <c r="EN11"/>
  <c r="EO11"/>
  <c r="EP11"/>
  <c r="EQ11"/>
  <c r="ER11"/>
  <c r="ES11"/>
  <c r="ET11"/>
  <c r="EU11"/>
  <c r="EV11"/>
  <c r="EW11"/>
  <c r="EX11"/>
  <c r="EY11"/>
  <c r="EZ11"/>
  <c r="FA11"/>
  <c r="FB11"/>
  <c r="FC11"/>
  <c r="FD11"/>
  <c r="FE11"/>
  <c r="FF11"/>
  <c r="FG11"/>
  <c r="FH11"/>
  <c r="FI11"/>
  <c r="FJ11"/>
  <c r="FK11"/>
  <c r="FL11"/>
  <c r="FM11"/>
  <c r="FN11"/>
  <c r="FO11"/>
  <c r="FP11"/>
  <c r="FQ11"/>
  <c r="FR11"/>
  <c r="FS11"/>
  <c r="FT11"/>
  <c r="FU11"/>
  <c r="FV11"/>
  <c r="FW11"/>
  <c r="FX11"/>
  <c r="FY11"/>
  <c r="FZ11"/>
  <c r="GA11"/>
  <c r="GB11"/>
  <c r="GC11"/>
  <c r="GD11"/>
  <c r="GE11"/>
  <c r="GF11"/>
  <c r="GG11"/>
  <c r="GH11"/>
  <c r="GI11"/>
  <c r="GJ11"/>
  <c r="GK11"/>
  <c r="GL11"/>
  <c r="GM11"/>
  <c r="GN11"/>
  <c r="GO11"/>
  <c r="GP11"/>
  <c r="GQ11"/>
  <c r="GR11"/>
  <c r="GS11"/>
  <c r="GT11"/>
  <c r="GU11"/>
  <c r="GV11"/>
  <c r="GW11"/>
  <c r="GX11"/>
  <c r="GY11"/>
  <c r="GZ11"/>
  <c r="HA11"/>
  <c r="HB11"/>
  <c r="HC11"/>
  <c r="HD11"/>
  <c r="HE11"/>
  <c r="HF11"/>
  <c r="HG11"/>
  <c r="HH11"/>
  <c r="HI11"/>
  <c r="HJ11"/>
  <c r="HK11"/>
  <c r="HL11"/>
  <c r="HM11"/>
  <c r="HN11"/>
  <c r="HO11"/>
  <c r="HP11"/>
  <c r="HQ11"/>
  <c r="HR11"/>
  <c r="HS11"/>
  <c r="HT11"/>
  <c r="HU11"/>
  <c r="HV11"/>
  <c r="HW11"/>
  <c r="HX11"/>
  <c r="HY11"/>
  <c r="HZ11"/>
  <c r="IA11"/>
  <c r="IB11"/>
  <c r="IC11"/>
  <c r="ID11"/>
  <c r="IE11"/>
  <c r="IF11"/>
  <c r="IG11"/>
  <c r="IH11"/>
  <c r="II11"/>
  <c r="IJ11"/>
  <c r="IK11"/>
  <c r="IL11"/>
  <c r="IM11"/>
  <c r="IN11"/>
  <c r="IO11"/>
  <c r="IP11"/>
  <c r="IQ11"/>
  <c r="IR11"/>
  <c r="IS11"/>
  <c r="IT11"/>
  <c r="IU11"/>
  <c r="IV11"/>
  <c r="A10"/>
  <c r="B10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AW10"/>
  <c r="AX10"/>
  <c r="AY10"/>
  <c r="AZ10"/>
  <c r="BA10"/>
  <c r="BB10"/>
  <c r="BC10"/>
  <c r="BD10"/>
  <c r="BE10"/>
  <c r="BF10"/>
  <c r="BG10"/>
  <c r="BH10"/>
  <c r="BI10"/>
  <c r="BJ10"/>
  <c r="BK10"/>
  <c r="BL10"/>
  <c r="BM10"/>
  <c r="BN10"/>
  <c r="BO10"/>
  <c r="BP10"/>
  <c r="BQ10"/>
  <c r="BR10"/>
  <c r="BS10"/>
  <c r="BT10"/>
  <c r="BU10"/>
  <c r="BV10"/>
  <c r="BW10"/>
  <c r="BX10"/>
  <c r="BY10"/>
  <c r="BZ10"/>
  <c r="CA10"/>
  <c r="CB10"/>
  <c r="CC10"/>
  <c r="CD10"/>
  <c r="CE10"/>
  <c r="CF10"/>
  <c r="CG10"/>
  <c r="CH10"/>
  <c r="CI10"/>
  <c r="CJ10"/>
  <c r="CK10"/>
  <c r="CL10"/>
  <c r="CM10"/>
  <c r="CN10"/>
  <c r="CO10"/>
  <c r="CP10"/>
  <c r="CQ10"/>
  <c r="CR10"/>
  <c r="CS10"/>
  <c r="CT10"/>
  <c r="CU10"/>
  <c r="CV10"/>
  <c r="CW10"/>
  <c r="CX10"/>
  <c r="CY10"/>
  <c r="CZ10"/>
  <c r="DA10"/>
  <c r="DB10"/>
  <c r="DC10"/>
  <c r="DD10"/>
  <c r="DE10"/>
  <c r="DF10"/>
  <c r="DG10"/>
  <c r="DH10"/>
  <c r="DI10"/>
  <c r="DJ10"/>
  <c r="DK10"/>
  <c r="DL10"/>
  <c r="DM10"/>
  <c r="DN10"/>
  <c r="DO10"/>
  <c r="DP10"/>
  <c r="DQ10"/>
  <c r="DR10"/>
  <c r="DS10"/>
  <c r="DT10"/>
  <c r="DU10"/>
  <c r="DV10"/>
  <c r="DW10"/>
  <c r="DX10"/>
  <c r="DY10"/>
  <c r="DZ10"/>
  <c r="EA10"/>
  <c r="EB10"/>
  <c r="EC10"/>
  <c r="ED10"/>
  <c r="EE10"/>
  <c r="EF10"/>
  <c r="EG10"/>
  <c r="EH10"/>
  <c r="EI10"/>
  <c r="EJ10"/>
  <c r="EK10"/>
  <c r="EL10"/>
  <c r="EM10"/>
  <c r="EN10"/>
  <c r="EO10"/>
  <c r="EP10"/>
  <c r="EQ10"/>
  <c r="ER10"/>
  <c r="ES10"/>
  <c r="ET10"/>
  <c r="EU10"/>
  <c r="EV10"/>
  <c r="EW10"/>
  <c r="EX10"/>
  <c r="EY10"/>
  <c r="EZ10"/>
  <c r="FA10"/>
  <c r="FB10"/>
  <c r="FC10"/>
  <c r="FD10"/>
  <c r="FE10"/>
  <c r="FF10"/>
  <c r="FG10"/>
  <c r="FH10"/>
  <c r="FI10"/>
  <c r="FJ10"/>
  <c r="FK10"/>
  <c r="FL10"/>
  <c r="FM10"/>
  <c r="FN10"/>
  <c r="FO10"/>
  <c r="FP10"/>
  <c r="FQ10"/>
  <c r="FR10"/>
  <c r="FS10"/>
  <c r="FT10"/>
  <c r="FU10"/>
  <c r="FV10"/>
  <c r="FW10"/>
  <c r="FX10"/>
  <c r="FY10"/>
  <c r="FZ10"/>
  <c r="GA10"/>
  <c r="GB10"/>
  <c r="GC10"/>
  <c r="GD10"/>
  <c r="GE10"/>
  <c r="GF10"/>
  <c r="GG10"/>
  <c r="GH10"/>
  <c r="GI10"/>
  <c r="GJ10"/>
  <c r="GK10"/>
  <c r="GL10"/>
  <c r="GM10"/>
  <c r="GN10"/>
  <c r="GO10"/>
  <c r="GP10"/>
  <c r="GQ10"/>
  <c r="GR10"/>
  <c r="GS10"/>
  <c r="GT10"/>
  <c r="GU10"/>
  <c r="GV10"/>
  <c r="GW10"/>
  <c r="GX10"/>
  <c r="GY10"/>
  <c r="GZ10"/>
  <c r="HA10"/>
  <c r="HB10"/>
  <c r="HC10"/>
  <c r="HD10"/>
  <c r="HE10"/>
  <c r="HF10"/>
  <c r="HG10"/>
  <c r="HH10"/>
  <c r="HI10"/>
  <c r="HJ10"/>
  <c r="HK10"/>
  <c r="HL10"/>
  <c r="HM10"/>
  <c r="HN10"/>
  <c r="HO10"/>
  <c r="HP10"/>
  <c r="HQ10"/>
  <c r="HR10"/>
  <c r="HS10"/>
  <c r="HT10"/>
  <c r="HU10"/>
  <c r="HV10"/>
  <c r="HW10"/>
  <c r="HX10"/>
  <c r="HY10"/>
  <c r="HZ10"/>
  <c r="IA10"/>
  <c r="IB10"/>
  <c r="IC10"/>
  <c r="ID10"/>
  <c r="IE10"/>
  <c r="IF10"/>
  <c r="IG10"/>
  <c r="IH10"/>
  <c r="II10"/>
  <c r="IJ10"/>
  <c r="IK10"/>
  <c r="IL10"/>
  <c r="IM10"/>
  <c r="IN10"/>
  <c r="IO10"/>
  <c r="IP10"/>
  <c r="IQ10"/>
  <c r="IR10"/>
  <c r="IS10"/>
  <c r="IT10"/>
  <c r="IU10"/>
  <c r="IV10"/>
  <c r="A9"/>
  <c r="B9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BA9"/>
  <c r="BB9"/>
  <c r="BC9"/>
  <c r="BD9"/>
  <c r="BE9"/>
  <c r="BF9"/>
  <c r="BG9"/>
  <c r="BH9"/>
  <c r="BI9"/>
  <c r="BJ9"/>
  <c r="BK9"/>
  <c r="BL9"/>
  <c r="BM9"/>
  <c r="BN9"/>
  <c r="BO9"/>
  <c r="BP9"/>
  <c r="BQ9"/>
  <c r="BR9"/>
  <c r="BS9"/>
  <c r="BT9"/>
  <c r="BU9"/>
  <c r="BV9"/>
  <c r="BW9"/>
  <c r="BX9"/>
  <c r="BY9"/>
  <c r="BZ9"/>
  <c r="CA9"/>
  <c r="CB9"/>
  <c r="CC9"/>
  <c r="CD9"/>
  <c r="CE9"/>
  <c r="CF9"/>
  <c r="CG9"/>
  <c r="CH9"/>
  <c r="CI9"/>
  <c r="CJ9"/>
  <c r="CK9"/>
  <c r="CL9"/>
  <c r="CM9"/>
  <c r="CN9"/>
  <c r="CO9"/>
  <c r="CP9"/>
  <c r="CQ9"/>
  <c r="CR9"/>
  <c r="CS9"/>
  <c r="CT9"/>
  <c r="CU9"/>
  <c r="CV9"/>
  <c r="CW9"/>
  <c r="CX9"/>
  <c r="CY9"/>
  <c r="CZ9"/>
  <c r="DA9"/>
  <c r="DB9"/>
  <c r="DC9"/>
  <c r="DD9"/>
  <c r="DE9"/>
  <c r="DF9"/>
  <c r="DG9"/>
  <c r="DH9"/>
  <c r="DI9"/>
  <c r="DJ9"/>
  <c r="DK9"/>
  <c r="DL9"/>
  <c r="DM9"/>
  <c r="DN9"/>
  <c r="DO9"/>
  <c r="DP9"/>
  <c r="DQ9"/>
  <c r="DR9"/>
  <c r="DS9"/>
  <c r="DT9"/>
  <c r="DU9"/>
  <c r="DV9"/>
  <c r="DW9"/>
  <c r="DX9"/>
  <c r="DY9"/>
  <c r="DZ9"/>
  <c r="EA9"/>
  <c r="EB9"/>
  <c r="EC9"/>
  <c r="ED9"/>
  <c r="EE9"/>
  <c r="EF9"/>
  <c r="EG9"/>
  <c r="EH9"/>
  <c r="EI9"/>
  <c r="EJ9"/>
  <c r="EK9"/>
  <c r="EL9"/>
  <c r="EM9"/>
  <c r="EN9"/>
  <c r="EO9"/>
  <c r="EP9"/>
  <c r="EQ9"/>
  <c r="ER9"/>
  <c r="ES9"/>
  <c r="ET9"/>
  <c r="EU9"/>
  <c r="EV9"/>
  <c r="EW9"/>
  <c r="EX9"/>
  <c r="EY9"/>
  <c r="EZ9"/>
  <c r="FA9"/>
  <c r="FB9"/>
  <c r="FC9"/>
  <c r="FD9"/>
  <c r="FE9"/>
  <c r="FF9"/>
  <c r="FG9"/>
  <c r="FH9"/>
  <c r="FI9"/>
  <c r="FJ9"/>
  <c r="FK9"/>
  <c r="FL9"/>
  <c r="FM9"/>
  <c r="FN9"/>
  <c r="FO9"/>
  <c r="FP9"/>
  <c r="FQ9"/>
  <c r="FR9"/>
  <c r="FS9"/>
  <c r="FT9"/>
  <c r="FU9"/>
  <c r="FV9"/>
  <c r="FW9"/>
  <c r="FX9"/>
  <c r="FY9"/>
  <c r="FZ9"/>
  <c r="GA9"/>
  <c r="GB9"/>
  <c r="GC9"/>
  <c r="GD9"/>
  <c r="GE9"/>
  <c r="GF9"/>
  <c r="GG9"/>
  <c r="GH9"/>
  <c r="GI9"/>
  <c r="GJ9"/>
  <c r="GK9"/>
  <c r="GL9"/>
  <c r="GM9"/>
  <c r="GN9"/>
  <c r="GO9"/>
  <c r="GP9"/>
  <c r="GQ9"/>
  <c r="GR9"/>
  <c r="GS9"/>
  <c r="GT9"/>
  <c r="GU9"/>
  <c r="GV9"/>
  <c r="GW9"/>
  <c r="GX9"/>
  <c r="GY9"/>
  <c r="GZ9"/>
  <c r="HA9"/>
  <c r="HB9"/>
  <c r="HC9"/>
  <c r="HD9"/>
  <c r="HE9"/>
  <c r="HF9"/>
  <c r="HG9"/>
  <c r="HH9"/>
  <c r="HI9"/>
  <c r="HJ9"/>
  <c r="HK9"/>
  <c r="HL9"/>
  <c r="HM9"/>
  <c r="HN9"/>
  <c r="HO9"/>
  <c r="HP9"/>
  <c r="HQ9"/>
  <c r="HR9"/>
  <c r="HS9"/>
  <c r="HT9"/>
  <c r="HU9"/>
  <c r="HV9"/>
  <c r="HW9"/>
  <c r="HX9"/>
  <c r="HY9"/>
  <c r="HZ9"/>
  <c r="IA9"/>
  <c r="IB9"/>
  <c r="IC9"/>
  <c r="ID9"/>
  <c r="IE9"/>
  <c r="IF9"/>
  <c r="IG9"/>
  <c r="IH9"/>
  <c r="II9"/>
  <c r="IJ9"/>
  <c r="IK9"/>
  <c r="IL9"/>
  <c r="IM9"/>
  <c r="IN9"/>
  <c r="IO9"/>
  <c r="IP9"/>
  <c r="IQ9"/>
  <c r="IR9"/>
  <c r="IS9"/>
  <c r="IT9"/>
  <c r="IU9"/>
  <c r="IV9"/>
  <c r="A8"/>
  <c r="B8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AW8"/>
  <c r="AX8"/>
  <c r="AY8"/>
  <c r="AZ8"/>
  <c r="BA8"/>
  <c r="BB8"/>
  <c r="BC8"/>
  <c r="BD8"/>
  <c r="BE8"/>
  <c r="BF8"/>
  <c r="BG8"/>
  <c r="BH8"/>
  <c r="BI8"/>
  <c r="BJ8"/>
  <c r="BK8"/>
  <c r="BL8"/>
  <c r="BM8"/>
  <c r="BN8"/>
  <c r="BO8"/>
  <c r="BP8"/>
  <c r="BQ8"/>
  <c r="BR8"/>
  <c r="BS8"/>
  <c r="BT8"/>
  <c r="BU8"/>
  <c r="BV8"/>
  <c r="BW8"/>
  <c r="BX8"/>
  <c r="BY8"/>
  <c r="BZ8"/>
  <c r="CA8"/>
  <c r="CB8"/>
  <c r="CC8"/>
  <c r="CD8"/>
  <c r="CE8"/>
  <c r="CF8"/>
  <c r="CG8"/>
  <c r="CH8"/>
  <c r="CI8"/>
  <c r="CJ8"/>
  <c r="CK8"/>
  <c r="CL8"/>
  <c r="CM8"/>
  <c r="CN8"/>
  <c r="CO8"/>
  <c r="CP8"/>
  <c r="CQ8"/>
  <c r="CR8"/>
  <c r="CS8"/>
  <c r="CT8"/>
  <c r="CU8"/>
  <c r="CV8"/>
  <c r="CW8"/>
  <c r="CX8"/>
  <c r="CY8"/>
  <c r="CZ8"/>
  <c r="DA8"/>
  <c r="DB8"/>
  <c r="DC8"/>
  <c r="DD8"/>
  <c r="DE8"/>
  <c r="DF8"/>
  <c r="DG8"/>
  <c r="DH8"/>
  <c r="DI8"/>
  <c r="DJ8"/>
  <c r="DK8"/>
  <c r="DL8"/>
  <c r="DM8"/>
  <c r="DN8"/>
  <c r="DO8"/>
  <c r="DP8"/>
  <c r="DQ8"/>
  <c r="DR8"/>
  <c r="DS8"/>
  <c r="DT8"/>
  <c r="DU8"/>
  <c r="DV8"/>
  <c r="DW8"/>
  <c r="DX8"/>
  <c r="DY8"/>
  <c r="DZ8"/>
  <c r="EA8"/>
  <c r="EB8"/>
  <c r="EC8"/>
  <c r="ED8"/>
  <c r="EE8"/>
  <c r="EF8"/>
  <c r="EG8"/>
  <c r="EH8"/>
  <c r="EI8"/>
  <c r="EJ8"/>
  <c r="EK8"/>
  <c r="EL8"/>
  <c r="EM8"/>
  <c r="EN8"/>
  <c r="EO8"/>
  <c r="EP8"/>
  <c r="EQ8"/>
  <c r="ER8"/>
  <c r="ES8"/>
  <c r="ET8"/>
  <c r="EU8"/>
  <c r="EV8"/>
  <c r="EW8"/>
  <c r="EX8"/>
  <c r="EY8"/>
  <c r="EZ8"/>
  <c r="FA8"/>
  <c r="FB8"/>
  <c r="FC8"/>
  <c r="FD8"/>
  <c r="FE8"/>
  <c r="FF8"/>
  <c r="FG8"/>
  <c r="FH8"/>
  <c r="FI8"/>
  <c r="FJ8"/>
  <c r="FK8"/>
  <c r="FL8"/>
  <c r="FM8"/>
  <c r="FN8"/>
  <c r="FO8"/>
  <c r="FP8"/>
  <c r="FQ8"/>
  <c r="FR8"/>
  <c r="FS8"/>
  <c r="FT8"/>
  <c r="FU8"/>
  <c r="FV8"/>
  <c r="FW8"/>
  <c r="FX8"/>
  <c r="FY8"/>
  <c r="FZ8"/>
  <c r="GA8"/>
  <c r="GB8"/>
  <c r="GC8"/>
  <c r="GD8"/>
  <c r="GE8"/>
  <c r="GF8"/>
  <c r="GG8"/>
  <c r="GH8"/>
  <c r="GI8"/>
  <c r="GJ8"/>
  <c r="GK8"/>
  <c r="GL8"/>
  <c r="GM8"/>
  <c r="GN8"/>
  <c r="GO8"/>
  <c r="GP8"/>
  <c r="GQ8"/>
  <c r="GR8"/>
  <c r="GS8"/>
  <c r="GT8"/>
  <c r="GU8"/>
  <c r="GV8"/>
  <c r="GW8"/>
  <c r="GX8"/>
  <c r="GY8"/>
  <c r="GZ8"/>
  <c r="HA8"/>
  <c r="HB8"/>
  <c r="HC8"/>
  <c r="HD8"/>
  <c r="HE8"/>
  <c r="HF8"/>
  <c r="HG8"/>
  <c r="HH8"/>
  <c r="HI8"/>
  <c r="HJ8"/>
  <c r="HK8"/>
  <c r="HL8"/>
  <c r="HM8"/>
  <c r="HN8"/>
  <c r="HO8"/>
  <c r="HP8"/>
  <c r="HQ8"/>
  <c r="HR8"/>
  <c r="HS8"/>
  <c r="HT8"/>
  <c r="HU8"/>
  <c r="HV8"/>
  <c r="HW8"/>
  <c r="HX8"/>
  <c r="HY8"/>
  <c r="HZ8"/>
  <c r="IA8"/>
  <c r="IB8"/>
  <c r="IC8"/>
  <c r="ID8"/>
  <c r="IE8"/>
  <c r="IF8"/>
  <c r="IG8"/>
  <c r="IH8"/>
  <c r="II8"/>
  <c r="IJ8"/>
  <c r="IK8"/>
  <c r="IL8"/>
  <c r="IM8"/>
  <c r="IN8"/>
  <c r="IO8"/>
  <c r="IP8"/>
  <c r="IQ8"/>
  <c r="IR8"/>
  <c r="IS8"/>
  <c r="IT8"/>
  <c r="IU8"/>
  <c r="IV8"/>
  <c r="A7"/>
  <c r="B7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BI7"/>
  <c r="BJ7"/>
  <c r="BK7"/>
  <c r="BL7"/>
  <c r="BM7"/>
  <c r="BN7"/>
  <c r="BO7"/>
  <c r="BP7"/>
  <c r="BQ7"/>
  <c r="BR7"/>
  <c r="BS7"/>
  <c r="BT7"/>
  <c r="BU7"/>
  <c r="BV7"/>
  <c r="BW7"/>
  <c r="BX7"/>
  <c r="BY7"/>
  <c r="BZ7"/>
  <c r="CA7"/>
  <c r="CB7"/>
  <c r="CC7"/>
  <c r="CD7"/>
  <c r="CE7"/>
  <c r="CF7"/>
  <c r="CG7"/>
  <c r="CH7"/>
  <c r="CI7"/>
  <c r="CJ7"/>
  <c r="CK7"/>
  <c r="CL7"/>
  <c r="CM7"/>
  <c r="CN7"/>
  <c r="CO7"/>
  <c r="CP7"/>
  <c r="CQ7"/>
  <c r="CR7"/>
  <c r="CS7"/>
  <c r="CT7"/>
  <c r="CU7"/>
  <c r="CV7"/>
  <c r="CW7"/>
  <c r="CX7"/>
  <c r="CY7"/>
  <c r="CZ7"/>
  <c r="DA7"/>
  <c r="DB7"/>
  <c r="DC7"/>
  <c r="DD7"/>
  <c r="DE7"/>
  <c r="DF7"/>
  <c r="DG7"/>
  <c r="DH7"/>
  <c r="DI7"/>
  <c r="DJ7"/>
  <c r="DK7"/>
  <c r="DL7"/>
  <c r="DM7"/>
  <c r="DN7"/>
  <c r="DO7"/>
  <c r="DP7"/>
  <c r="DQ7"/>
  <c r="DR7"/>
  <c r="DS7"/>
  <c r="DT7"/>
  <c r="DU7"/>
  <c r="DV7"/>
  <c r="DW7"/>
  <c r="DX7"/>
  <c r="DY7"/>
  <c r="DZ7"/>
  <c r="EA7"/>
  <c r="EB7"/>
  <c r="EC7"/>
  <c r="ED7"/>
  <c r="EE7"/>
  <c r="EF7"/>
  <c r="EG7"/>
  <c r="EH7"/>
  <c r="EI7"/>
  <c r="EJ7"/>
  <c r="EK7"/>
  <c r="EL7"/>
  <c r="EM7"/>
  <c r="EN7"/>
  <c r="EO7"/>
  <c r="EP7"/>
  <c r="EQ7"/>
  <c r="ER7"/>
  <c r="ES7"/>
  <c r="ET7"/>
  <c r="EU7"/>
  <c r="EV7"/>
  <c r="EW7"/>
  <c r="EX7"/>
  <c r="EY7"/>
  <c r="EZ7"/>
  <c r="FA7"/>
  <c r="FB7"/>
  <c r="FC7"/>
  <c r="FD7"/>
  <c r="FE7"/>
  <c r="FF7"/>
  <c r="FG7"/>
  <c r="FH7"/>
  <c r="FI7"/>
  <c r="FJ7"/>
  <c r="FK7"/>
  <c r="FL7"/>
  <c r="FM7"/>
  <c r="FN7"/>
  <c r="FO7"/>
  <c r="FP7"/>
  <c r="FQ7"/>
  <c r="FR7"/>
  <c r="FS7"/>
  <c r="FT7"/>
  <c r="FU7"/>
  <c r="FV7"/>
  <c r="FW7"/>
  <c r="FX7"/>
  <c r="FY7"/>
  <c r="FZ7"/>
  <c r="GA7"/>
  <c r="GB7"/>
  <c r="GC7"/>
  <c r="GD7"/>
  <c r="GE7"/>
  <c r="GF7"/>
  <c r="GG7"/>
  <c r="GH7"/>
  <c r="GI7"/>
  <c r="GJ7"/>
  <c r="GK7"/>
  <c r="GL7"/>
  <c r="GM7"/>
  <c r="GN7"/>
  <c r="GO7"/>
  <c r="GP7"/>
  <c r="GQ7"/>
  <c r="GR7"/>
  <c r="GS7"/>
  <c r="GT7"/>
  <c r="GU7"/>
  <c r="GV7"/>
  <c r="GW7"/>
  <c r="GX7"/>
  <c r="GY7"/>
  <c r="GZ7"/>
  <c r="HA7"/>
  <c r="HB7"/>
  <c r="HC7"/>
  <c r="HD7"/>
  <c r="HE7"/>
  <c r="HF7"/>
  <c r="HG7"/>
  <c r="HH7"/>
  <c r="HI7"/>
  <c r="HJ7"/>
  <c r="HK7"/>
  <c r="HL7"/>
  <c r="HM7"/>
  <c r="HN7"/>
  <c r="HO7"/>
  <c r="HP7"/>
  <c r="HQ7"/>
  <c r="HR7"/>
  <c r="HS7"/>
  <c r="HT7"/>
  <c r="HU7"/>
  <c r="HV7"/>
  <c r="HW7"/>
  <c r="HX7"/>
  <c r="HY7"/>
  <c r="HZ7"/>
  <c r="IA7"/>
  <c r="IB7"/>
  <c r="IC7"/>
  <c r="ID7"/>
  <c r="IE7"/>
  <c r="IF7"/>
  <c r="IG7"/>
  <c r="IH7"/>
  <c r="II7"/>
  <c r="IJ7"/>
  <c r="IK7"/>
  <c r="IL7"/>
  <c r="IM7"/>
  <c r="IN7"/>
  <c r="IO7"/>
  <c r="IP7"/>
  <c r="IQ7"/>
  <c r="IR7"/>
  <c r="IS7"/>
  <c r="IT7"/>
  <c r="IU7"/>
  <c r="IV7"/>
  <c r="A6"/>
  <c r="B6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EG6"/>
  <c r="EH6"/>
  <c r="EI6"/>
  <c r="EJ6"/>
  <c r="EK6"/>
  <c r="EL6"/>
  <c r="EM6"/>
  <c r="EN6"/>
  <c r="EO6"/>
  <c r="EP6"/>
  <c r="EQ6"/>
  <c r="ER6"/>
  <c r="ES6"/>
  <c r="ET6"/>
  <c r="EU6"/>
  <c r="EV6"/>
  <c r="EW6"/>
  <c r="EX6"/>
  <c r="EY6"/>
  <c r="EZ6"/>
  <c r="FA6"/>
  <c r="FB6"/>
  <c r="FC6"/>
  <c r="FD6"/>
  <c r="FE6"/>
  <c r="FF6"/>
  <c r="FG6"/>
  <c r="FH6"/>
  <c r="FI6"/>
  <c r="FJ6"/>
  <c r="FK6"/>
  <c r="FL6"/>
  <c r="FM6"/>
  <c r="FN6"/>
  <c r="FO6"/>
  <c r="FP6"/>
  <c r="FQ6"/>
  <c r="FR6"/>
  <c r="FS6"/>
  <c r="FT6"/>
  <c r="FU6"/>
  <c r="FV6"/>
  <c r="FW6"/>
  <c r="FX6"/>
  <c r="FY6"/>
  <c r="FZ6"/>
  <c r="GA6"/>
  <c r="GB6"/>
  <c r="GC6"/>
  <c r="GD6"/>
  <c r="GE6"/>
  <c r="GF6"/>
  <c r="GG6"/>
  <c r="GH6"/>
  <c r="GI6"/>
  <c r="GJ6"/>
  <c r="GK6"/>
  <c r="GL6"/>
  <c r="GM6"/>
  <c r="GN6"/>
  <c r="GO6"/>
  <c r="GP6"/>
  <c r="GQ6"/>
  <c r="GR6"/>
  <c r="GS6"/>
  <c r="GT6"/>
  <c r="GU6"/>
  <c r="GV6"/>
  <c r="GW6"/>
  <c r="GX6"/>
  <c r="GY6"/>
  <c r="GZ6"/>
  <c r="HA6"/>
  <c r="HB6"/>
  <c r="HC6"/>
  <c r="HD6"/>
  <c r="HE6"/>
  <c r="HF6"/>
  <c r="HG6"/>
  <c r="HH6"/>
  <c r="HI6"/>
  <c r="HJ6"/>
  <c r="HK6"/>
  <c r="HL6"/>
  <c r="HM6"/>
  <c r="HN6"/>
  <c r="HO6"/>
  <c r="HP6"/>
  <c r="HQ6"/>
  <c r="HR6"/>
  <c r="HS6"/>
  <c r="HT6"/>
  <c r="HU6"/>
  <c r="HV6"/>
  <c r="HW6"/>
  <c r="HX6"/>
  <c r="HY6"/>
  <c r="HZ6"/>
  <c r="IA6"/>
  <c r="IB6"/>
  <c r="IC6"/>
  <c r="ID6"/>
  <c r="IE6"/>
  <c r="IF6"/>
  <c r="IG6"/>
  <c r="IH6"/>
  <c r="II6"/>
  <c r="IJ6"/>
  <c r="IK6"/>
  <c r="IL6"/>
  <c r="IM6"/>
  <c r="IN6"/>
  <c r="IO6"/>
  <c r="IP6"/>
  <c r="IQ6"/>
  <c r="IR6"/>
  <c r="IS6"/>
  <c r="IT6"/>
  <c r="IU6"/>
  <c r="IV6"/>
  <c r="A5"/>
  <c r="B5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K5"/>
  <c r="FL5"/>
  <c r="FM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GJ5"/>
  <c r="GK5"/>
  <c r="GL5"/>
  <c r="GM5"/>
  <c r="GN5"/>
  <c r="GO5"/>
  <c r="GP5"/>
  <c r="GQ5"/>
  <c r="GR5"/>
  <c r="GS5"/>
  <c r="GT5"/>
  <c r="GU5"/>
  <c r="GV5"/>
  <c r="GW5"/>
  <c r="GX5"/>
  <c r="GY5"/>
  <c r="GZ5"/>
  <c r="HA5"/>
  <c r="HB5"/>
  <c r="HC5"/>
  <c r="HD5"/>
  <c r="HE5"/>
  <c r="HF5"/>
  <c r="HG5"/>
  <c r="HH5"/>
  <c r="HI5"/>
  <c r="HJ5"/>
  <c r="HK5"/>
  <c r="HL5"/>
  <c r="HM5"/>
  <c r="HN5"/>
  <c r="HO5"/>
  <c r="HP5"/>
  <c r="HQ5"/>
  <c r="HR5"/>
  <c r="HS5"/>
  <c r="HT5"/>
  <c r="HU5"/>
  <c r="HV5"/>
  <c r="HW5"/>
  <c r="HX5"/>
  <c r="HY5"/>
  <c r="HZ5"/>
  <c r="IA5"/>
  <c r="IB5"/>
  <c r="IC5"/>
  <c r="ID5"/>
  <c r="IE5"/>
  <c r="IF5"/>
  <c r="IG5"/>
  <c r="IH5"/>
  <c r="II5"/>
  <c r="IJ5"/>
  <c r="IK5"/>
  <c r="IL5"/>
  <c r="IM5"/>
  <c r="IN5"/>
  <c r="IO5"/>
  <c r="IP5"/>
  <c r="IQ5"/>
  <c r="IR5"/>
  <c r="IS5"/>
  <c r="IT5"/>
  <c r="IU5"/>
  <c r="IV5"/>
  <c r="A4"/>
  <c r="B4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EC4"/>
  <c r="ED4"/>
  <c r="EE4"/>
  <c r="EF4"/>
  <c r="EG4"/>
  <c r="EH4"/>
  <c r="EI4"/>
  <c r="EJ4"/>
  <c r="EK4"/>
  <c r="EL4"/>
  <c r="EM4"/>
  <c r="EN4"/>
  <c r="EO4"/>
  <c r="EP4"/>
  <c r="EQ4"/>
  <c r="ER4"/>
  <c r="ES4"/>
  <c r="ET4"/>
  <c r="EU4"/>
  <c r="EV4"/>
  <c r="EW4"/>
  <c r="EX4"/>
  <c r="EY4"/>
  <c r="EZ4"/>
  <c r="FA4"/>
  <c r="FB4"/>
  <c r="FC4"/>
  <c r="FD4"/>
  <c r="FE4"/>
  <c r="FF4"/>
  <c r="FG4"/>
  <c r="FH4"/>
  <c r="FI4"/>
  <c r="FJ4"/>
  <c r="FK4"/>
  <c r="FL4"/>
  <c r="FM4"/>
  <c r="FN4"/>
  <c r="FO4"/>
  <c r="FP4"/>
  <c r="FQ4"/>
  <c r="FR4"/>
  <c r="FS4"/>
  <c r="FT4"/>
  <c r="FU4"/>
  <c r="FV4"/>
  <c r="FW4"/>
  <c r="FX4"/>
  <c r="FY4"/>
  <c r="FZ4"/>
  <c r="GA4"/>
  <c r="GB4"/>
  <c r="GC4"/>
  <c r="GD4"/>
  <c r="GE4"/>
  <c r="GF4"/>
  <c r="GG4"/>
  <c r="GH4"/>
  <c r="GI4"/>
  <c r="GJ4"/>
  <c r="GK4"/>
  <c r="GL4"/>
  <c r="GM4"/>
  <c r="GN4"/>
  <c r="GO4"/>
  <c r="GP4"/>
  <c r="GQ4"/>
  <c r="GR4"/>
  <c r="GS4"/>
  <c r="GT4"/>
  <c r="GU4"/>
  <c r="GV4"/>
  <c r="GW4"/>
  <c r="GX4"/>
  <c r="GY4"/>
  <c r="GZ4"/>
  <c r="HA4"/>
  <c r="HB4"/>
  <c r="HC4"/>
  <c r="HD4"/>
  <c r="HE4"/>
  <c r="HF4"/>
  <c r="HG4"/>
  <c r="HH4"/>
  <c r="HI4"/>
  <c r="HJ4"/>
  <c r="HK4"/>
  <c r="HL4"/>
  <c r="HM4"/>
  <c r="HN4"/>
  <c r="HO4"/>
  <c r="HP4"/>
  <c r="HQ4"/>
  <c r="HR4"/>
  <c r="HS4"/>
  <c r="HT4"/>
  <c r="HU4"/>
  <c r="HV4"/>
  <c r="HW4"/>
  <c r="HX4"/>
  <c r="HY4"/>
  <c r="HZ4"/>
  <c r="IA4"/>
  <c r="IB4"/>
  <c r="IC4"/>
  <c r="ID4"/>
  <c r="IE4"/>
  <c r="IF4"/>
  <c r="IG4"/>
  <c r="IH4"/>
  <c r="II4"/>
  <c r="IJ4"/>
  <c r="IK4"/>
  <c r="IL4"/>
  <c r="IM4"/>
  <c r="IN4"/>
  <c r="IO4"/>
  <c r="IP4"/>
  <c r="IQ4"/>
  <c r="IR4"/>
  <c r="IS4"/>
  <c r="IT4"/>
  <c r="IU4"/>
  <c r="IV4"/>
  <c r="A3"/>
  <c r="B3"/>
  <c r="C3"/>
  <c r="D3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AZ3"/>
  <c r="BA3"/>
  <c r="BB3"/>
  <c r="BC3"/>
  <c r="BD3"/>
  <c r="BE3"/>
  <c r="BF3"/>
  <c r="BG3"/>
  <c r="BH3"/>
  <c r="BI3"/>
  <c r="BJ3"/>
  <c r="BK3"/>
  <c r="BL3"/>
  <c r="BM3"/>
  <c r="BN3"/>
  <c r="BO3"/>
  <c r="BP3"/>
  <c r="BQ3"/>
  <c r="BR3"/>
  <c r="BS3"/>
  <c r="BT3"/>
  <c r="BU3"/>
  <c r="BV3"/>
  <c r="BW3"/>
  <c r="BX3"/>
  <c r="BY3"/>
  <c r="BZ3"/>
  <c r="CA3"/>
  <c r="CB3"/>
  <c r="CC3"/>
  <c r="CD3"/>
  <c r="CE3"/>
  <c r="CF3"/>
  <c r="CG3"/>
  <c r="CH3"/>
  <c r="CI3"/>
  <c r="CJ3"/>
  <c r="CK3"/>
  <c r="CL3"/>
  <c r="CM3"/>
  <c r="CN3"/>
  <c r="CO3"/>
  <c r="CP3"/>
  <c r="CQ3"/>
  <c r="CR3"/>
  <c r="CS3"/>
  <c r="CT3"/>
  <c r="CU3"/>
  <c r="CV3"/>
  <c r="CW3"/>
  <c r="CX3"/>
  <c r="CY3"/>
  <c r="CZ3"/>
  <c r="DA3"/>
  <c r="DB3"/>
  <c r="DC3"/>
  <c r="DD3"/>
  <c r="DE3"/>
  <c r="DF3"/>
  <c r="DG3"/>
  <c r="DH3"/>
  <c r="DI3"/>
  <c r="DJ3"/>
  <c r="DK3"/>
  <c r="DL3"/>
  <c r="DM3"/>
  <c r="DN3"/>
  <c r="DO3"/>
  <c r="DP3"/>
  <c r="DQ3"/>
  <c r="DR3"/>
  <c r="DS3"/>
  <c r="DT3"/>
  <c r="DU3"/>
  <c r="DV3"/>
  <c r="DW3"/>
  <c r="DX3"/>
  <c r="DY3"/>
  <c r="DZ3"/>
  <c r="EA3"/>
  <c r="EB3"/>
  <c r="EC3"/>
  <c r="ED3"/>
  <c r="EE3"/>
  <c r="EF3"/>
  <c r="EG3"/>
  <c r="EH3"/>
  <c r="EI3"/>
  <c r="EJ3"/>
  <c r="EK3"/>
  <c r="EL3"/>
  <c r="EM3"/>
  <c r="EN3"/>
  <c r="EO3"/>
  <c r="EP3"/>
  <c r="EQ3"/>
  <c r="ER3"/>
  <c r="ES3"/>
  <c r="ET3"/>
  <c r="EU3"/>
  <c r="EV3"/>
  <c r="EW3"/>
  <c r="EX3"/>
  <c r="EY3"/>
  <c r="EZ3"/>
  <c r="FA3"/>
  <c r="FB3"/>
  <c r="FC3"/>
  <c r="FD3"/>
  <c r="FE3"/>
  <c r="FF3"/>
  <c r="FG3"/>
  <c r="FH3"/>
  <c r="FI3"/>
  <c r="FJ3"/>
  <c r="FK3"/>
  <c r="FL3"/>
  <c r="FM3"/>
  <c r="FN3"/>
  <c r="FO3"/>
  <c r="FP3"/>
  <c r="FQ3"/>
  <c r="FR3"/>
  <c r="FS3"/>
  <c r="FT3"/>
  <c r="FU3"/>
  <c r="FV3"/>
  <c r="FW3"/>
  <c r="FX3"/>
  <c r="FY3"/>
  <c r="FZ3"/>
  <c r="GA3"/>
  <c r="GB3"/>
  <c r="GC3"/>
  <c r="GD3"/>
  <c r="GE3"/>
  <c r="GF3"/>
  <c r="GG3"/>
  <c r="GH3"/>
  <c r="GI3"/>
  <c r="GJ3"/>
  <c r="GK3"/>
  <c r="GL3"/>
  <c r="GM3"/>
  <c r="GN3"/>
  <c r="GO3"/>
  <c r="GP3"/>
  <c r="GQ3"/>
  <c r="GR3"/>
  <c r="GS3"/>
  <c r="GT3"/>
  <c r="GU3"/>
  <c r="GV3"/>
  <c r="GW3"/>
  <c r="GX3"/>
  <c r="GY3"/>
  <c r="GZ3"/>
  <c r="HA3"/>
  <c r="HB3"/>
  <c r="HC3"/>
  <c r="HD3"/>
  <c r="HE3"/>
  <c r="HF3"/>
  <c r="HG3"/>
  <c r="HH3"/>
  <c r="HI3"/>
  <c r="HJ3"/>
  <c r="HK3"/>
  <c r="HL3"/>
  <c r="HM3"/>
  <c r="HN3"/>
  <c r="HO3"/>
  <c r="HP3"/>
  <c r="HQ3"/>
  <c r="HR3"/>
  <c r="HS3"/>
  <c r="HT3"/>
  <c r="HU3"/>
  <c r="HV3"/>
  <c r="HW3"/>
  <c r="HX3"/>
  <c r="HY3"/>
  <c r="HZ3"/>
  <c r="IA3"/>
  <c r="IB3"/>
  <c r="IC3"/>
  <c r="ID3"/>
  <c r="IE3"/>
  <c r="IF3"/>
  <c r="IG3"/>
  <c r="IH3"/>
  <c r="II3"/>
  <c r="IJ3"/>
  <c r="IK3"/>
  <c r="IL3"/>
  <c r="IM3"/>
  <c r="IN3"/>
  <c r="IO3"/>
  <c r="IP3"/>
  <c r="IQ3"/>
  <c r="IR3"/>
  <c r="IS3"/>
  <c r="IT3"/>
  <c r="IU3"/>
  <c r="IV3"/>
  <c r="A2"/>
  <c r="B2"/>
  <c r="C2"/>
  <c r="D2"/>
  <c r="E2"/>
  <c r="F2"/>
  <c r="G2"/>
  <c r="H2"/>
  <c r="I2"/>
  <c r="J2"/>
  <c r="K2"/>
  <c r="L2"/>
  <c r="M2"/>
  <c r="N2"/>
  <c r="O2"/>
  <c r="P2"/>
  <c r="Q2"/>
  <c r="R2"/>
  <c r="S2"/>
  <c r="T2"/>
  <c r="U2"/>
  <c r="V2"/>
  <c r="W2"/>
  <c r="X2"/>
  <c r="Y2"/>
  <c r="Z2"/>
  <c r="AA2"/>
  <c r="AB2"/>
  <c r="AC2"/>
  <c r="AD2"/>
  <c r="AE2"/>
  <c r="AF2"/>
  <c r="AG2"/>
  <c r="AH2"/>
  <c r="AI2"/>
  <c r="AJ2"/>
  <c r="AK2"/>
  <c r="AL2"/>
  <c r="AM2"/>
  <c r="AN2"/>
  <c r="AO2"/>
  <c r="AP2"/>
  <c r="AQ2"/>
  <c r="AR2"/>
  <c r="AS2"/>
  <c r="AT2"/>
  <c r="AU2"/>
  <c r="AV2"/>
  <c r="AW2"/>
  <c r="AX2"/>
  <c r="AY2"/>
  <c r="AZ2"/>
  <c r="BA2"/>
  <c r="BB2"/>
  <c r="BC2"/>
  <c r="BD2"/>
  <c r="BE2"/>
  <c r="BF2"/>
  <c r="BG2"/>
  <c r="BH2"/>
  <c r="BI2"/>
  <c r="BJ2"/>
  <c r="BK2"/>
  <c r="BL2"/>
  <c r="BM2"/>
  <c r="BN2"/>
  <c r="BO2"/>
  <c r="BP2"/>
  <c r="BQ2"/>
  <c r="BR2"/>
  <c r="BS2"/>
  <c r="BT2"/>
  <c r="BU2"/>
  <c r="BV2"/>
  <c r="BW2"/>
  <c r="BX2"/>
  <c r="BY2"/>
  <c r="BZ2"/>
  <c r="CA2"/>
  <c r="CB2"/>
  <c r="CC2"/>
  <c r="CD2"/>
  <c r="CE2"/>
  <c r="CF2"/>
  <c r="CG2"/>
  <c r="CH2"/>
  <c r="CI2"/>
  <c r="CJ2"/>
  <c r="CK2"/>
  <c r="CL2"/>
  <c r="CM2"/>
  <c r="CN2"/>
  <c r="CO2"/>
  <c r="CP2"/>
  <c r="CQ2"/>
  <c r="CR2"/>
  <c r="CS2"/>
  <c r="CT2"/>
  <c r="CU2"/>
  <c r="CV2"/>
  <c r="CW2"/>
  <c r="CX2"/>
  <c r="CY2"/>
  <c r="CZ2"/>
  <c r="DA2"/>
  <c r="DB2"/>
  <c r="DC2"/>
  <c r="DD2"/>
  <c r="DE2"/>
  <c r="DF2"/>
  <c r="DG2"/>
  <c r="DH2"/>
  <c r="DI2"/>
  <c r="DJ2"/>
  <c r="DK2"/>
  <c r="DL2"/>
  <c r="DM2"/>
  <c r="DN2"/>
  <c r="DO2"/>
  <c r="DP2"/>
  <c r="DQ2"/>
  <c r="DR2"/>
  <c r="DS2"/>
  <c r="DT2"/>
  <c r="DU2"/>
  <c r="DV2"/>
  <c r="DW2"/>
  <c r="DX2"/>
  <c r="DY2"/>
  <c r="DZ2"/>
  <c r="EA2"/>
  <c r="EB2"/>
  <c r="EC2"/>
  <c r="ED2"/>
  <c r="EE2"/>
  <c r="EF2"/>
  <c r="EG2"/>
  <c r="EH2"/>
  <c r="EI2"/>
  <c r="EJ2"/>
  <c r="EK2"/>
  <c r="EL2"/>
  <c r="EM2"/>
  <c r="EN2"/>
  <c r="EO2"/>
  <c r="EP2"/>
  <c r="EQ2"/>
  <c r="ER2"/>
  <c r="ES2"/>
  <c r="ET2"/>
  <c r="EU2"/>
  <c r="EV2"/>
  <c r="EW2"/>
  <c r="EX2"/>
  <c r="EY2"/>
  <c r="EZ2"/>
  <c r="FA2"/>
  <c r="FB2"/>
  <c r="FC2"/>
  <c r="FD2"/>
  <c r="FE2"/>
  <c r="FF2"/>
  <c r="FG2"/>
  <c r="FH2"/>
  <c r="FI2"/>
  <c r="FJ2"/>
  <c r="FK2"/>
  <c r="FL2"/>
  <c r="FM2"/>
  <c r="FN2"/>
  <c r="FO2"/>
  <c r="FP2"/>
  <c r="FQ2"/>
  <c r="FR2"/>
  <c r="FS2"/>
  <c r="FT2"/>
  <c r="FU2"/>
  <c r="FV2"/>
  <c r="FW2"/>
  <c r="FX2"/>
  <c r="FY2"/>
  <c r="FZ2"/>
  <c r="GA2"/>
  <c r="GB2"/>
  <c r="GC2"/>
  <c r="GD2"/>
  <c r="GE2"/>
  <c r="GF2"/>
  <c r="GG2"/>
  <c r="GH2"/>
  <c r="GI2"/>
  <c r="GJ2"/>
  <c r="GK2"/>
  <c r="GL2"/>
  <c r="GM2"/>
  <c r="GN2"/>
  <c r="GO2"/>
  <c r="GP2"/>
  <c r="GQ2"/>
  <c r="GR2"/>
  <c r="GS2"/>
  <c r="GT2"/>
  <c r="GU2"/>
  <c r="GV2"/>
  <c r="GW2"/>
  <c r="GX2"/>
  <c r="GY2"/>
  <c r="GZ2"/>
  <c r="HA2"/>
  <c r="HB2"/>
  <c r="HC2"/>
  <c r="HD2"/>
  <c r="HE2"/>
  <c r="HF2"/>
  <c r="HG2"/>
  <c r="HH2"/>
  <c r="HI2"/>
  <c r="HJ2"/>
  <c r="HK2"/>
  <c r="HL2"/>
  <c r="HM2"/>
  <c r="HN2"/>
  <c r="HO2"/>
  <c r="HP2"/>
  <c r="HQ2"/>
  <c r="HR2"/>
  <c r="HS2"/>
  <c r="HT2"/>
  <c r="HU2"/>
  <c r="HV2"/>
  <c r="HW2"/>
  <c r="HX2"/>
  <c r="HY2"/>
  <c r="HZ2"/>
  <c r="IA2"/>
  <c r="IB2"/>
  <c r="IC2"/>
  <c r="ID2"/>
  <c r="IE2"/>
  <c r="IF2"/>
  <c r="IG2"/>
  <c r="IH2"/>
  <c r="II2"/>
  <c r="IJ2"/>
  <c r="IK2"/>
  <c r="IL2"/>
  <c r="IM2"/>
  <c r="IN2"/>
  <c r="IO2"/>
  <c r="IP2"/>
  <c r="IQ2"/>
  <c r="IR2"/>
  <c r="IS2"/>
  <c r="IT2"/>
  <c r="IU2"/>
  <c r="IV2"/>
  <c r="A1"/>
  <c r="B1"/>
  <c r="C1"/>
  <c r="D1"/>
  <c r="E1"/>
  <c r="F1"/>
  <c r="G1"/>
  <c r="H1"/>
  <c r="I1"/>
  <c r="J1"/>
  <c r="K1"/>
  <c r="L1"/>
  <c r="M1"/>
  <c r="N1"/>
  <c r="O1"/>
  <c r="P1"/>
  <c r="Q1"/>
  <c r="R1"/>
  <c r="S1"/>
  <c r="T1"/>
  <c r="U1"/>
  <c r="V1"/>
  <c r="W1"/>
  <c r="X1"/>
  <c r="Y1"/>
  <c r="Z1"/>
  <c r="AA1"/>
  <c r="AB1"/>
  <c r="AC1"/>
  <c r="AD1"/>
  <c r="AE1"/>
  <c r="AF1"/>
  <c r="AG1"/>
  <c r="AH1"/>
  <c r="AI1"/>
  <c r="AJ1"/>
  <c r="AK1"/>
  <c r="AL1"/>
  <c r="AM1"/>
  <c r="AN1"/>
  <c r="AO1"/>
  <c r="AP1"/>
  <c r="AQ1"/>
  <c r="AR1"/>
  <c r="AS1"/>
  <c r="AT1"/>
  <c r="AU1"/>
  <c r="AV1"/>
  <c r="AW1"/>
  <c r="AX1"/>
  <c r="AY1"/>
  <c r="AZ1"/>
  <c r="BA1"/>
  <c r="BB1"/>
  <c r="BC1"/>
  <c r="BD1"/>
  <c r="BE1"/>
  <c r="BF1"/>
  <c r="BG1"/>
  <c r="BH1"/>
  <c r="BI1"/>
  <c r="BJ1"/>
  <c r="BK1"/>
  <c r="BL1"/>
  <c r="BM1"/>
  <c r="BN1"/>
  <c r="BO1"/>
  <c r="BP1"/>
  <c r="BQ1"/>
  <c r="BR1"/>
  <c r="BS1"/>
  <c r="BT1"/>
  <c r="BU1"/>
  <c r="BV1"/>
  <c r="BW1"/>
  <c r="BX1"/>
  <c r="BY1"/>
  <c r="BZ1"/>
  <c r="CA1"/>
  <c r="CB1"/>
  <c r="CC1"/>
  <c r="CD1"/>
  <c r="CE1"/>
  <c r="CF1"/>
  <c r="CG1"/>
  <c r="CH1"/>
  <c r="CI1"/>
  <c r="CJ1"/>
  <c r="CK1"/>
  <c r="CL1"/>
  <c r="CM1"/>
  <c r="CN1"/>
  <c r="CO1"/>
  <c r="CP1"/>
  <c r="CQ1"/>
  <c r="CR1"/>
  <c r="CS1"/>
  <c r="CT1"/>
  <c r="CU1"/>
  <c r="CV1"/>
  <c r="CW1"/>
  <c r="CX1"/>
  <c r="CY1"/>
  <c r="CZ1"/>
  <c r="DA1"/>
  <c r="DB1"/>
  <c r="DC1"/>
  <c r="DD1"/>
  <c r="DE1"/>
  <c r="DF1"/>
  <c r="DG1"/>
  <c r="DH1"/>
  <c r="DI1"/>
  <c r="DJ1"/>
  <c r="DK1"/>
  <c r="DL1"/>
  <c r="DM1"/>
  <c r="DN1"/>
  <c r="DO1"/>
  <c r="DP1"/>
  <c r="DQ1"/>
  <c r="DR1"/>
  <c r="DS1"/>
  <c r="DT1"/>
  <c r="DU1"/>
  <c r="DV1"/>
  <c r="DW1"/>
  <c r="DX1"/>
  <c r="DY1"/>
  <c r="DZ1"/>
  <c r="EA1"/>
  <c r="EB1"/>
  <c r="EC1"/>
  <c r="ED1"/>
  <c r="EE1"/>
  <c r="EF1"/>
  <c r="EG1"/>
  <c r="EH1"/>
  <c r="EI1"/>
  <c r="EJ1"/>
  <c r="EK1"/>
  <c r="EL1"/>
  <c r="EM1"/>
  <c r="EN1"/>
  <c r="EO1"/>
  <c r="EP1"/>
  <c r="EQ1"/>
  <c r="ER1"/>
  <c r="ES1"/>
  <c r="ET1"/>
  <c r="EU1"/>
  <c r="EV1"/>
  <c r="EW1"/>
  <c r="EX1"/>
  <c r="EY1"/>
  <c r="EZ1"/>
  <c r="FA1"/>
  <c r="FB1"/>
  <c r="FC1"/>
  <c r="FD1"/>
  <c r="FE1"/>
  <c r="FF1"/>
  <c r="FG1"/>
  <c r="FH1"/>
  <c r="FI1"/>
  <c r="FJ1"/>
  <c r="FK1"/>
  <c r="FL1"/>
  <c r="FM1"/>
  <c r="FN1"/>
  <c r="FO1"/>
  <c r="FP1"/>
  <c r="FQ1"/>
  <c r="FR1"/>
  <c r="FS1"/>
  <c r="FT1"/>
  <c r="FU1"/>
  <c r="FV1"/>
  <c r="FW1"/>
  <c r="FX1"/>
  <c r="FY1"/>
  <c r="FZ1"/>
  <c r="GA1"/>
  <c r="GB1"/>
  <c r="GC1"/>
  <c r="GD1"/>
  <c r="GE1"/>
  <c r="GF1"/>
  <c r="GG1"/>
  <c r="GH1"/>
  <c r="GI1"/>
  <c r="GJ1"/>
  <c r="GK1"/>
  <c r="GL1"/>
  <c r="GM1"/>
  <c r="GN1"/>
  <c r="GO1"/>
  <c r="GP1"/>
  <c r="GQ1"/>
  <c r="GR1"/>
  <c r="GS1"/>
  <c r="GT1"/>
  <c r="GU1"/>
  <c r="GV1"/>
  <c r="GW1"/>
  <c r="GX1"/>
  <c r="GY1"/>
  <c r="GZ1"/>
  <c r="HA1"/>
  <c r="HB1"/>
  <c r="HC1"/>
  <c r="HD1"/>
  <c r="HE1"/>
  <c r="HF1"/>
  <c r="HG1"/>
  <c r="HH1"/>
  <c r="HI1"/>
  <c r="HJ1"/>
  <c r="HK1"/>
  <c r="HL1"/>
  <c r="HM1"/>
  <c r="HN1"/>
  <c r="HO1"/>
  <c r="HP1"/>
  <c r="HQ1"/>
  <c r="HR1"/>
  <c r="HS1"/>
  <c r="HT1"/>
  <c r="HU1"/>
  <c r="HV1"/>
  <c r="HW1"/>
  <c r="HX1"/>
  <c r="HY1"/>
  <c r="HZ1"/>
  <c r="IA1"/>
  <c r="IB1"/>
  <c r="IC1"/>
  <c r="ID1"/>
  <c r="IE1"/>
  <c r="IF1"/>
  <c r="IG1"/>
  <c r="IH1"/>
  <c r="II1"/>
  <c r="IJ1"/>
  <c r="IK1"/>
  <c r="IL1"/>
  <c r="IM1"/>
  <c r="IN1"/>
  <c r="IO1"/>
  <c r="IP1"/>
  <c r="IQ1"/>
  <c r="IR1"/>
  <c r="IS1"/>
  <c r="IT1"/>
  <c r="IU1"/>
  <c r="IV1"/>
  <c r="V139" i="1"/>
  <c r="T139"/>
  <c r="G68" i="4"/>
  <c r="G102"/>
  <c r="G98" s="1"/>
  <c r="T138" i="1"/>
  <c r="T137"/>
  <c r="V141"/>
  <c r="V140"/>
  <c r="T135"/>
  <c r="T134"/>
  <c r="T133"/>
  <c r="T130"/>
  <c r="T129"/>
  <c r="AG12"/>
  <c r="G63" i="4"/>
  <c r="G69"/>
  <c r="G61" i="9"/>
  <c r="P35" i="1"/>
  <c r="L41"/>
  <c r="P37" s="1"/>
  <c r="Q81"/>
  <c r="Q79"/>
  <c r="AE24"/>
  <c r="AE13"/>
  <c r="R141"/>
  <c r="V138"/>
  <c r="V137"/>
  <c r="V134"/>
  <c r="AG72"/>
  <c r="AG73"/>
  <c r="AG60"/>
  <c r="AG61"/>
  <c r="AG62"/>
  <c r="AG40"/>
  <c r="AG39"/>
  <c r="AG38"/>
  <c r="AG29"/>
  <c r="AG28"/>
  <c r="AG27"/>
  <c r="M133" s="1"/>
  <c r="AG18"/>
  <c r="AG17"/>
  <c r="AG16"/>
  <c r="AH16" s="1"/>
  <c r="N131" s="1"/>
  <c r="AC30"/>
  <c r="AC19"/>
  <c r="Z19"/>
  <c r="AB15" s="1"/>
  <c r="AB13"/>
  <c r="U19"/>
  <c r="Y15" s="1"/>
  <c r="P19"/>
  <c r="T15" s="1"/>
  <c r="K19"/>
  <c r="F19"/>
  <c r="J15" s="1"/>
  <c r="B19"/>
  <c r="E15" s="1"/>
  <c r="Y13"/>
  <c r="T13"/>
  <c r="O13"/>
  <c r="J13"/>
  <c r="E13"/>
  <c r="AB24"/>
  <c r="W24"/>
  <c r="Q24"/>
  <c r="L24"/>
  <c r="G24"/>
  <c r="AE35"/>
  <c r="AA41"/>
  <c r="AE37" s="1"/>
  <c r="G41"/>
  <c r="K37" s="1"/>
  <c r="X30"/>
  <c r="AB26" s="1"/>
  <c r="R30"/>
  <c r="W26" s="1"/>
  <c r="M30"/>
  <c r="H30"/>
  <c r="L26" s="1"/>
  <c r="B30"/>
  <c r="G26" s="1"/>
  <c r="AH27"/>
  <c r="M131" s="1"/>
  <c r="AG23"/>
  <c r="C5"/>
  <c r="I1" i="4" s="1"/>
  <c r="AD79" i="1"/>
  <c r="AD80" s="1"/>
  <c r="AE57"/>
  <c r="AE58" s="1"/>
  <c r="I63" i="10"/>
  <c r="I62"/>
  <c r="I61"/>
  <c r="AB30" i="8"/>
  <c r="AA30"/>
  <c r="Z30"/>
  <c r="Y30"/>
  <c r="X30"/>
  <c r="W30"/>
  <c r="AC29"/>
  <c r="AC28"/>
  <c r="AC27"/>
  <c r="AC26"/>
  <c r="D147" i="10"/>
  <c r="B147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F139" i="9"/>
  <c r="B139"/>
  <c r="B138"/>
  <c r="F20"/>
  <c r="F21"/>
  <c r="F22"/>
  <c r="F23"/>
  <c r="F24"/>
  <c r="F25"/>
  <c r="F26"/>
  <c r="F27"/>
  <c r="F28"/>
  <c r="F29"/>
  <c r="F30"/>
  <c r="F39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9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4"/>
  <c r="F107"/>
  <c r="F108"/>
  <c r="F111"/>
  <c r="F114"/>
  <c r="F117"/>
  <c r="F120"/>
  <c r="F123"/>
  <c r="F126"/>
  <c r="F129"/>
  <c r="F130"/>
  <c r="F131"/>
  <c r="F132"/>
  <c r="F133"/>
  <c r="F134"/>
  <c r="F135"/>
  <c r="F136"/>
  <c r="F19"/>
  <c r="F18"/>
  <c r="D13"/>
  <c r="C13"/>
  <c r="B13"/>
  <c r="D12"/>
  <c r="G11"/>
  <c r="G2"/>
  <c r="G9"/>
  <c r="G8"/>
  <c r="G5"/>
  <c r="G4"/>
  <c r="K16" i="8"/>
  <c r="H16"/>
  <c r="G16"/>
  <c r="G127" i="4"/>
  <c r="G126"/>
  <c r="F128" i="9"/>
  <c r="F127"/>
  <c r="F125"/>
  <c r="F124"/>
  <c r="F122"/>
  <c r="F121"/>
  <c r="F119"/>
  <c r="F118"/>
  <c r="F116"/>
  <c r="F115"/>
  <c r="H114" i="4"/>
  <c r="H113"/>
  <c r="F114"/>
  <c r="F113" i="9" s="1"/>
  <c r="F113" i="4"/>
  <c r="F112" i="9" s="1"/>
  <c r="F110"/>
  <c r="F109"/>
  <c r="F106"/>
  <c r="F105"/>
  <c r="F103"/>
  <c r="F102"/>
  <c r="F71"/>
  <c r="F70"/>
  <c r="F68"/>
  <c r="F67"/>
  <c r="H36" i="4"/>
  <c r="H35"/>
  <c r="H34"/>
  <c r="H33"/>
  <c r="H32"/>
  <c r="H31"/>
  <c r="H30"/>
  <c r="H29"/>
  <c r="F36"/>
  <c r="F47" i="9" s="1"/>
  <c r="F35" i="4"/>
  <c r="F46" i="9" s="1"/>
  <c r="F34" i="4"/>
  <c r="F45" i="9" s="1"/>
  <c r="F33" i="4"/>
  <c r="F44" i="9" s="1"/>
  <c r="F32" i="4"/>
  <c r="F43" i="9" s="1"/>
  <c r="F31" i="4"/>
  <c r="F42" i="9" s="1"/>
  <c r="F30" i="4"/>
  <c r="F41" i="9" s="1"/>
  <c r="F29" i="4"/>
  <c r="F40" i="9" s="1"/>
  <c r="H27" i="4"/>
  <c r="H26"/>
  <c r="H25"/>
  <c r="H24"/>
  <c r="H23"/>
  <c r="H22"/>
  <c r="H21"/>
  <c r="H20"/>
  <c r="F27"/>
  <c r="F38" i="9" s="1"/>
  <c r="F26" i="4"/>
  <c r="F37" i="9" s="1"/>
  <c r="F25" i="4"/>
  <c r="F36" i="9" s="1"/>
  <c r="F24" i="4"/>
  <c r="F35" i="9" s="1"/>
  <c r="F23" i="4"/>
  <c r="F34" i="9" s="1"/>
  <c r="F22" i="4"/>
  <c r="F33" i="9" s="1"/>
  <c r="F21" i="4"/>
  <c r="F32" i="9" s="1"/>
  <c r="F20" i="4"/>
  <c r="F31" i="9" s="1"/>
  <c r="G134"/>
  <c r="G133"/>
  <c r="G118" i="4"/>
  <c r="G132" i="9" s="1"/>
  <c r="G117" i="4"/>
  <c r="G131" i="9" s="1"/>
  <c r="G115" i="4"/>
  <c r="G129" i="9" s="1"/>
  <c r="G126"/>
  <c r="G123"/>
  <c r="G120"/>
  <c r="G117"/>
  <c r="G114"/>
  <c r="G112" i="4"/>
  <c r="G111" i="9" s="1"/>
  <c r="G108"/>
  <c r="G104"/>
  <c r="G101"/>
  <c r="G99"/>
  <c r="G98"/>
  <c r="G97"/>
  <c r="G94"/>
  <c r="G62" i="4"/>
  <c r="G93" i="9" s="1"/>
  <c r="G73" i="4"/>
  <c r="G92" i="9" s="1"/>
  <c r="G75" i="4"/>
  <c r="G91" i="9" s="1"/>
  <c r="G90"/>
  <c r="G97" i="4"/>
  <c r="G87" i="9" s="1"/>
  <c r="G100" i="4"/>
  <c r="G86" i="9" s="1"/>
  <c r="G77" i="4"/>
  <c r="G85" i="9" s="1"/>
  <c r="G76" i="4"/>
  <c r="G84" i="9" s="1"/>
  <c r="G78" i="4"/>
  <c r="G83" i="9" s="1"/>
  <c r="G72" i="4"/>
  <c r="G82" i="9" s="1"/>
  <c r="G81"/>
  <c r="G80"/>
  <c r="G79"/>
  <c r="G99" i="4"/>
  <c r="G78" i="9" s="1"/>
  <c r="G55" i="4"/>
  <c r="G77" i="9" s="1"/>
  <c r="G71" i="4"/>
  <c r="G76" i="9" s="1"/>
  <c r="G70" i="4"/>
  <c r="G75" i="9" s="1"/>
  <c r="G74"/>
  <c r="G66"/>
  <c r="G51" i="4"/>
  <c r="G64" i="9" s="1"/>
  <c r="G50" i="4"/>
  <c r="G63" i="9" s="1"/>
  <c r="G62"/>
  <c r="G60"/>
  <c r="G60" i="4"/>
  <c r="G58" i="9" s="1"/>
  <c r="G57"/>
  <c r="G49" i="4"/>
  <c r="G56" i="9" s="1"/>
  <c r="G52" i="4"/>
  <c r="G55" i="9" s="1"/>
  <c r="G54"/>
  <c r="G45" i="4"/>
  <c r="G53" i="9" s="1"/>
  <c r="G47" i="4"/>
  <c r="G52" i="9" s="1"/>
  <c r="G42" i="4"/>
  <c r="G51" i="9" s="1"/>
  <c r="G39" i="4"/>
  <c r="G50" i="9" s="1"/>
  <c r="G28" i="4"/>
  <c r="G19"/>
  <c r="G30" i="9" s="1"/>
  <c r="G28"/>
  <c r="G14" i="4"/>
  <c r="G27" i="9" s="1"/>
  <c r="G17" i="4"/>
  <c r="G26" i="9" s="1"/>
  <c r="G13" i="4"/>
  <c r="G12"/>
  <c r="G23" i="9" s="1"/>
  <c r="G11" i="4"/>
  <c r="G22" i="9" s="1"/>
  <c r="G9" i="4"/>
  <c r="G10"/>
  <c r="G20" i="9" s="1"/>
  <c r="R143" i="1"/>
  <c r="R142"/>
  <c r="S140"/>
  <c r="R140"/>
  <c r="F127" i="4"/>
  <c r="T142" i="1"/>
  <c r="T131"/>
  <c r="V130"/>
  <c r="V129"/>
  <c r="V41"/>
  <c r="Z37" s="1"/>
  <c r="Q41"/>
  <c r="U37" s="1"/>
  <c r="B41"/>
  <c r="F37" s="1"/>
  <c r="Z35"/>
  <c r="U35"/>
  <c r="K35"/>
  <c r="F35"/>
  <c r="U52"/>
  <c r="Z48" s="1"/>
  <c r="R52"/>
  <c r="T48" s="1"/>
  <c r="N52"/>
  <c r="Q48" s="1"/>
  <c r="J52"/>
  <c r="M48" s="1"/>
  <c r="E52"/>
  <c r="I48" s="1"/>
  <c r="B52"/>
  <c r="D48" s="1"/>
  <c r="AE48"/>
  <c r="AE46"/>
  <c r="Z46"/>
  <c r="T46"/>
  <c r="Q46"/>
  <c r="M46"/>
  <c r="I46"/>
  <c r="D46"/>
  <c r="AB57"/>
  <c r="X57"/>
  <c r="T57"/>
  <c r="O57"/>
  <c r="K57"/>
  <c r="F57"/>
  <c r="C57"/>
  <c r="Y63"/>
  <c r="AB59" s="1"/>
  <c r="U63"/>
  <c r="X59" s="1"/>
  <c r="P63"/>
  <c r="T59" s="1"/>
  <c r="L63"/>
  <c r="O59" s="1"/>
  <c r="G63"/>
  <c r="K59" s="1"/>
  <c r="D63"/>
  <c r="F59" s="1"/>
  <c r="B63"/>
  <c r="C59" s="1"/>
  <c r="AB74"/>
  <c r="X74"/>
  <c r="AA70" s="1"/>
  <c r="S74"/>
  <c r="W70" s="1"/>
  <c r="O74"/>
  <c r="R70" s="1"/>
  <c r="K74"/>
  <c r="N70" s="1"/>
  <c r="G74"/>
  <c r="J70" s="1"/>
  <c r="E74"/>
  <c r="F70" s="1"/>
  <c r="B74"/>
  <c r="D70" s="1"/>
  <c r="AE70"/>
  <c r="AE68"/>
  <c r="V135" s="1"/>
  <c r="AA68"/>
  <c r="W68"/>
  <c r="R68"/>
  <c r="N68"/>
  <c r="J68"/>
  <c r="F68"/>
  <c r="D68"/>
  <c r="F79"/>
  <c r="C79"/>
  <c r="AA79"/>
  <c r="V79"/>
  <c r="T79"/>
  <c r="N79"/>
  <c r="K79"/>
  <c r="H79"/>
  <c r="W85"/>
  <c r="AA81" s="1"/>
  <c r="U85"/>
  <c r="V81" s="1"/>
  <c r="R85"/>
  <c r="T81" s="1"/>
  <c r="L85"/>
  <c r="N81" s="1"/>
  <c r="I85"/>
  <c r="K81" s="1"/>
  <c r="G85"/>
  <c r="H81" s="1"/>
  <c r="D85"/>
  <c r="F81" s="1"/>
  <c r="B85"/>
  <c r="C81" s="1"/>
  <c r="AB96"/>
  <c r="W96"/>
  <c r="T96"/>
  <c r="P96"/>
  <c r="S92" s="1"/>
  <c r="L96"/>
  <c r="O92" s="1"/>
  <c r="H96"/>
  <c r="K92" s="1"/>
  <c r="D96"/>
  <c r="G92" s="1"/>
  <c r="B96"/>
  <c r="C92" s="1"/>
  <c r="AE92"/>
  <c r="AA92"/>
  <c r="V92"/>
  <c r="AE90"/>
  <c r="AA90"/>
  <c r="V90"/>
  <c r="S90"/>
  <c r="O90"/>
  <c r="K90"/>
  <c r="G90"/>
  <c r="C90"/>
  <c r="AD101"/>
  <c r="Y101"/>
  <c r="U101"/>
  <c r="Q101"/>
  <c r="M101"/>
  <c r="H101"/>
  <c r="F101"/>
  <c r="C101"/>
  <c r="Z107"/>
  <c r="AD103" s="1"/>
  <c r="V107"/>
  <c r="Y103" s="1"/>
  <c r="R107"/>
  <c r="U103" s="1"/>
  <c r="N107"/>
  <c r="Q103" s="1"/>
  <c r="I107"/>
  <c r="M103" s="1"/>
  <c r="G107"/>
  <c r="H103" s="1"/>
  <c r="D107"/>
  <c r="F103" s="1"/>
  <c r="B107"/>
  <c r="Z118"/>
  <c r="AE114" s="1"/>
  <c r="V118"/>
  <c r="Y114" s="1"/>
  <c r="R118"/>
  <c r="U114" s="1"/>
  <c r="M118"/>
  <c r="Q114" s="1"/>
  <c r="I118"/>
  <c r="L114" s="1"/>
  <c r="E118"/>
  <c r="H114" s="1"/>
  <c r="B118"/>
  <c r="D114" s="1"/>
  <c r="AE112"/>
  <c r="Y112"/>
  <c r="U112"/>
  <c r="Q112"/>
  <c r="L112"/>
  <c r="H112"/>
  <c r="D112"/>
  <c r="AF79"/>
  <c r="AF80" s="1"/>
  <c r="AF101"/>
  <c r="AF102" s="1"/>
  <c r="AE101"/>
  <c r="AE102" s="1"/>
  <c r="S152"/>
  <c r="F138" i="9" s="1"/>
  <c r="D3" i="4"/>
  <c r="C3"/>
  <c r="B3"/>
  <c r="D2"/>
  <c r="G1"/>
  <c r="O2" i="5"/>
  <c r="AG111" i="1"/>
  <c r="AG115"/>
  <c r="AH115" s="1"/>
  <c r="E131" s="1"/>
  <c r="AG116"/>
  <c r="AG117"/>
  <c r="AG78"/>
  <c r="AG56"/>
  <c r="AH38"/>
  <c r="L131" s="1"/>
  <c r="AH121"/>
  <c r="I15" i="8"/>
  <c r="J15"/>
  <c r="V13"/>
  <c r="AH122" i="1"/>
  <c r="AE79"/>
  <c r="AE80" s="1"/>
  <c r="AF90"/>
  <c r="AF91" s="1"/>
  <c r="AF112"/>
  <c r="AF113" s="1"/>
  <c r="AG51"/>
  <c r="AG104"/>
  <c r="F133" s="1"/>
  <c r="AG49"/>
  <c r="AH49" s="1"/>
  <c r="K131" s="1"/>
  <c r="AG71"/>
  <c r="I133" s="1"/>
  <c r="AG82"/>
  <c r="AH82" s="1"/>
  <c r="H131" s="1"/>
  <c r="AG93"/>
  <c r="AH93" s="1"/>
  <c r="G131" s="1"/>
  <c r="AH60"/>
  <c r="J131" s="1"/>
  <c r="AG50"/>
  <c r="AG83"/>
  <c r="AG84"/>
  <c r="AG106"/>
  <c r="AG105"/>
  <c r="AG100"/>
  <c r="AG95"/>
  <c r="AG94"/>
  <c r="AG89"/>
  <c r="AG67"/>
  <c r="AG45"/>
  <c r="AG34"/>
  <c r="C136"/>
  <c r="C137"/>
  <c r="C138"/>
  <c r="C139"/>
  <c r="C140"/>
  <c r="T146" l="1"/>
  <c r="V142"/>
  <c r="G58" i="4"/>
  <c r="T132" i="1"/>
  <c r="G38" i="4"/>
  <c r="G8"/>
  <c r="P36" i="1"/>
  <c r="AH85"/>
  <c r="Q80"/>
  <c r="AG37"/>
  <c r="L130" s="1"/>
  <c r="AG59"/>
  <c r="J130" s="1"/>
  <c r="V133"/>
  <c r="AG35"/>
  <c r="AG24"/>
  <c r="N133"/>
  <c r="AE14"/>
  <c r="AH13"/>
  <c r="N128" s="1"/>
  <c r="AG13"/>
  <c r="AG30"/>
  <c r="AG52"/>
  <c r="AG74"/>
  <c r="AE25"/>
  <c r="AG19"/>
  <c r="AG41"/>
  <c r="AG63"/>
  <c r="AC30" i="8"/>
  <c r="AB14" i="1"/>
  <c r="T14"/>
  <c r="Y14"/>
  <c r="E14"/>
  <c r="AH19"/>
  <c r="J14"/>
  <c r="O15"/>
  <c r="AG15" s="1"/>
  <c r="N130" s="1"/>
  <c r="N132" s="1"/>
  <c r="AH24"/>
  <c r="M128" s="1"/>
  <c r="AE36"/>
  <c r="V91"/>
  <c r="AE91"/>
  <c r="S91"/>
  <c r="L25"/>
  <c r="AB25"/>
  <c r="W25"/>
  <c r="G25"/>
  <c r="Q26"/>
  <c r="Q25" s="1"/>
  <c r="AH30"/>
  <c r="G133"/>
  <c r="K133"/>
  <c r="X142"/>
  <c r="AE113"/>
  <c r="E133"/>
  <c r="O58"/>
  <c r="F102"/>
  <c r="V80"/>
  <c r="T80"/>
  <c r="R69"/>
  <c r="AB58"/>
  <c r="T47"/>
  <c r="G18" i="4"/>
  <c r="G29" i="9" s="1"/>
  <c r="AG79" i="1"/>
  <c r="Q102"/>
  <c r="M102"/>
  <c r="O91"/>
  <c r="AG92"/>
  <c r="AH96"/>
  <c r="F36"/>
  <c r="G39" i="9"/>
  <c r="Y113" i="1"/>
  <c r="K91"/>
  <c r="N80"/>
  <c r="AE69"/>
  <c r="F69"/>
  <c r="U36"/>
  <c r="G135" i="9"/>
  <c r="G19"/>
  <c r="G21"/>
  <c r="L113" i="1"/>
  <c r="G91"/>
  <c r="K80"/>
  <c r="AA80"/>
  <c r="J69"/>
  <c r="AA69"/>
  <c r="AH74"/>
  <c r="T58"/>
  <c r="I47"/>
  <c r="Z47"/>
  <c r="G65" i="9"/>
  <c r="F58" i="1"/>
  <c r="L133"/>
  <c r="AG112"/>
  <c r="H113"/>
  <c r="AG107"/>
  <c r="AG101"/>
  <c r="D69"/>
  <c r="AG46"/>
  <c r="G69" i="9"/>
  <c r="AG96" i="1"/>
  <c r="AH35"/>
  <c r="L128" s="1"/>
  <c r="AG68"/>
  <c r="H102"/>
  <c r="AH90"/>
  <c r="G128" s="1"/>
  <c r="F80"/>
  <c r="V131"/>
  <c r="W69"/>
  <c r="X58"/>
  <c r="M47"/>
  <c r="AE47"/>
  <c r="Z36"/>
  <c r="U113"/>
  <c r="AG85"/>
  <c r="Q113"/>
  <c r="AH118"/>
  <c r="AD102"/>
  <c r="U102"/>
  <c r="AA91"/>
  <c r="AG70"/>
  <c r="AG57"/>
  <c r="Q47"/>
  <c r="T148"/>
  <c r="G95" i="9"/>
  <c r="AG48" i="1"/>
  <c r="T136"/>
  <c r="X136" s="1"/>
  <c r="T147"/>
  <c r="AH52"/>
  <c r="AG81"/>
  <c r="C80"/>
  <c r="J132"/>
  <c r="J124" s="1"/>
  <c r="C58"/>
  <c r="K36"/>
  <c r="L132"/>
  <c r="L124" s="1"/>
  <c r="H80"/>
  <c r="K58"/>
  <c r="AG114"/>
  <c r="E130" s="1"/>
  <c r="Y102"/>
  <c r="N69"/>
  <c r="AG118"/>
  <c r="X132"/>
  <c r="T128"/>
  <c r="AH63"/>
  <c r="V144"/>
  <c r="X144" s="1"/>
  <c r="G25" i="9"/>
  <c r="G89"/>
  <c r="G96"/>
  <c r="AH68" i="1"/>
  <c r="I128" s="1"/>
  <c r="AH112"/>
  <c r="E128" s="1"/>
  <c r="AH41"/>
  <c r="H133"/>
  <c r="AH46"/>
  <c r="K128" s="1"/>
  <c r="C103"/>
  <c r="AG103" s="1"/>
  <c r="D47"/>
  <c r="J133"/>
  <c r="AH71"/>
  <c r="I131" s="1"/>
  <c r="AH104"/>
  <c r="F131" s="1"/>
  <c r="C131" s="1"/>
  <c r="C91"/>
  <c r="D113"/>
  <c r="AH107"/>
  <c r="AG90"/>
  <c r="AH57"/>
  <c r="J128" s="1"/>
  <c r="AH101"/>
  <c r="F128" s="1"/>
  <c r="AH79"/>
  <c r="H128" s="1"/>
  <c r="C128" l="1"/>
  <c r="C133"/>
  <c r="G15" i="4"/>
  <c r="K130" i="1"/>
  <c r="K132" s="1"/>
  <c r="K124" s="1"/>
  <c r="G130"/>
  <c r="G132" s="1"/>
  <c r="G124" s="1"/>
  <c r="F130"/>
  <c r="F132" s="1"/>
  <c r="F124" s="1"/>
  <c r="H130"/>
  <c r="H132" s="1"/>
  <c r="H124" s="1"/>
  <c r="I130"/>
  <c r="I132" s="1"/>
  <c r="I124" s="1"/>
  <c r="AG25"/>
  <c r="AG36"/>
  <c r="AG26"/>
  <c r="M130" s="1"/>
  <c r="M132" s="1"/>
  <c r="O14"/>
  <c r="AH14" s="1"/>
  <c r="N129" s="1"/>
  <c r="V128"/>
  <c r="AH25"/>
  <c r="M129" s="1"/>
  <c r="AH69"/>
  <c r="I129" s="1"/>
  <c r="T149"/>
  <c r="X149" s="1"/>
  <c r="V132"/>
  <c r="AH36"/>
  <c r="L129" s="1"/>
  <c r="AG69"/>
  <c r="V136"/>
  <c r="C102"/>
  <c r="AH102" s="1"/>
  <c r="F129" s="1"/>
  <c r="AG91"/>
  <c r="AH91"/>
  <c r="G129" s="1"/>
  <c r="AG47"/>
  <c r="AH47"/>
  <c r="K129" s="1"/>
  <c r="X128"/>
  <c r="T143"/>
  <c r="X143" s="1"/>
  <c r="G107" i="9"/>
  <c r="AH113" i="1"/>
  <c r="E129" s="1"/>
  <c r="AG113"/>
  <c r="E132"/>
  <c r="C132" s="1"/>
  <c r="G130" i="9"/>
  <c r="AG58" i="1"/>
  <c r="AH58"/>
  <c r="J129" s="1"/>
  <c r="AH80"/>
  <c r="H129" s="1"/>
  <c r="AG80"/>
  <c r="C129" l="1"/>
  <c r="V143"/>
  <c r="C130"/>
  <c r="AG14"/>
  <c r="V145"/>
  <c r="X145" s="1"/>
  <c r="AG102"/>
  <c r="E124"/>
  <c r="G100" i="9"/>
  <c r="A127" i="1"/>
  <c r="G73" i="9" l="1"/>
  <c r="G88"/>
  <c r="G67" i="4" l="1"/>
  <c r="G24" i="9"/>
  <c r="G7" i="4"/>
  <c r="G18" i="9" s="1"/>
  <c r="G72" l="1"/>
  <c r="G59"/>
  <c r="G49"/>
  <c r="G37" i="4" l="1"/>
  <c r="G124" s="1"/>
  <c r="G48" i="9" l="1"/>
  <c r="G136"/>
</calcChain>
</file>

<file path=xl/sharedStrings.xml><?xml version="1.0" encoding="utf-8"?>
<sst xmlns="http://schemas.openxmlformats.org/spreadsheetml/2006/main" count="1426" uniqueCount="707">
  <si>
    <t>Дата</t>
  </si>
  <si>
    <t>ФИО разработчика</t>
  </si>
  <si>
    <t>Сумм</t>
  </si>
  <si>
    <t>Ауд.ч.</t>
  </si>
  <si>
    <t>Сам.ч.</t>
  </si>
  <si>
    <t>Общ.</t>
  </si>
  <si>
    <t>ГСЭ</t>
  </si>
  <si>
    <t>Семестры</t>
  </si>
  <si>
    <t>ЕН</t>
  </si>
  <si>
    <t>Сум</t>
  </si>
  <si>
    <t>Общ.ч.</t>
  </si>
  <si>
    <t>Час/нед</t>
  </si>
  <si>
    <t>Курс/пр</t>
  </si>
  <si>
    <t>Курс/р</t>
  </si>
  <si>
    <t>Экз</t>
  </si>
  <si>
    <t>Зач</t>
  </si>
  <si>
    <t>Учебный план</t>
  </si>
  <si>
    <t>Иностранный язык</t>
  </si>
  <si>
    <t>Физическая культура</t>
  </si>
  <si>
    <t>Правоведение</t>
  </si>
  <si>
    <t>Социология</t>
  </si>
  <si>
    <t>Философия</t>
  </si>
  <si>
    <t>Экономическая теория</t>
  </si>
  <si>
    <t>Химия</t>
  </si>
  <si>
    <t>Экология</t>
  </si>
  <si>
    <t>Безопасность жизнедеятельности</t>
  </si>
  <si>
    <t>Согласовано:</t>
  </si>
  <si>
    <t>УОО</t>
  </si>
  <si>
    <t>_____________ Н. В. Лысенко</t>
  </si>
  <si>
    <t>УТВЕРЖДАЮ</t>
  </si>
  <si>
    <t>Лекции-час/нед</t>
  </si>
  <si>
    <t>МО</t>
  </si>
  <si>
    <t>ЗЕТ</t>
  </si>
  <si>
    <t>нед</t>
  </si>
  <si>
    <t>8сем</t>
  </si>
  <si>
    <t>3сем</t>
  </si>
  <si>
    <t>2сем</t>
  </si>
  <si>
    <t>1сем</t>
  </si>
  <si>
    <t>ФВ       
Зач</t>
  </si>
  <si>
    <t>Макс.ауд.нагр. ч/нед</t>
  </si>
  <si>
    <t>1ЗЕТ=</t>
  </si>
  <si>
    <t>ИГА</t>
  </si>
  <si>
    <t>Лекц ч/н</t>
  </si>
  <si>
    <t>Л/р ч/н</t>
  </si>
  <si>
    <t>П/з ч/н</t>
  </si>
  <si>
    <t>4сем</t>
  </si>
  <si>
    <t>5сем</t>
  </si>
  <si>
    <t>6сем</t>
  </si>
  <si>
    <t>7сем</t>
  </si>
  <si>
    <t>ЗАЧЕТНЫЕ ЕДИНИЦЫ</t>
  </si>
  <si>
    <t>ФГОС</t>
  </si>
  <si>
    <t>ФИО преподавателя</t>
  </si>
  <si>
    <t>УП</t>
  </si>
  <si>
    <t>БЧ</t>
  </si>
  <si>
    <t>ВЧ</t>
  </si>
  <si>
    <t xml:space="preserve"> в т.ч.ДВС</t>
  </si>
  <si>
    <t>Ч/нед.</t>
  </si>
  <si>
    <t>Служебное поле</t>
  </si>
  <si>
    <t>История</t>
  </si>
  <si>
    <t>Трудо-емкость, ЗЕТ</t>
  </si>
  <si>
    <t>Гуманитарный, социальный и экономический цикл</t>
  </si>
  <si>
    <t>Базовая часть</t>
  </si>
  <si>
    <t>Б1.1</t>
  </si>
  <si>
    <t>Б.1.2</t>
  </si>
  <si>
    <t>Вариативная часть</t>
  </si>
  <si>
    <t>Организация производства и управление предприятием</t>
  </si>
  <si>
    <t>Дисциплины по выбору студентов</t>
  </si>
  <si>
    <t>Б.2</t>
  </si>
  <si>
    <t>Математический и естественнонаучный цикл</t>
  </si>
  <si>
    <t>Б.2.1</t>
  </si>
  <si>
    <t>Б.2.2</t>
  </si>
  <si>
    <t>Б.3</t>
  </si>
  <si>
    <t>Профессиональный цикл</t>
  </si>
  <si>
    <t>Б.3.1</t>
  </si>
  <si>
    <t>Вариативная (профильная) часть</t>
  </si>
  <si>
    <t>Б.4</t>
  </si>
  <si>
    <t>Б.5</t>
  </si>
  <si>
    <t>Учебная и производственная практики</t>
  </si>
  <si>
    <t>Итоговая государственная аттестация, включая подготовку ВКР</t>
  </si>
  <si>
    <t>Общая трудоемкость основной образовательной программы</t>
  </si>
  <si>
    <t>Учебная практика</t>
  </si>
  <si>
    <t>Производственная практика</t>
  </si>
  <si>
    <t>Лекц.ч.</t>
  </si>
  <si>
    <t>Алгебра и геометрия</t>
  </si>
  <si>
    <t>Математический анализ</t>
  </si>
  <si>
    <t>Механика и термодинамика</t>
  </si>
  <si>
    <t>Электричество и магнетизм</t>
  </si>
  <si>
    <t>ФВ</t>
  </si>
  <si>
    <t>ДЗ</t>
  </si>
  <si>
    <t>Часы</t>
  </si>
  <si>
    <t>min</t>
  </si>
  <si>
    <t>max</t>
  </si>
  <si>
    <t>ПР</t>
  </si>
  <si>
    <t>Практика</t>
  </si>
  <si>
    <t>Общая сумма</t>
  </si>
  <si>
    <t>∑ФВ (час)</t>
  </si>
  <si>
    <t>% лекц.ч. &lt;=</t>
  </si>
  <si>
    <t>БЧ всего</t>
  </si>
  <si>
    <t>ВЧ всего</t>
  </si>
  <si>
    <t>в т.ч.ДВС</t>
  </si>
  <si>
    <t>% ДВС &gt;=</t>
  </si>
  <si>
    <t>ТОЭ</t>
  </si>
  <si>
    <t>ИИСТ</t>
  </si>
  <si>
    <t>Организационное поведение</t>
  </si>
  <si>
    <t>СП</t>
  </si>
  <si>
    <t>ФЛ</t>
  </si>
  <si>
    <t>Русский язык и культура речи</t>
  </si>
  <si>
    <t>РЯ</t>
  </si>
  <si>
    <t>Профессиональная этика</t>
  </si>
  <si>
    <t>Психология делового общения</t>
  </si>
  <si>
    <t xml:space="preserve">Межличностное общение </t>
  </si>
  <si>
    <t>ИКГП</t>
  </si>
  <si>
    <t>Преддипломная практика</t>
  </si>
  <si>
    <t>Физики</t>
  </si>
  <si>
    <t>ИЗОС</t>
  </si>
  <si>
    <t>ФХ</t>
  </si>
  <si>
    <t>БЖД</t>
  </si>
  <si>
    <t>ИНЯЗ</t>
  </si>
  <si>
    <t>ЭТ</t>
  </si>
  <si>
    <t>ПЭ</t>
  </si>
  <si>
    <t>Мировая культура: история и современность</t>
  </si>
  <si>
    <t>Психология личности. Теория и практика самопознания</t>
  </si>
  <si>
    <t>Расчеты и проверка по учебному плану №</t>
  </si>
  <si>
    <t>Рук.профиля</t>
  </si>
  <si>
    <t>Рук.направления</t>
  </si>
  <si>
    <t>Зам.декана по МР</t>
  </si>
  <si>
    <t xml:space="preserve">ТАБЛИЦА СООТВЕТСТВИЯ учебного плана №  </t>
  </si>
  <si>
    <t>Начальник МО</t>
  </si>
  <si>
    <t>МИНОБРНАУКИ РОССИИ</t>
  </si>
  <si>
    <t>САНКТ-ПЕТЕРБУРГСКИЙ ГОСУДАРСТВЕННЫЙ ЭЛЕКТРОТЕХНИЧЕСКИЙ УНИВЕРСИТЕТ "ЛЭТИ" ИМ. В.И.УЛЬЯНОВА (ЛЕНИНА)</t>
  </si>
  <si>
    <t>Квалификация:</t>
  </si>
  <si>
    <t>бакалавр</t>
  </si>
  <si>
    <t>Нормативный срок обучения</t>
  </si>
  <si>
    <t>по очной форме</t>
  </si>
  <si>
    <t>4 года</t>
  </si>
  <si>
    <t>УЧЕБНЫЙ ПЛАН ПОДГОТОВКИ БАКАЛАВРОВ №</t>
  </si>
  <si>
    <t>(прием 2011 г.)</t>
  </si>
  <si>
    <t>Очная форма обучения</t>
  </si>
  <si>
    <t>График учебного процесса</t>
  </si>
  <si>
    <t>Срок освоения основной образовательной программы (в неделях)</t>
  </si>
  <si>
    <t>месяц</t>
  </si>
  <si>
    <t>сентябрь   *     *     *     *     *     *     *     *     *     *     *     *     *     *     *     *     *     *     *      *      *     *   август</t>
  </si>
  <si>
    <t>Теоретич. обучение</t>
  </si>
  <si>
    <t>Экзамен. сессии</t>
  </si>
  <si>
    <t>Практики</t>
  </si>
  <si>
    <t>Гос. Экзамен</t>
  </si>
  <si>
    <t>Подготовка и защита ВКР</t>
  </si>
  <si>
    <t>Каникулы</t>
  </si>
  <si>
    <t>Всего</t>
  </si>
  <si>
    <t>№ 
недели</t>
  </si>
  <si>
    <t>1 – 17</t>
  </si>
  <si>
    <t>20 - 21</t>
  </si>
  <si>
    <t>22 - 23</t>
  </si>
  <si>
    <t>24 - 29</t>
  </si>
  <si>
    <t>31-34</t>
  </si>
  <si>
    <t>47 - 52</t>
  </si>
  <si>
    <t>1 курс</t>
  </si>
  <si>
    <t>А (18 нед)</t>
  </si>
  <si>
    <t>Э (3н)</t>
  </si>
  <si>
    <t>К (2 н)</t>
  </si>
  <si>
    <t>К (8 н)</t>
  </si>
  <si>
    <t>2 курс</t>
  </si>
  <si>
    <t>Э (2 н)</t>
  </si>
  <si>
    <t>У (2 н)</t>
  </si>
  <si>
    <t>3 курс</t>
  </si>
  <si>
    <t>4 курс</t>
  </si>
  <si>
    <t>А (11 н)</t>
  </si>
  <si>
    <t>ПД (2н)</t>
  </si>
  <si>
    <t>ИГА (8 н)</t>
  </si>
  <si>
    <t>Условные обозначения:</t>
  </si>
  <si>
    <t xml:space="preserve">А – аудиторные занятия </t>
  </si>
  <si>
    <t>У – учебная практика</t>
  </si>
  <si>
    <t xml:space="preserve">ИГА – Итоговая государственная аттестация </t>
  </si>
  <si>
    <t>Э – экзаменационные сессии</t>
  </si>
  <si>
    <t>Пр – производственная практика</t>
  </si>
  <si>
    <t>(включает подготовку и защиту ВКР)</t>
  </si>
  <si>
    <t>К – каникулы</t>
  </si>
  <si>
    <t>ПД – преддипломная практика;</t>
  </si>
  <si>
    <t>ГЭ - государственный экзамен</t>
  </si>
  <si>
    <t>Основы обеспечения качества</t>
  </si>
  <si>
    <t>МСК</t>
  </si>
  <si>
    <t>Управленческие решения</t>
  </si>
  <si>
    <t>Маркетинг</t>
  </si>
  <si>
    <t>ИМ</t>
  </si>
  <si>
    <t>Основы управления коллективом</t>
  </si>
  <si>
    <t>Управление личными финансами</t>
  </si>
  <si>
    <t>Бизнес-планирование</t>
  </si>
  <si>
    <t>Основы бизнеса</t>
  </si>
  <si>
    <t>Рынок ценных бумаг</t>
  </si>
  <si>
    <t xml:space="preserve">Теория и практика аргументации </t>
  </si>
  <si>
    <t>Умова Е.В.</t>
  </si>
  <si>
    <t>Пафомова Л.А.</t>
  </si>
  <si>
    <t>Московчук Л.С.</t>
  </si>
  <si>
    <t>Смирнова Е.А.</t>
  </si>
  <si>
    <t>Луговая О.А.</t>
  </si>
  <si>
    <t>Маркова О.Ю.</t>
  </si>
  <si>
    <t>Дисциплины профиля</t>
  </si>
  <si>
    <t>УЧЕБНЫЙ  ПЛАН №</t>
  </si>
  <si>
    <t>Направление подготовки №</t>
  </si>
  <si>
    <t>каф.</t>
  </si>
  <si>
    <t>Код по ФГОС</t>
  </si>
  <si>
    <t>Наименование циклов, разделов и  дисциплин</t>
  </si>
  <si>
    <t>Каф.</t>
  </si>
  <si>
    <t>Б.1</t>
  </si>
  <si>
    <t xml:space="preserve">ФГОС по направлению  </t>
  </si>
  <si>
    <t xml:space="preserve">Л.А.Марасина </t>
  </si>
  <si>
    <t>Учебная 
практика                       
 (2 нед.)         ДЗ</t>
  </si>
  <si>
    <t>Л.А.Марасина</t>
  </si>
  <si>
    <t>Ю.А.Зубова</t>
  </si>
  <si>
    <t>Б.3.2</t>
  </si>
  <si>
    <t>Б.6</t>
  </si>
  <si>
    <t>Приложение 2 к учебному плану №</t>
  </si>
  <si>
    <t>ГСЭ ДВС №1, 5сем.</t>
  </si>
  <si>
    <t>ГСЭ ДВС №2, 6сем.</t>
  </si>
  <si>
    <t>АПУ</t>
  </si>
  <si>
    <t>Ин.яз.                                                  
ГСЭ,БЧ                                              
ИНЯЗ    ДЗ</t>
  </si>
  <si>
    <t>Ин.яз.                                                  
ГСЭ,БЧ                                              
ИНЯЗ   ДЗ</t>
  </si>
  <si>
    <t xml:space="preserve">Эк.Теор.
ГСЭ,БЧ
ЭТ        ДЗ
</t>
  </si>
  <si>
    <t>В.А. Михалков</t>
  </si>
  <si>
    <t>АСОИУ</t>
  </si>
  <si>
    <t>ВМ2</t>
  </si>
  <si>
    <t>Теория принятия решений</t>
  </si>
  <si>
    <t>Технология разработки программного обеспечения</t>
  </si>
  <si>
    <t>Дискретная математика</t>
  </si>
  <si>
    <t>Физика. Дополнительные главы</t>
  </si>
  <si>
    <t>Специальные разделы математического анализа</t>
  </si>
  <si>
    <t>Алгебра и геометрия. Дополнительные главы</t>
  </si>
  <si>
    <t>Информатика</t>
  </si>
  <si>
    <t>Программирование</t>
  </si>
  <si>
    <t>Программирование. Дополнительные главы</t>
  </si>
  <si>
    <t>САПР</t>
  </si>
  <si>
    <t>Теоретические основы электротехники</t>
  </si>
  <si>
    <t>Организация ЭВМ и систем</t>
  </si>
  <si>
    <t>ВТ</t>
  </si>
  <si>
    <t>Метрология</t>
  </si>
  <si>
    <t>Алгоритмы и структуры данных</t>
  </si>
  <si>
    <t>Б.Я. Советов</t>
  </si>
  <si>
    <t>Зав.кафедрой АСОИУ</t>
  </si>
  <si>
    <t>Ин.яз.                                                  
ГСЭ,БЧ                                              
ИНЯЗ           ДЗ</t>
  </si>
  <si>
    <t>История
ГСЭ,БЧ
ИКГП                   ДЗ</t>
  </si>
  <si>
    <t xml:space="preserve">Информатика                          
ЕН,БЧ                                   
АСОИУ                  ДЗ                   </t>
  </si>
  <si>
    <t>Математический анализ             
ЕН,БЧ                                                      
ВМ2                                         Экз</t>
  </si>
  <si>
    <t>Алгебра и геометрия              
ЕН,БЧ                                          
ВМ2                 Экз</t>
  </si>
  <si>
    <t>Мех. и термодинамика                                
ЕН,БЧ                                      
Физики                    Экз</t>
  </si>
  <si>
    <t>Программирование                                        
ПР,БЧ                                                                  
АСОИУ                                Экз, к/р</t>
  </si>
  <si>
    <t>Дискретная математика                   
ЕН,БЧ                                                            
ВМ2                            Экз</t>
  </si>
  <si>
    <t>Ин.яз.                                                 
ГСЭ,БЧ                                              
ИНЯЗ    ДЗ</t>
  </si>
  <si>
    <t>Мат.лог. и теор. алгор.
ЕН,БЧ                                 
ВМ2                   Экз</t>
  </si>
  <si>
    <t xml:space="preserve">Теор.вер.и мат. стат.              
ЕН,БЧ                                   
ВМ2                    Экз </t>
  </si>
  <si>
    <t>Правоведение
ГСЭ,ВЧ                     
ИКГП            ДЗ</t>
  </si>
  <si>
    <t>Упр. данными                 
ПР,БЧ                                                                           
АСОИУ            ДЗ, к/р</t>
  </si>
  <si>
    <t xml:space="preserve"> </t>
  </si>
  <si>
    <t>Операционные системы                
ПР,БЧ                                        
АСОИУ                 ДЗ</t>
  </si>
  <si>
    <t>Инфоком. системы и сети      ПР,БЧ 
АСОИУ                    Экз</t>
  </si>
  <si>
    <t>Вычислительная математика</t>
  </si>
  <si>
    <t>Группы, кольца, поля</t>
  </si>
  <si>
    <t xml:space="preserve"> ПР  ДВС № 5, 7 сем.</t>
  </si>
  <si>
    <t>Микропроцессорная техника</t>
  </si>
  <si>
    <t>Спектральный анализ</t>
  </si>
  <si>
    <t xml:space="preserve">Конструирование программ  </t>
  </si>
  <si>
    <t xml:space="preserve">Методы оптимизации   </t>
  </si>
  <si>
    <t xml:space="preserve">Цифровая обработка информации  </t>
  </si>
  <si>
    <t>Методы разработки программных изделий</t>
  </si>
  <si>
    <t>Алгоритмы решения экстремальных задач</t>
  </si>
  <si>
    <t>Структурный и спектральный анализ информации</t>
  </si>
  <si>
    <t>Качество и эксплуатация информационных систем</t>
  </si>
  <si>
    <t>Функциональное программирование</t>
  </si>
  <si>
    <t>Компонентное проектирование</t>
  </si>
  <si>
    <t>Экономика организации</t>
  </si>
  <si>
    <t xml:space="preserve">       ДВС №1, 5 сем.</t>
  </si>
  <si>
    <t xml:space="preserve">       ДВС №2, 6 сем.</t>
  </si>
  <si>
    <t>Теория вероятностей и математическая статистика</t>
  </si>
  <si>
    <t>Математическая логика и теория алгоритмов</t>
  </si>
  <si>
    <t>Математический анализ. Дополнительные главы.</t>
  </si>
  <si>
    <t>Теория управления</t>
  </si>
  <si>
    <t>Управление данными</t>
  </si>
  <si>
    <t>Операционные системы</t>
  </si>
  <si>
    <t>Инфокоммуникационные системы и сети</t>
  </si>
  <si>
    <t>Интеллектуальные информационные системы</t>
  </si>
  <si>
    <t>Компьютерная графика</t>
  </si>
  <si>
    <t>МОЭВМ</t>
  </si>
  <si>
    <t>Теоретические основы информатики</t>
  </si>
  <si>
    <t>Архитектура информационных систем</t>
  </si>
  <si>
    <t>Объектно-ориентированное программирование</t>
  </si>
  <si>
    <t>Моделирование систем</t>
  </si>
  <si>
    <t>Технологии баз данных</t>
  </si>
  <si>
    <t>Системы реального времени</t>
  </si>
  <si>
    <t>10</t>
  </si>
  <si>
    <t>Зав.кафедрой</t>
  </si>
  <si>
    <t>ДВС №1                                                 
ГСЭ,ВЧ                               
              ДЗ</t>
  </si>
  <si>
    <t>Социология
ГСЭ,ВЧ
СП        ДЗ</t>
  </si>
  <si>
    <t>Мультиагентные системы</t>
  </si>
  <si>
    <t>Философия
ГСЭ,БЧ
ФЛ                 ДЗ</t>
  </si>
  <si>
    <t>ДВС №2                                                 
ГСЭ,ВЧ                                             
                         ДЗ</t>
  </si>
  <si>
    <t>БЖД
ПР,БЧ  
БЖД                    ДЗ</t>
  </si>
  <si>
    <t>Организация ЭВМ и систем   ПР, БЧ                             
ВТ                   ДЗ,к/р</t>
  </si>
  <si>
    <t>ОП и УП
ГСЭ,ВЧ
ИМ                ДЗ</t>
  </si>
  <si>
    <t>Строгецкая Е.В.</t>
  </si>
  <si>
    <t>Ященко В.В.</t>
  </si>
  <si>
    <t>Салкуцан С.В.</t>
  </si>
  <si>
    <t>Чигирь М.В.</t>
  </si>
  <si>
    <t>Ягья Т.С.</t>
  </si>
  <si>
    <t>Казаринова Н.В.</t>
  </si>
  <si>
    <t>Вирьянский З.Я.</t>
  </si>
  <si>
    <t>Кузьмина А.Д.</t>
  </si>
  <si>
    <t>Лебедев Н.Б.</t>
  </si>
  <si>
    <t>Яхеев В.В.</t>
  </si>
  <si>
    <t>Копыльцов А.В.</t>
  </si>
  <si>
    <t>Воронов Ю.В.</t>
  </si>
  <si>
    <t>Соколов В.Н.</t>
  </si>
  <si>
    <t>Антонюк Е.М.</t>
  </si>
  <si>
    <t>Имаев Д.Х.</t>
  </si>
  <si>
    <t>Мустафин Н.А.</t>
  </si>
  <si>
    <t>Анисимов А.В.</t>
  </si>
  <si>
    <t>Ильин В.П.</t>
  </si>
  <si>
    <t>Цехановский В.В.</t>
  </si>
  <si>
    <t>Широков В.В.</t>
  </si>
  <si>
    <t>Кутузов О.И.</t>
  </si>
  <si>
    <t>Смирнов А.В.</t>
  </si>
  <si>
    <t>Баранов С.Н.</t>
  </si>
  <si>
    <t>Дубенецкий В.А.</t>
  </si>
  <si>
    <t>Егоров С.С.</t>
  </si>
  <si>
    <t>Яковлев С.А.</t>
  </si>
  <si>
    <t>Савосин С.В.</t>
  </si>
  <si>
    <t>Сидельников В.В.</t>
  </si>
  <si>
    <t>Воробьев В.И.</t>
  </si>
  <si>
    <t>Шишкин В.М.</t>
  </si>
  <si>
    <t>Юрков Ю.В.</t>
  </si>
  <si>
    <t>Бычков Ю.А.</t>
  </si>
  <si>
    <t>Степуленок Д.О.</t>
  </si>
  <si>
    <t>Шавыкин В.А.</t>
  </si>
  <si>
    <t>Пирог В.П.</t>
  </si>
  <si>
    <t>Спиваковский А.М.</t>
  </si>
  <si>
    <t xml:space="preserve">Междисциплинарный проект </t>
  </si>
  <si>
    <t>Проректор по учебной работе</t>
  </si>
  <si>
    <t>Э (3 н)</t>
  </si>
  <si>
    <t>А (18 н)</t>
  </si>
  <si>
    <t>К (7 н)</t>
  </si>
  <si>
    <t>Приложение 1</t>
  </si>
  <si>
    <t>к учебному плану №</t>
  </si>
  <si>
    <t>Итоговая государственная аттестация</t>
  </si>
  <si>
    <t>Код пр</t>
  </si>
  <si>
    <t>Предмет</t>
  </si>
  <si>
    <t>Каф</t>
  </si>
  <si>
    <t>с1</t>
  </si>
  <si>
    <t>с2</t>
  </si>
  <si>
    <t>Э</t>
  </si>
  <si>
    <t>З</t>
  </si>
  <si>
    <t>Сам</t>
  </si>
  <si>
    <t>Ауд</t>
  </si>
  <si>
    <t>Л</t>
  </si>
  <si>
    <t>Лб</t>
  </si>
  <si>
    <t>Пз</t>
  </si>
  <si>
    <t>КП</t>
  </si>
  <si>
    <t>КР</t>
  </si>
  <si>
    <t>1.00.00</t>
  </si>
  <si>
    <t>ГУМАНИТАРНЫЙ, СОЦИАЛЬНЫЙ И ЭКОНОМИЧЕСКИЙ ЦИКЛ</t>
  </si>
  <si>
    <t>0</t>
  </si>
  <si>
    <t>1.01.00</t>
  </si>
  <si>
    <t>1</t>
  </si>
  <si>
    <t>1.02.10</t>
  </si>
  <si>
    <t>1.02.20</t>
  </si>
  <si>
    <t>1.02.30</t>
  </si>
  <si>
    <t>1.02.40</t>
  </si>
  <si>
    <t>1.03.00</t>
  </si>
  <si>
    <t>1.04.00</t>
  </si>
  <si>
    <t>1.05.00</t>
  </si>
  <si>
    <t>1.05.10</t>
  </si>
  <si>
    <t>1.05.11</t>
  </si>
  <si>
    <t>Курсовая работа</t>
  </si>
  <si>
    <t>1.05.20</t>
  </si>
  <si>
    <t>1.05.30</t>
  </si>
  <si>
    <t>Организация производства и упр-е предприятием</t>
  </si>
  <si>
    <t>1.05.40</t>
  </si>
  <si>
    <t>1.06.00</t>
  </si>
  <si>
    <t>Дисциплины по выбору студентов N1</t>
  </si>
  <si>
    <t>1.06.10</t>
  </si>
  <si>
    <t>1.06.20</t>
  </si>
  <si>
    <t>1.06.30</t>
  </si>
  <si>
    <t>Психология личности. Теор.и практ.самопознания</t>
  </si>
  <si>
    <t>1.06.40</t>
  </si>
  <si>
    <t>1.06.50</t>
  </si>
  <si>
    <t>1.06.60</t>
  </si>
  <si>
    <t>1.06.70</t>
  </si>
  <si>
    <t>1.06.80</t>
  </si>
  <si>
    <t>1.07.00</t>
  </si>
  <si>
    <t>Дисциплины по выбору студентов N2</t>
  </si>
  <si>
    <t>1.07.10</t>
  </si>
  <si>
    <t>Межличностное общение</t>
  </si>
  <si>
    <t>1.07.20</t>
  </si>
  <si>
    <t>1.07.30</t>
  </si>
  <si>
    <t>Теория и практика аргументации</t>
  </si>
  <si>
    <t>1.07.40</t>
  </si>
  <si>
    <t>1.07.50</t>
  </si>
  <si>
    <t>1.07.60</t>
  </si>
  <si>
    <t>1.07.70</t>
  </si>
  <si>
    <t>1.07.80</t>
  </si>
  <si>
    <t>2.00.00</t>
  </si>
  <si>
    <t>МАТЕМАТИЧЕСКИЙ И ЕСТЕСТВЕННОНАУЧНЫЙ ЦИКЛ</t>
  </si>
  <si>
    <t>2.02.00</t>
  </si>
  <si>
    <t>2.03.00</t>
  </si>
  <si>
    <t>2.04.00</t>
  </si>
  <si>
    <t>2.05.00</t>
  </si>
  <si>
    <t>2.06.00</t>
  </si>
  <si>
    <t>2.07.00</t>
  </si>
  <si>
    <t>2.08.00</t>
  </si>
  <si>
    <t>2.09.00</t>
  </si>
  <si>
    <t>2.10.00</t>
  </si>
  <si>
    <t>2.10.10</t>
  </si>
  <si>
    <t>2.10.20</t>
  </si>
  <si>
    <t>2.10.30</t>
  </si>
  <si>
    <t>Математический анализ. Дополнительные главы</t>
  </si>
  <si>
    <t>2.10.40</t>
  </si>
  <si>
    <t>2.10.50</t>
  </si>
  <si>
    <t>3.00.00</t>
  </si>
  <si>
    <t>ПРОФЕССИОНАЛЬНЫЙ ЦИКЛ</t>
  </si>
  <si>
    <t>3.01.10</t>
  </si>
  <si>
    <t>3.01.20</t>
  </si>
  <si>
    <t>3.01.21</t>
  </si>
  <si>
    <t>3.03.00</t>
  </si>
  <si>
    <t>3.04.00</t>
  </si>
  <si>
    <t>3.05.00</t>
  </si>
  <si>
    <t>3.06.00</t>
  </si>
  <si>
    <t>3.07.00</t>
  </si>
  <si>
    <t>3.09.00</t>
  </si>
  <si>
    <t>3.10.00</t>
  </si>
  <si>
    <t>3.11.00</t>
  </si>
  <si>
    <t>3.12.00</t>
  </si>
  <si>
    <t>3.12.01</t>
  </si>
  <si>
    <t>3.13.00</t>
  </si>
  <si>
    <t>3.14.00</t>
  </si>
  <si>
    <t>3.15.00</t>
  </si>
  <si>
    <t>3.15.10</t>
  </si>
  <si>
    <t>3.15.20</t>
  </si>
  <si>
    <t>3.15.30</t>
  </si>
  <si>
    <t>3.15.40</t>
  </si>
  <si>
    <t>3.15.50</t>
  </si>
  <si>
    <t>3.15.60</t>
  </si>
  <si>
    <t>3.16.00</t>
  </si>
  <si>
    <t>Дисциплины по выбору студентов N3</t>
  </si>
  <si>
    <t>3.16.10</t>
  </si>
  <si>
    <t>3.16.20</t>
  </si>
  <si>
    <t>3.16.30</t>
  </si>
  <si>
    <t>3.17.00</t>
  </si>
  <si>
    <t>Дисциплины по выбору студентов N4</t>
  </si>
  <si>
    <t>3.17.10</t>
  </si>
  <si>
    <t>3.17.20</t>
  </si>
  <si>
    <t>3.18.00</t>
  </si>
  <si>
    <t>Дисциплины по выбору студентов N5</t>
  </si>
  <si>
    <t>3.18.10</t>
  </si>
  <si>
    <t>3.18.20</t>
  </si>
  <si>
    <t>3.19.00</t>
  </si>
  <si>
    <t>Дисциплины по выбору студентов N6</t>
  </si>
  <si>
    <t>3.19.10</t>
  </si>
  <si>
    <t>3.19.20</t>
  </si>
  <si>
    <t>3.20.00</t>
  </si>
  <si>
    <t>Дисциплины по выбору студентов N7</t>
  </si>
  <si>
    <t>3.20.01</t>
  </si>
  <si>
    <t>Курсовая работа по выбранной дисциплине</t>
  </si>
  <si>
    <t>3.20.10</t>
  </si>
  <si>
    <t>3.20.20</t>
  </si>
  <si>
    <t>3.21.00</t>
  </si>
  <si>
    <t>Дисциплины по выбору студентов N8</t>
  </si>
  <si>
    <t>3.21.10</t>
  </si>
  <si>
    <t>3.21.20</t>
  </si>
  <si>
    <t>3.22.00</t>
  </si>
  <si>
    <t>Дисциплины по выбору студентов N9</t>
  </si>
  <si>
    <t>3.22.10</t>
  </si>
  <si>
    <t>3.22.20</t>
  </si>
  <si>
    <t>4.00.00</t>
  </si>
  <si>
    <t>ФИЗИЧЕСКАЯ КУЛЬТУРА</t>
  </si>
  <si>
    <t>4.01.10</t>
  </si>
  <si>
    <t>ФВиС</t>
  </si>
  <si>
    <t>4.01.20</t>
  </si>
  <si>
    <t>4.01.30</t>
  </si>
  <si>
    <t>4.01.40</t>
  </si>
  <si>
    <t>ПРАКТИКИ</t>
  </si>
  <si>
    <t>Семестр</t>
  </si>
  <si>
    <t>Длительность (нед.)</t>
  </si>
  <si>
    <t>Форма итогового контроля</t>
  </si>
  <si>
    <t>Дифф.зачет</t>
  </si>
  <si>
    <t>ИТОГОВАЯ ГОСУДАРСТВЕННАЯ АТТЕСТАЦИЯ</t>
  </si>
  <si>
    <t>Подготовка и защита выпускной квалификационной работы</t>
  </si>
  <si>
    <t>Руководитель УОП</t>
  </si>
  <si>
    <t xml:space="preserve">В.А. Зуев </t>
  </si>
  <si>
    <t>Л.А. Марасина</t>
  </si>
  <si>
    <t>Начальник УОО</t>
  </si>
  <si>
    <t>Ю.А. Зубова</t>
  </si>
  <si>
    <t>2.01.10</t>
  </si>
  <si>
    <t>Информатика ч.1</t>
  </si>
  <si>
    <t>2.01.20</t>
  </si>
  <si>
    <t>Информатика ч.2</t>
  </si>
  <si>
    <t>ВМ-2</t>
  </si>
  <si>
    <t>Теория вероятностей и математическ.статистика</t>
  </si>
  <si>
    <t>2.11.00</t>
  </si>
  <si>
    <t>2.11.10</t>
  </si>
  <si>
    <t>2.11.20</t>
  </si>
  <si>
    <t>2.12.00</t>
  </si>
  <si>
    <t>2.12.10</t>
  </si>
  <si>
    <t>Специальные разделы алгебры</t>
  </si>
  <si>
    <t>2.12.20</t>
  </si>
  <si>
    <t>Программирование ч.1</t>
  </si>
  <si>
    <t>Программирование ч.2</t>
  </si>
  <si>
    <t>3.03.01</t>
  </si>
  <si>
    <t>3.05.01</t>
  </si>
  <si>
    <t>3.07.01</t>
  </si>
  <si>
    <t>3.08.10</t>
  </si>
  <si>
    <t>Операционные системы ч.1</t>
  </si>
  <si>
    <t>3.08.20</t>
  </si>
  <si>
    <t>Операционные системы ч.2</t>
  </si>
  <si>
    <t>3.09.01</t>
  </si>
  <si>
    <t>Объектно-ориентированное программирование ч.1</t>
  </si>
  <si>
    <t>Объектно-ориентированное программирование ч.2</t>
  </si>
  <si>
    <t>3.15.41</t>
  </si>
  <si>
    <t>3.15.61</t>
  </si>
  <si>
    <t>3.15.70</t>
  </si>
  <si>
    <t>Методы и средства проектирования информ.систем</t>
  </si>
  <si>
    <t>3.16.40</t>
  </si>
  <si>
    <t>Методы и средства защиты информации</t>
  </si>
  <si>
    <t>Основы компьютерной безопасности</t>
  </si>
  <si>
    <t>3.18.01</t>
  </si>
  <si>
    <t>Схемотехника</t>
  </si>
  <si>
    <t>Теория сигналов</t>
  </si>
  <si>
    <t>Конструирование программ</t>
  </si>
  <si>
    <t>Методы оптимизации</t>
  </si>
  <si>
    <t>Дисциплины по выбору студентов N10</t>
  </si>
  <si>
    <t>Цифровая обработка информации</t>
  </si>
  <si>
    <t>3.23.00</t>
  </si>
  <si>
    <t>Дисциплины по выбору студентов N11</t>
  </si>
  <si>
    <t>3.23.10</t>
  </si>
  <si>
    <t>Интеллектуальный анализ данных</t>
  </si>
  <si>
    <t>3.23.20</t>
  </si>
  <si>
    <t>3.24.00</t>
  </si>
  <si>
    <t>Дисциплины по выбору студентов N12</t>
  </si>
  <si>
    <t>3.24.10</t>
  </si>
  <si>
    <t>Технологии  геоинформационных систем</t>
  </si>
  <si>
    <t>3.24.20</t>
  </si>
  <si>
    <t>3.25.00</t>
  </si>
  <si>
    <t>Дисциплины по выбору студентов N13</t>
  </si>
  <si>
    <t>3.25.10</t>
  </si>
  <si>
    <t>3.25.20</t>
  </si>
  <si>
    <r>
      <rPr>
        <u/>
        <sz val="10"/>
        <rFont val="Times New Roman Cyr"/>
        <family val="1"/>
        <charset val="204"/>
      </rPr>
      <t>Приложение 1:</t>
    </r>
    <r>
      <rPr>
        <sz val="10"/>
        <rFont val="Times New Roman Cyr"/>
        <family val="1"/>
        <charset val="204"/>
      </rPr>
      <t xml:space="preserve"> Таблица соответствия учебного плана № 133 ФГОС ВПО по направлению подготовки бакалавра  230400.62  "Информационные системы и технологии"</t>
    </r>
  </si>
  <si>
    <t>Декан ФКТИ</t>
  </si>
  <si>
    <t>М.С. Куприянов</t>
  </si>
  <si>
    <t>Пр(2н)</t>
  </si>
  <si>
    <t>3.02.10</t>
  </si>
  <si>
    <t>Программирование. Дополнительные главы ч.1</t>
  </si>
  <si>
    <t>3.02.20</t>
  </si>
  <si>
    <t>Программирование. Дополнительные главы ч.2</t>
  </si>
  <si>
    <t>3.02.21</t>
  </si>
  <si>
    <t>Производственная  практика      
(2 нед.)        ДЗ</t>
  </si>
  <si>
    <t xml:space="preserve">Численные методы </t>
  </si>
  <si>
    <r>
      <rPr>
        <b/>
        <sz val="10"/>
        <rFont val="Times New Roman"/>
        <family val="1"/>
        <charset val="204"/>
      </rPr>
      <t>Всего часов теоретического обучения -</t>
    </r>
    <r>
      <rPr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>7774, в том числе аудиторных часов (не включая физическую культуру) - 3627</t>
    </r>
  </si>
  <si>
    <t>*</t>
  </si>
  <si>
    <t>План одобрен Ученым советом СПбГЭТУ</t>
  </si>
  <si>
    <t>24 февраля 2011 г.      протокол № 6</t>
  </si>
  <si>
    <t xml:space="preserve">  01   марта  2011 г.</t>
  </si>
  <si>
    <t>для неаудиторных видов занятий 
1 нед. = 54 часа = 1, 5 зет. 1ЗЕТ= 36 ч</t>
  </si>
  <si>
    <t>Корпоративные информ.управляющие системы</t>
  </si>
  <si>
    <t>Корпоративные информационные управляющие системы</t>
  </si>
  <si>
    <t>9сем</t>
  </si>
  <si>
    <t>10сем</t>
  </si>
  <si>
    <t>ИНЖЕНЕРЫ 2011г.</t>
  </si>
  <si>
    <t>090301  "Компьютерная безопасность"</t>
  </si>
  <si>
    <t xml:space="preserve">Специализация №8 </t>
  </si>
  <si>
    <t>"Информационная безопасность объектов информатизации на базе компьютерных систем"</t>
  </si>
  <si>
    <t>(для гр.,начиная с 1361)</t>
  </si>
  <si>
    <t>Н.А. Мустафин, А.Ф. Казак</t>
  </si>
  <si>
    <r>
      <rPr>
        <sz val="10"/>
        <color rgb="FF7030A0"/>
        <rFont val="Times New Roman Cyr"/>
        <charset val="204"/>
      </rPr>
      <t xml:space="preserve">ТЧМ криптографии                
Проф,БЧ                        
АСОИУ   </t>
    </r>
    <r>
      <rPr>
        <i/>
        <sz val="10"/>
        <color rgb="FF7030A0"/>
        <rFont val="Times New Roman Cyr"/>
        <charset val="204"/>
      </rPr>
      <t xml:space="preserve">                        </t>
    </r>
    <r>
      <rPr>
        <sz val="10"/>
        <color rgb="FF7030A0"/>
        <rFont val="Times New Roman Cyr"/>
        <charset val="204"/>
      </rPr>
      <t>Экз</t>
    </r>
    <r>
      <rPr>
        <i/>
        <sz val="10"/>
        <color rgb="FF7030A0"/>
        <rFont val="Times New Roman Cyr"/>
        <charset val="204"/>
      </rPr>
      <t xml:space="preserve">  </t>
    </r>
  </si>
  <si>
    <t xml:space="preserve">ОИБ       
ПР,БЧ                         
АСОИУ                       Экз, к/р         </t>
  </si>
  <si>
    <t xml:space="preserve">ТС и МЗИ                                  ПР,БЧ                     
АСОИУ                           Экз        </t>
  </si>
  <si>
    <r>
      <rPr>
        <sz val="10"/>
        <color rgb="FF7030A0"/>
        <rFont val="Times New Roman Cyr"/>
        <charset val="204"/>
      </rPr>
      <t xml:space="preserve">Технологии БД
Проф, БЧ           
АСОИУ                   ДЗ, к/р </t>
    </r>
    <r>
      <rPr>
        <i/>
        <sz val="10"/>
        <color rgb="FF7030A0"/>
        <rFont val="Times New Roman Cyr"/>
        <charset val="204"/>
      </rPr>
      <t xml:space="preserve">          </t>
    </r>
  </si>
  <si>
    <r>
      <rPr>
        <sz val="10"/>
        <color rgb="FF7030A0"/>
        <rFont val="Times New Roman Cyr"/>
        <charset val="204"/>
      </rPr>
      <t>Модели безопасности КС  
Проф, БЧ                            АСОИУ</t>
    </r>
    <r>
      <rPr>
        <i/>
        <sz val="10"/>
        <color rgb="FF7030A0"/>
        <rFont val="Times New Roman Cyr"/>
        <charset val="204"/>
      </rPr>
      <t xml:space="preserve">                         </t>
    </r>
    <r>
      <rPr>
        <sz val="10"/>
        <color rgb="FF7030A0"/>
        <rFont val="Times New Roman Cyr"/>
        <charset val="204"/>
      </rPr>
      <t>ДЗ</t>
    </r>
    <r>
      <rPr>
        <i/>
        <sz val="10"/>
        <color rgb="FF7030A0"/>
        <rFont val="Times New Roman Cyr"/>
        <charset val="204"/>
      </rPr>
      <t xml:space="preserve">
                 </t>
    </r>
  </si>
  <si>
    <t xml:space="preserve">МНБ и вирусология    
ПР,БЧ                         
АСОИУ                      Экз   </t>
  </si>
  <si>
    <r>
      <rPr>
        <i/>
        <sz val="10"/>
        <color rgb="FF0000FF"/>
        <rFont val="Times New Roman Cyr"/>
        <charset val="204"/>
      </rPr>
      <t xml:space="preserve">КИУС                      
ПР, ВЧ                     
АСОИУ                           Экз, к/р </t>
    </r>
    <r>
      <rPr>
        <sz val="10"/>
        <color rgb="FF0000FF"/>
        <rFont val="Times New Roman Cyr"/>
        <charset val="204"/>
      </rPr>
      <t xml:space="preserve">               </t>
    </r>
  </si>
  <si>
    <t xml:space="preserve">Криптографические протоколы
ПР,БЧ  
АСОИУ                                 Экз, к/р               </t>
  </si>
  <si>
    <t xml:space="preserve">ОПО ИБ
ПР,БЧ  
АСОИУ                ДЗ                 </t>
  </si>
  <si>
    <t xml:space="preserve">Защита КС и ТК 
ПР,БЧ                         
АСОИУ                          Экз, к/р       </t>
  </si>
  <si>
    <t xml:space="preserve">Защита ОС и СУБД                                        ПР,БЧ 
АСОИУ                          Экз, к/р                   </t>
  </si>
  <si>
    <t xml:space="preserve">Технология разраб. ИС в ЗИ                      
ПР, БЧ                     
АСОИУ                        Экз                   </t>
  </si>
  <si>
    <r>
      <rPr>
        <sz val="10"/>
        <color rgb="FF0000FF"/>
        <rFont val="Times New Roman Cyr"/>
        <charset val="204"/>
      </rPr>
      <t>Администрирование ЗИС
ПР,БЧ                          
АСОИУ                   Экз</t>
    </r>
    <r>
      <rPr>
        <i/>
        <sz val="10"/>
        <color rgb="FF0000FF"/>
        <rFont val="Times New Roman Cyr"/>
        <charset val="204"/>
      </rPr>
      <t xml:space="preserve">          </t>
    </r>
  </si>
  <si>
    <r>
      <rPr>
        <sz val="10"/>
        <color rgb="FF0000FF"/>
        <rFont val="Times New Roman Cyr"/>
        <charset val="204"/>
      </rPr>
      <t xml:space="preserve">Инж-тех. защита ОИ      ПР,БЧ                          
АСОИУ     ДЗ    </t>
    </r>
    <r>
      <rPr>
        <i/>
        <sz val="10"/>
        <color rgb="FF0000FF"/>
        <rFont val="Times New Roman Cyr"/>
        <charset val="204"/>
      </rPr>
      <t xml:space="preserve">          </t>
    </r>
  </si>
  <si>
    <r>
      <rPr>
        <sz val="10"/>
        <rFont val="Times New Roman Cyr"/>
        <charset val="204"/>
      </rPr>
      <t>НИРС                 ДЗ</t>
    </r>
    <r>
      <rPr>
        <i/>
        <sz val="10"/>
        <rFont val="Times New Roman Cyr"/>
        <charset val="204"/>
      </rPr>
      <t xml:space="preserve">          </t>
    </r>
  </si>
  <si>
    <r>
      <rPr>
        <sz val="10"/>
        <rFont val="Times New Roman Cyr"/>
        <charset val="204"/>
      </rPr>
      <t xml:space="preserve">НИРС                 ДЗ  </t>
    </r>
    <r>
      <rPr>
        <i/>
        <sz val="10"/>
        <rFont val="Times New Roman Cyr"/>
        <charset val="204"/>
      </rPr>
      <t xml:space="preserve">          </t>
    </r>
  </si>
  <si>
    <t>С.1</t>
  </si>
  <si>
    <t>История Отечества</t>
  </si>
  <si>
    <t>Экономика</t>
  </si>
  <si>
    <t>Основы управленческой деятельности</t>
  </si>
  <si>
    <t>С.2</t>
  </si>
  <si>
    <t>С1.1</t>
  </si>
  <si>
    <t>С.1.2</t>
  </si>
  <si>
    <t>Геометрия</t>
  </si>
  <si>
    <t>Алгебра</t>
  </si>
  <si>
    <t>Теория информации</t>
  </si>
  <si>
    <t>Физика</t>
  </si>
  <si>
    <t>Мет. оптимизации                                
ЕН,БЧ                                   
                           Экз</t>
  </si>
  <si>
    <t xml:space="preserve">Мат. основы КБ   ЕН,БЧ                                           АСОИУ         ДЗ           </t>
  </si>
  <si>
    <t xml:space="preserve">Теор. основы информатики                               
ЕН, БЧ
АСОИУ                          Экз            </t>
  </si>
  <si>
    <t>Математические основы компьютерной безопасности</t>
  </si>
  <si>
    <t>Выч. матем.
ЕН,БЧ 
                     Экз</t>
  </si>
  <si>
    <t>Сп. гл. алгебры
ЕН,БЧ                                
                    Экз</t>
  </si>
  <si>
    <t>ТОЭ
ЕН, БЧ                       
ТОЭ                              Экз</t>
  </si>
  <si>
    <t>Теория принятия решений        
ЕН,БЧ                                         
АСОИУ                           Экз,к/р</t>
  </si>
  <si>
    <t xml:space="preserve">Спец.разд. мат. ан.  ЕН,БЧ                             
ВМ2               ДЗ  </t>
  </si>
  <si>
    <t>Алг. и структ. данных                                        
ПР,БЧ                                        
АСОИУ               ДЗ,к/р</t>
  </si>
  <si>
    <t>С.2.1</t>
  </si>
  <si>
    <t>С.2.2</t>
  </si>
  <si>
    <t>С.3</t>
  </si>
  <si>
    <t>С.3.1</t>
  </si>
  <si>
    <t>Языки программирования</t>
  </si>
  <si>
    <t>Методы программирования</t>
  </si>
  <si>
    <t>Аппаратные средства вычислительной техники</t>
  </si>
  <si>
    <t>Распределенные системы обработки данных</t>
  </si>
  <si>
    <t>Компьютерные сети</t>
  </si>
  <si>
    <t>Системы управления базами данных</t>
  </si>
  <si>
    <t>Основы информационной безопасности</t>
  </si>
  <si>
    <t>Выговский Л.С.</t>
  </si>
  <si>
    <t>Модели безопасности компьютерных систем</t>
  </si>
  <si>
    <t>Молдавян А.А.</t>
  </si>
  <si>
    <t>Организационное и правовое обеспечение информационной безопасности</t>
  </si>
  <si>
    <t>Фаткиева Р.Р.</t>
  </si>
  <si>
    <t>Защита в операционных системах</t>
  </si>
  <si>
    <t>Защита ОС и СУБД</t>
  </si>
  <si>
    <t>Основы построения защищенных баз данных</t>
  </si>
  <si>
    <t>Основы построения защищенных компьютерных сетей</t>
  </si>
  <si>
    <t>Защита КС и ТК</t>
  </si>
  <si>
    <t>Молдавяну П.А.</t>
  </si>
  <si>
    <t>Защита программ и данных</t>
  </si>
  <si>
    <t>Администрирование ЗИС</t>
  </si>
  <si>
    <t>Электроника и схемотехника</t>
  </si>
  <si>
    <t>Схемотехника
ПР,БЧ
                 ДЗ,к/р</t>
  </si>
  <si>
    <t>Сети и системы передачи данных</t>
  </si>
  <si>
    <t>Техническия защита информации</t>
  </si>
  <si>
    <t>Технические средства и методы ЗИ</t>
  </si>
  <si>
    <t>Максимов Р.В.</t>
  </si>
  <si>
    <t>Криптографические методы защиты информации</t>
  </si>
  <si>
    <t>Криптограф. методы ЗИ             
Проф, БЧ                         
АСОИУ                       Экз</t>
  </si>
  <si>
    <t>Молдавян Н.А.</t>
  </si>
  <si>
    <t>Криптографические протоколы</t>
  </si>
  <si>
    <t>Арбузов С.М.</t>
  </si>
  <si>
    <t>Теоретико-числовые методы в криптографии</t>
  </si>
  <si>
    <t>Мирончиков Е.Т.</t>
  </si>
  <si>
    <t>Шехунова Н.А.</t>
  </si>
  <si>
    <t>Обеспечение ИБ проектирования, создания, модернизации ОИ на базе КС в ЗИ</t>
  </si>
  <si>
    <t>Технология разработки ИС в ЗИ</t>
  </si>
  <si>
    <t>Проектирование и анализ систем обеспечения ИБ ОИ</t>
  </si>
  <si>
    <t>Объекты защиты информации</t>
  </si>
  <si>
    <t xml:space="preserve">Инженерно-техническая защита объектов информатизации </t>
  </si>
  <si>
    <t>Афанасьев С.В.</t>
  </si>
  <si>
    <t>МНБ и вирусология</t>
  </si>
  <si>
    <t>Новикова Е.С.</t>
  </si>
  <si>
    <t>С.3.2</t>
  </si>
  <si>
    <t xml:space="preserve">Метрология
ПР,ВЧ    
ИИСТ                   Экз  </t>
  </si>
  <si>
    <t>Архитектура ИС                    
ПР,БЧ                         
АСОИУ               Экз</t>
  </si>
  <si>
    <t>ООП                           
ПР,БЧ                               
АСОИУ           ДЗ, к/р</t>
  </si>
  <si>
    <t>Интел.ИС                        
ПР, ВЧ                     
АСОИУ                    ДЗ</t>
  </si>
  <si>
    <t>Распр. системы обр. данных    
Проф,БЧ                           АСОИУ                        Экз</t>
  </si>
  <si>
    <t>ПО распределенных систем</t>
  </si>
  <si>
    <t>Разумовский Г.В.</t>
  </si>
  <si>
    <t>Моделирование систем  
ЕН,ВЧ                          
АСОИУ              Экз, к/р</t>
  </si>
  <si>
    <t>Герасимова Т. В.</t>
  </si>
  <si>
    <t>Обработка изображений</t>
  </si>
  <si>
    <t>Встроенные системы</t>
  </si>
  <si>
    <t>С.4</t>
  </si>
  <si>
    <t>С.5</t>
  </si>
  <si>
    <t>ДВС №3
Проф,ВЧ         
АСОИУ                    Экз,к/р</t>
  </si>
  <si>
    <t xml:space="preserve"> Проф ДВС № 3, 4 сем.</t>
  </si>
  <si>
    <t xml:space="preserve">       ДВС №3, 4 сем.                        </t>
  </si>
  <si>
    <t>СРВ</t>
  </si>
  <si>
    <t>ДВС №4                
ЕН, ВЧ                            
АПУ                       Экз</t>
  </si>
  <si>
    <t xml:space="preserve">       ДВС №4, 5 сем.</t>
  </si>
  <si>
    <t xml:space="preserve"> Проф ДВС № 4, 5 сем.</t>
  </si>
  <si>
    <t>ПР  ДВС № 5, 7 сем.</t>
  </si>
  <si>
    <t>Учебная и производственная практика, научно-исследовательская работа</t>
  </si>
  <si>
    <t>НИРС</t>
  </si>
  <si>
    <t>ДВС №5               
ПР,ВЧ                      
МОЭВМ           ДЗ</t>
  </si>
  <si>
    <t xml:space="preserve">       ДВС №5 , 7 сем.</t>
  </si>
  <si>
    <t xml:space="preserve">      ДВС №6 ,  9 сем.</t>
  </si>
  <si>
    <r>
      <rPr>
        <i/>
        <sz val="10"/>
        <color rgb="FF0000FF"/>
        <rFont val="Times New Roman Cyr"/>
        <charset val="204"/>
      </rPr>
      <t xml:space="preserve">ДВС №6                                      ПР,ВЧ 
АСОИУ    </t>
    </r>
    <r>
      <rPr>
        <sz val="10"/>
        <color rgb="FF0000FF"/>
        <rFont val="Times New Roman Cyr"/>
        <charset val="204"/>
      </rPr>
      <t xml:space="preserve">          </t>
    </r>
    <r>
      <rPr>
        <i/>
        <sz val="10"/>
        <color rgb="FF0000FF"/>
        <rFont val="Times New Roman Cyr"/>
        <charset val="204"/>
      </rPr>
      <t xml:space="preserve">Экз   </t>
    </r>
    <r>
      <rPr>
        <sz val="10"/>
        <color rgb="FF0000FF"/>
        <rFont val="Times New Roman Cyr"/>
        <charset val="204"/>
      </rPr>
      <t xml:space="preserve">       </t>
    </r>
  </si>
  <si>
    <t>Защита выпускной работы</t>
  </si>
  <si>
    <t>Подготовка выпускной работы</t>
  </si>
  <si>
    <t>С.6</t>
  </si>
  <si>
    <t>Физика.доп. главы ЕН,БЧ                        
Физики        Экз</t>
  </si>
  <si>
    <t>Эл-во и магнетизм                              
ЕН,БЧ                                           
Физики                Экз</t>
  </si>
  <si>
    <t>АиГ.Доп главы.                       
ЕН,БЧ                                                           
ВМ2                    Экз</t>
  </si>
  <si>
    <t>Мат.ан. Доп. главы
ЕН,БЧ                                        
ВМ2                        ДЗ</t>
  </si>
  <si>
    <t>Специальные главы алгебры</t>
  </si>
  <si>
    <r>
      <rPr>
        <i/>
        <sz val="10"/>
        <color rgb="FF00B050"/>
        <rFont val="Times New Roman"/>
        <family val="1"/>
        <charset val="204"/>
      </rPr>
      <t>Теор.сигнал.
ЕН, ВЧ                                
 ТОЭ        ДЗ</t>
    </r>
    <r>
      <rPr>
        <sz val="10"/>
        <color rgb="FF00B050"/>
        <rFont val="Times New Roman"/>
        <family val="1"/>
        <charset val="204"/>
      </rPr>
      <t xml:space="preserve"> </t>
    </r>
    <r>
      <rPr>
        <i/>
        <sz val="10"/>
        <color rgb="FF7030A0"/>
        <rFont val="Times New Roman"/>
        <family val="1"/>
        <charset val="204"/>
      </rPr>
      <t xml:space="preserve">              </t>
    </r>
  </si>
  <si>
    <r>
      <rPr>
        <sz val="10"/>
        <color rgb="FFFF0000"/>
        <rFont val="Times New Roman"/>
        <family val="1"/>
        <charset val="204"/>
      </rPr>
      <t>Экономика организации
ГСЭ,ВЧ
ПЭ                  ДЗ, к/р</t>
    </r>
    <r>
      <rPr>
        <i/>
        <sz val="10"/>
        <color rgb="FFFF0000"/>
        <rFont val="Times New Roman"/>
        <family val="1"/>
        <charset val="204"/>
      </rPr>
      <t xml:space="preserve">
</t>
    </r>
  </si>
  <si>
    <t>Теория управления                                     
ЕН,ВЧ                                           
АПУ                                 Экз</t>
  </si>
  <si>
    <t>Экология
ЕН,ВЧ
ИЗОС    ДЗ</t>
  </si>
  <si>
    <t>Программир.Доп.главы                           
ПР,БЧ                                              
АПУ,АСОИУ          Экз, к/р</t>
  </si>
  <si>
    <t xml:space="preserve">ДВС №7
ПР,ВЧ                          
АСОИУ                          ДЗ  </t>
  </si>
  <si>
    <t>Технология разработки ПО                 
Проф, БЧ             
 АСОИУ                  Экз, к/р</t>
  </si>
  <si>
    <t xml:space="preserve">       ДВС №7 , 9 сем.</t>
  </si>
  <si>
    <t>Разработчики</t>
  </si>
  <si>
    <t>AAAAAHrv1Vw=</t>
  </si>
  <si>
    <t>AAAAAHrv1V0=</t>
  </si>
  <si>
    <t>AAAAAHrv1V4=</t>
  </si>
  <si>
    <t>AAAAAHrv1V8=</t>
  </si>
  <si>
    <t>AAAAAFn3xwA=</t>
  </si>
  <si>
    <t>AAAAAD3x3gA=</t>
  </si>
  <si>
    <t>AAAAAEv7nwA=</t>
  </si>
  <si>
    <t>AAAAAHO/uQA=</t>
  </si>
  <si>
    <t>AAAAAHr/yAA=</t>
  </si>
  <si>
    <t>AAAAAHWz/QA=</t>
  </si>
  <si>
    <t>AAAAAHnkzQA=</t>
  </si>
</sst>
</file>

<file path=xl/styles.xml><?xml version="1.0" encoding="utf-8"?>
<styleSheet xmlns="http://schemas.openxmlformats.org/spreadsheetml/2006/main">
  <numFmts count="4">
    <numFmt numFmtId="164" formatCode="0.0"/>
    <numFmt numFmtId="165" formatCode="0.0%"/>
    <numFmt numFmtId="166" formatCode="#"/>
    <numFmt numFmtId="167" formatCode="####"/>
  </numFmts>
  <fonts count="110">
    <font>
      <sz val="10"/>
      <name val="Arial Cyr"/>
      <charset val="204"/>
    </font>
    <font>
      <sz val="10"/>
      <name val="Arial Cyr"/>
      <charset val="204"/>
    </font>
    <font>
      <b/>
      <sz val="10"/>
      <name val="Times New Roman Cyr"/>
      <family val="1"/>
      <charset val="204"/>
    </font>
    <font>
      <sz val="10"/>
      <name val="Times New Roman Cyr"/>
      <family val="1"/>
      <charset val="204"/>
    </font>
    <font>
      <b/>
      <sz val="11"/>
      <name val="Times New Roman Cyr"/>
      <family val="1"/>
      <charset val="204"/>
    </font>
    <font>
      <sz val="8"/>
      <name val="Arial Cyr"/>
      <charset val="204"/>
    </font>
    <font>
      <b/>
      <sz val="10"/>
      <name val="Times New Roman Cyr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8"/>
      <name val="Times New Roman"/>
      <family val="1"/>
      <charset val="204"/>
    </font>
    <font>
      <b/>
      <sz val="8"/>
      <name val="Times New Roman"/>
      <family val="1"/>
      <charset val="204"/>
    </font>
    <font>
      <i/>
      <sz val="8"/>
      <name val="Times New Roman"/>
      <family val="1"/>
      <charset val="204"/>
    </font>
    <font>
      <sz val="8"/>
      <color indexed="10"/>
      <name val="Times New Roman"/>
      <family val="1"/>
      <charset val="204"/>
    </font>
    <font>
      <b/>
      <sz val="8"/>
      <color indexed="16"/>
      <name val="Times New Roman"/>
      <family val="1"/>
      <charset val="204"/>
    </font>
    <font>
      <b/>
      <sz val="11"/>
      <name val="Times New Roman"/>
      <family val="1"/>
      <charset val="204"/>
    </font>
    <font>
      <i/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sz val="12"/>
      <name val="Times New Roman Cyr"/>
      <family val="1"/>
      <charset val="204"/>
    </font>
    <font>
      <b/>
      <sz val="9"/>
      <name val="Times New Roman"/>
      <family val="1"/>
      <charset val="204"/>
    </font>
    <font>
      <b/>
      <i/>
      <sz val="10"/>
      <name val="Times New Roman Cyr"/>
      <charset val="204"/>
    </font>
    <font>
      <b/>
      <i/>
      <sz val="10"/>
      <name val="Times New Roman Cyr"/>
      <family val="1"/>
      <charset val="204"/>
    </font>
    <font>
      <sz val="10"/>
      <name val="Times New Roman Cyr"/>
      <charset val="204"/>
    </font>
    <font>
      <sz val="11"/>
      <name val="Times New Roman Cyr"/>
      <family val="1"/>
      <charset val="204"/>
    </font>
    <font>
      <sz val="9"/>
      <name val="Times New Roman"/>
      <family val="1"/>
      <charset val="204"/>
    </font>
    <font>
      <sz val="10"/>
      <color indexed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8"/>
      <color indexed="10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2"/>
      <color indexed="16"/>
      <name val="Times New Roman"/>
      <family val="1"/>
      <charset val="204"/>
    </font>
    <font>
      <sz val="11"/>
      <color indexed="16"/>
      <name val="Times New Roman"/>
      <family val="1"/>
      <charset val="204"/>
    </font>
    <font>
      <i/>
      <sz val="11"/>
      <color indexed="16"/>
      <name val="Times New Roman"/>
      <family val="1"/>
      <charset val="204"/>
    </font>
    <font>
      <i/>
      <sz val="10"/>
      <color indexed="12"/>
      <name val="Times New Roman"/>
      <family val="1"/>
      <charset val="204"/>
    </font>
    <font>
      <sz val="11"/>
      <color indexed="12"/>
      <name val="Times New Roman"/>
      <family val="1"/>
      <charset val="204"/>
    </font>
    <font>
      <sz val="12"/>
      <color indexed="16"/>
      <name val="Times New Roman"/>
      <family val="1"/>
      <charset val="204"/>
    </font>
    <font>
      <b/>
      <sz val="10"/>
      <color indexed="10"/>
      <name val="Times New Roman"/>
      <family val="1"/>
      <charset val="204"/>
    </font>
    <font>
      <b/>
      <sz val="10"/>
      <color indexed="16"/>
      <name val="Times New Roman"/>
      <family val="1"/>
      <charset val="204"/>
    </font>
    <font>
      <b/>
      <sz val="10"/>
      <color indexed="12"/>
      <name val="Times New Roman"/>
      <family val="1"/>
      <charset val="204"/>
    </font>
    <font>
      <b/>
      <sz val="14"/>
      <name val="Times New Roman"/>
      <family val="1"/>
      <charset val="204"/>
    </font>
    <font>
      <u/>
      <sz val="12"/>
      <name val="Times New Roman"/>
      <family val="1"/>
      <charset val="204"/>
    </font>
    <font>
      <b/>
      <i/>
      <sz val="10"/>
      <name val="Arial Cyr"/>
      <family val="2"/>
      <charset val="204"/>
    </font>
    <font>
      <b/>
      <i/>
      <sz val="12"/>
      <name val="Times New Roman Cyr"/>
      <family val="1"/>
      <charset val="204"/>
    </font>
    <font>
      <b/>
      <i/>
      <sz val="12"/>
      <name val="Times New Roman"/>
      <family val="1"/>
      <charset val="204"/>
    </font>
    <font>
      <sz val="11"/>
      <name val="Arial Cyr"/>
      <charset val="204"/>
    </font>
    <font>
      <sz val="8"/>
      <name val="Arial Cyr"/>
      <family val="2"/>
      <charset val="204"/>
    </font>
    <font>
      <b/>
      <sz val="16"/>
      <name val="Times New Roman"/>
      <family val="1"/>
      <charset val="204"/>
    </font>
    <font>
      <sz val="11"/>
      <color indexed="10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sz val="11"/>
      <color indexed="10"/>
      <name val="Times New Roman"/>
      <family val="1"/>
      <charset val="204"/>
    </font>
    <font>
      <sz val="8"/>
      <color indexed="16"/>
      <name val="Times New Roman"/>
      <family val="1"/>
      <charset val="204"/>
    </font>
    <font>
      <sz val="10"/>
      <color indexed="10"/>
      <name val="Times New Roman"/>
      <family val="1"/>
      <charset val="204"/>
    </font>
    <font>
      <sz val="10"/>
      <color indexed="17"/>
      <name val="Times New Roman"/>
      <family val="1"/>
      <charset val="204"/>
    </font>
    <font>
      <b/>
      <sz val="12"/>
      <color indexed="12"/>
      <name val="Times New Roman"/>
      <family val="1"/>
      <charset val="204"/>
    </font>
    <font>
      <b/>
      <sz val="10"/>
      <color indexed="10"/>
      <name val="Arial Cyr"/>
      <charset val="204"/>
    </font>
    <font>
      <i/>
      <sz val="10"/>
      <name val="Times New Roman Cyr"/>
      <charset val="204"/>
    </font>
    <font>
      <sz val="10"/>
      <color indexed="8"/>
      <name val="Times New Roman"/>
      <family val="1"/>
      <charset val="204"/>
    </font>
    <font>
      <b/>
      <sz val="11"/>
      <color indexed="10"/>
      <name val="Times New Roman"/>
      <family val="1"/>
      <charset val="204"/>
    </font>
    <font>
      <sz val="10"/>
      <color indexed="16"/>
      <name val="Times New Roman"/>
      <family val="1"/>
      <charset val="204"/>
    </font>
    <font>
      <b/>
      <sz val="16"/>
      <name val="Times New Roman Cyr"/>
      <family val="1"/>
      <charset val="204"/>
    </font>
    <font>
      <b/>
      <sz val="18"/>
      <name val="Times New Roman Cyr"/>
      <family val="1"/>
      <charset val="204"/>
    </font>
    <font>
      <sz val="12"/>
      <name val="Times New Roman Cyr"/>
      <family val="1"/>
      <charset val="204"/>
    </font>
    <font>
      <sz val="9"/>
      <name val="Times New Roman Cyr"/>
      <family val="1"/>
      <charset val="204"/>
    </font>
    <font>
      <sz val="12"/>
      <name val="Times New Roman Cyr"/>
      <charset val="204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i/>
      <sz val="10"/>
      <name val="Times New Roman Cyr"/>
      <family val="1"/>
      <charset val="204"/>
    </font>
    <font>
      <i/>
      <sz val="10"/>
      <name val="Arial Cyr"/>
      <charset val="204"/>
    </font>
    <font>
      <b/>
      <sz val="10"/>
      <color indexed="10"/>
      <name val="Times New Roman Cyr"/>
      <family val="1"/>
      <charset val="204"/>
    </font>
    <font>
      <b/>
      <sz val="9"/>
      <name val="Times New Roman Cyr"/>
      <family val="1"/>
      <charset val="204"/>
    </font>
    <font>
      <sz val="9"/>
      <name val="Arial Cyr"/>
      <charset val="204"/>
    </font>
    <font>
      <b/>
      <sz val="10"/>
      <color indexed="8"/>
      <name val="Times New Roman"/>
      <family val="1"/>
      <charset val="204"/>
    </font>
    <font>
      <sz val="10"/>
      <color indexed="8"/>
      <name val="Times New Roman"/>
      <family val="2"/>
      <charset val="204"/>
    </font>
    <font>
      <i/>
      <sz val="10"/>
      <color indexed="8"/>
      <name val="Times New Roman"/>
      <family val="1"/>
      <charset val="204"/>
    </font>
    <font>
      <u/>
      <sz val="10"/>
      <name val="Times New Roman Cyr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2"/>
      <charset val="204"/>
    </font>
    <font>
      <b/>
      <sz val="10"/>
      <color rgb="FFC00000"/>
      <name val="Times New Roman"/>
      <family val="1"/>
      <charset val="204"/>
    </font>
    <font>
      <b/>
      <sz val="11"/>
      <color rgb="FFFF0000"/>
      <name val="Times New Roman Cyr"/>
      <family val="1"/>
      <charset val="204"/>
    </font>
    <font>
      <sz val="10"/>
      <color rgb="FF7030A0"/>
      <name val="Times New Roman"/>
      <family val="1"/>
      <charset val="204"/>
    </font>
    <font>
      <b/>
      <sz val="11"/>
      <color rgb="FF0000FF"/>
      <name val="Times New Roman"/>
      <family val="1"/>
      <charset val="204"/>
    </font>
    <font>
      <b/>
      <sz val="11"/>
      <color rgb="FF7030A0"/>
      <name val="Times New Roman"/>
      <family val="1"/>
      <charset val="204"/>
    </font>
    <font>
      <sz val="10"/>
      <color rgb="FF008000"/>
      <name val="Times New Roman"/>
      <family val="1"/>
      <charset val="204"/>
    </font>
    <font>
      <i/>
      <sz val="10"/>
      <color rgb="FF008000"/>
      <name val="Times New Roman"/>
      <family val="1"/>
      <charset val="204"/>
    </font>
    <font>
      <b/>
      <sz val="8"/>
      <color rgb="FFC00000"/>
      <name val="Arial"/>
      <family val="2"/>
      <charset val="204"/>
    </font>
    <font>
      <i/>
      <sz val="10"/>
      <color rgb="FF0000FF"/>
      <name val="Times New Roman"/>
      <family val="1"/>
      <charset val="204"/>
    </font>
    <font>
      <i/>
      <sz val="10"/>
      <color rgb="FF7030A0"/>
      <name val="Times New Roman"/>
      <family val="1"/>
      <charset val="204"/>
    </font>
    <font>
      <b/>
      <sz val="11"/>
      <color rgb="FFFF0000"/>
      <name val="Times New Roman Cyr"/>
      <charset val="204"/>
    </font>
    <font>
      <b/>
      <sz val="10"/>
      <color rgb="FFFF0000"/>
      <name val="Times New Roman Cyr"/>
      <family val="1"/>
      <charset val="204"/>
    </font>
    <font>
      <b/>
      <sz val="10"/>
      <color rgb="FF00B050"/>
      <name val="Times New Roman Cyr"/>
      <family val="1"/>
      <charset val="204"/>
    </font>
    <font>
      <b/>
      <sz val="10"/>
      <color rgb="FF0000FF"/>
      <name val="Times New Roman Cyr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sz val="10"/>
      <color theme="1"/>
      <name val="Times New Roman"/>
      <family val="2"/>
      <charset val="204"/>
    </font>
    <font>
      <i/>
      <sz val="10"/>
      <color rgb="FF0000FF"/>
      <name val="Times New Roman Cyr"/>
      <charset val="204"/>
    </font>
    <font>
      <i/>
      <sz val="10"/>
      <color rgb="FF7030A0"/>
      <name val="Times New Roman Cyr"/>
      <charset val="204"/>
    </font>
    <font>
      <sz val="10"/>
      <color rgb="FF0000FF"/>
      <name val="Times New Roman Cyr"/>
      <family val="1"/>
      <charset val="204"/>
    </font>
    <font>
      <sz val="10"/>
      <color rgb="FF0000FF"/>
      <name val="Times New Roman Cyr"/>
      <charset val="204"/>
    </font>
    <font>
      <i/>
      <sz val="10"/>
      <color rgb="FFFF0000"/>
      <name val="Times New Roman"/>
      <family val="1"/>
      <charset val="204"/>
    </font>
    <font>
      <sz val="10"/>
      <color rgb="FF0000FF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b/>
      <sz val="11"/>
      <color theme="6" tint="-0.249977111117893"/>
      <name val="Times New Roman Cyr"/>
      <charset val="204"/>
    </font>
    <font>
      <b/>
      <sz val="11"/>
      <color rgb="FF0000FF"/>
      <name val="Times New Roman Cyr"/>
      <charset val="204"/>
    </font>
    <font>
      <sz val="10"/>
      <color theme="0"/>
      <name val="Times New Roman"/>
      <family val="1"/>
      <charset val="204"/>
    </font>
    <font>
      <sz val="10"/>
      <color rgb="FF7030A0"/>
      <name val="Times New Roman Cyr"/>
      <charset val="204"/>
    </font>
    <font>
      <i/>
      <sz val="10"/>
      <color rgb="FF00B050"/>
      <name val="Times New Roman"/>
      <family val="1"/>
      <charset val="204"/>
    </font>
    <font>
      <sz val="10"/>
      <color rgb="FF00B050"/>
      <name val="Times New Roman"/>
      <family val="1"/>
      <charset val="204"/>
    </font>
    <font>
      <i/>
      <sz val="10"/>
      <color rgb="FF00B050"/>
      <name val="Times New Roman Cyr"/>
      <charset val="204"/>
    </font>
    <font>
      <sz val="10"/>
      <color theme="5"/>
      <name val="Times New Roman"/>
      <family val="1"/>
      <charset val="204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thin">
        <color indexed="64"/>
      </right>
      <top style="medium">
        <color indexed="8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1" fillId="0" borderId="0"/>
    <xf numFmtId="0" fontId="75" fillId="0" borderId="0"/>
    <xf numFmtId="0" fontId="75" fillId="0" borderId="0"/>
    <xf numFmtId="0" fontId="76" fillId="0" borderId="0"/>
    <xf numFmtId="0" fontId="76" fillId="0" borderId="0"/>
    <xf numFmtId="9" fontId="1" fillId="0" borderId="0" applyFont="0" applyFill="0" applyBorder="0" applyAlignment="0" applyProtection="0"/>
  </cellStyleXfs>
  <cellXfs count="1327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8" fillId="0" borderId="0" xfId="0" applyFont="1"/>
    <xf numFmtId="0" fontId="8" fillId="0" borderId="0" xfId="0" applyFont="1" applyBorder="1"/>
    <xf numFmtId="0" fontId="8" fillId="0" borderId="0" xfId="0" applyFont="1" applyFill="1"/>
    <xf numFmtId="0" fontId="8" fillId="0" borderId="0" xfId="0" applyFont="1" applyAlignment="1">
      <alignment horizontal="left"/>
    </xf>
    <xf numFmtId="49" fontId="3" fillId="0" borderId="0" xfId="0" applyNumberFormat="1" applyFont="1" applyAlignment="1">
      <alignment vertical="top"/>
    </xf>
    <xf numFmtId="0" fontId="9" fillId="0" borderId="0" xfId="0" applyFont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Font="1"/>
    <xf numFmtId="0" fontId="13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8" fillId="0" borderId="2" xfId="0" applyFont="1" applyBorder="1"/>
    <xf numFmtId="0" fontId="9" fillId="0" borderId="0" xfId="0" applyFont="1" applyBorder="1"/>
    <xf numFmtId="0" fontId="8" fillId="0" borderId="3" xfId="0" applyFont="1" applyBorder="1"/>
    <xf numFmtId="0" fontId="8" fillId="0" borderId="4" xfId="1" applyFont="1" applyBorder="1" applyAlignment="1">
      <alignment horizontal="center" vertical="center" wrapText="1"/>
    </xf>
    <xf numFmtId="0" fontId="26" fillId="0" borderId="4" xfId="0" applyFont="1" applyBorder="1" applyAlignment="1">
      <alignment horizontal="center"/>
    </xf>
    <xf numFmtId="0" fontId="14" fillId="0" borderId="5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3" fillId="0" borderId="0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8" fillId="0" borderId="0" xfId="0" applyFont="1" applyBorder="1" applyAlignment="1">
      <alignment vertical="center" wrapText="1"/>
    </xf>
    <xf numFmtId="0" fontId="16" fillId="0" borderId="6" xfId="1" applyFont="1" applyFill="1" applyBorder="1" applyAlignment="1">
      <alignment vertical="center" wrapText="1"/>
    </xf>
    <xf numFmtId="0" fontId="8" fillId="0" borderId="0" xfId="0" applyFont="1" applyAlignment="1">
      <alignment horizontal="right" vertical="center"/>
    </xf>
    <xf numFmtId="164" fontId="27" fillId="0" borderId="6" xfId="0" applyNumberFormat="1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28" fillId="0" borderId="0" xfId="1" applyFont="1" applyBorder="1" applyAlignment="1">
      <alignment horizontal="right" vertical="center"/>
    </xf>
    <xf numFmtId="0" fontId="30" fillId="0" borderId="5" xfId="1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8" fillId="0" borderId="0" xfId="1" applyFont="1" applyBorder="1" applyAlignment="1">
      <alignment horizontal="right" vertical="center"/>
    </xf>
    <xf numFmtId="0" fontId="31" fillId="0" borderId="5" xfId="1" applyFont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31" fillId="0" borderId="5" xfId="0" applyFont="1" applyBorder="1" applyAlignment="1">
      <alignment horizontal="center" vertical="center"/>
    </xf>
    <xf numFmtId="0" fontId="31" fillId="0" borderId="7" xfId="0" applyFont="1" applyBorder="1" applyAlignment="1">
      <alignment horizontal="center" vertical="center"/>
    </xf>
    <xf numFmtId="0" fontId="15" fillId="0" borderId="8" xfId="1" applyFont="1" applyBorder="1" applyAlignment="1">
      <alignment horizontal="right" vertical="center"/>
    </xf>
    <xf numFmtId="0" fontId="32" fillId="0" borderId="9" xfId="0" applyFont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30" fillId="0" borderId="1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right" vertical="center"/>
    </xf>
    <xf numFmtId="0" fontId="8" fillId="0" borderId="0" xfId="0" applyFont="1" applyBorder="1" applyAlignment="1">
      <alignment horizontal="center" vertical="center"/>
    </xf>
    <xf numFmtId="0" fontId="15" fillId="0" borderId="12" xfId="1" applyFont="1" applyBorder="1" applyAlignment="1">
      <alignment horizontal="right" vertical="center"/>
    </xf>
    <xf numFmtId="0" fontId="29" fillId="0" borderId="0" xfId="0" applyFont="1" applyBorder="1" applyAlignment="1">
      <alignment horizontal="left" vertical="center"/>
    </xf>
    <xf numFmtId="0" fontId="28" fillId="0" borderId="0" xfId="1" applyFont="1" applyFill="1" applyBorder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28" fillId="0" borderId="13" xfId="1" applyFont="1" applyFill="1" applyBorder="1" applyAlignment="1">
      <alignment horizontal="right" vertical="center"/>
    </xf>
    <xf numFmtId="0" fontId="8" fillId="3" borderId="8" xfId="0" applyFont="1" applyFill="1" applyBorder="1" applyAlignment="1">
      <alignment vertical="center"/>
    </xf>
    <xf numFmtId="0" fontId="8" fillId="3" borderId="8" xfId="0" applyFont="1" applyFill="1" applyBorder="1" applyAlignment="1">
      <alignment horizontal="left" vertical="center"/>
    </xf>
    <xf numFmtId="0" fontId="28" fillId="3" borderId="8" xfId="1" applyFont="1" applyFill="1" applyBorder="1" applyAlignment="1">
      <alignment horizontal="right" vertical="center"/>
    </xf>
    <xf numFmtId="0" fontId="33" fillId="0" borderId="7" xfId="1" applyFont="1" applyBorder="1" applyAlignment="1">
      <alignment horizontal="right" vertical="center"/>
    </xf>
    <xf numFmtId="49" fontId="30" fillId="0" borderId="14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8" fillId="0" borderId="0" xfId="0" applyFont="1" applyAlignment="1"/>
    <xf numFmtId="0" fontId="17" fillId="0" borderId="0" xfId="0" applyFont="1" applyAlignment="1">
      <alignment horizontal="left"/>
    </xf>
    <xf numFmtId="0" fontId="39" fillId="0" borderId="0" xfId="0" applyFont="1" applyAlignment="1">
      <alignment horizontal="right" vertical="center"/>
    </xf>
    <xf numFmtId="0" fontId="28" fillId="0" borderId="0" xfId="0" applyFont="1" applyAlignment="1">
      <alignment horizontal="center"/>
    </xf>
    <xf numFmtId="0" fontId="40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26" fillId="0" borderId="0" xfId="0" applyFont="1" applyAlignment="1"/>
    <xf numFmtId="0" fontId="26" fillId="0" borderId="0" xfId="0" applyFont="1" applyAlignment="1">
      <alignment horizontal="left"/>
    </xf>
    <xf numFmtId="0" fontId="26" fillId="0" borderId="2" xfId="0" applyFont="1" applyBorder="1" applyAlignment="1">
      <alignment horizontal="left"/>
    </xf>
    <xf numFmtId="0" fontId="26" fillId="0" borderId="2" xfId="0" applyFont="1" applyBorder="1" applyAlignment="1">
      <alignment horizontal="center"/>
    </xf>
    <xf numFmtId="0" fontId="26" fillId="0" borderId="2" xfId="0" applyFont="1" applyBorder="1" applyAlignment="1"/>
    <xf numFmtId="0" fontId="26" fillId="0" borderId="0" xfId="0" applyFont="1" applyBorder="1" applyAlignment="1"/>
    <xf numFmtId="0" fontId="26" fillId="0" borderId="0" xfId="0" applyFont="1" applyBorder="1" applyAlignment="1">
      <alignment horizontal="center"/>
    </xf>
    <xf numFmtId="0" fontId="8" fillId="0" borderId="0" xfId="0" applyFont="1" applyBorder="1" applyAlignment="1">
      <alignment vertical="center"/>
    </xf>
    <xf numFmtId="0" fontId="4" fillId="0" borderId="0" xfId="0" applyFont="1" applyAlignment="1">
      <alignment horizontal="right" vertic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3" fillId="0" borderId="0" xfId="0" applyFont="1" applyAlignment="1">
      <alignment vertical="top"/>
    </xf>
    <xf numFmtId="49" fontId="2" fillId="0" borderId="0" xfId="0" applyNumberFormat="1" applyFont="1" applyAlignment="1">
      <alignment horizontal="left"/>
    </xf>
    <xf numFmtId="0" fontId="3" fillId="0" borderId="0" xfId="0" applyFont="1" applyAlignment="1"/>
    <xf numFmtId="0" fontId="2" fillId="0" borderId="0" xfId="0" applyFont="1" applyAlignment="1">
      <alignment horizontal="right"/>
    </xf>
    <xf numFmtId="49" fontId="20" fillId="0" borderId="0" xfId="0" applyNumberFormat="1" applyFont="1" applyAlignment="1"/>
    <xf numFmtId="0" fontId="8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20" fillId="0" borderId="0" xfId="0" applyFont="1" applyAlignment="1">
      <alignment horizontal="left"/>
    </xf>
    <xf numFmtId="49" fontId="17" fillId="0" borderId="0" xfId="0" applyNumberFormat="1" applyFont="1" applyAlignment="1">
      <alignment horizontal="centerContinuous"/>
    </xf>
    <xf numFmtId="49" fontId="3" fillId="0" borderId="0" xfId="0" applyNumberFormat="1" applyFont="1" applyAlignment="1">
      <alignment horizontal="right" vertical="top"/>
    </xf>
    <xf numFmtId="49" fontId="17" fillId="0" borderId="0" xfId="0" applyNumberFormat="1" applyFont="1" applyAlignment="1"/>
    <xf numFmtId="1" fontId="17" fillId="0" borderId="0" xfId="0" applyNumberFormat="1" applyFont="1" applyAlignment="1"/>
    <xf numFmtId="49" fontId="17" fillId="0" borderId="0" xfId="0" applyNumberFormat="1" applyFont="1" applyAlignment="1">
      <alignment horizontal="right"/>
    </xf>
    <xf numFmtId="1" fontId="17" fillId="0" borderId="0" xfId="0" applyNumberFormat="1" applyFont="1" applyAlignment="1">
      <alignment horizontal="left"/>
    </xf>
    <xf numFmtId="0" fontId="41" fillId="0" borderId="0" xfId="0" applyFont="1" applyAlignment="1">
      <alignment horizontal="left"/>
    </xf>
    <xf numFmtId="0" fontId="17" fillId="0" borderId="0" xfId="0" applyFont="1"/>
    <xf numFmtId="0" fontId="17" fillId="0" borderId="0" xfId="0" applyFont="1" applyAlignment="1">
      <alignment horizontal="right"/>
    </xf>
    <xf numFmtId="0" fontId="17" fillId="0" borderId="0" xfId="0" applyFont="1" applyAlignment="1"/>
    <xf numFmtId="0" fontId="42" fillId="0" borderId="0" xfId="0" applyFont="1" applyAlignment="1">
      <alignment horizontal="left"/>
    </xf>
    <xf numFmtId="0" fontId="28" fillId="0" borderId="0" xfId="0" applyFont="1"/>
    <xf numFmtId="0" fontId="28" fillId="0" borderId="0" xfId="0" applyFont="1" applyAlignment="1">
      <alignment horizontal="right"/>
    </xf>
    <xf numFmtId="0" fontId="28" fillId="0" borderId="0" xfId="0" applyFont="1" applyAlignment="1"/>
    <xf numFmtId="0" fontId="43" fillId="0" borderId="0" xfId="0" applyFont="1" applyAlignment="1">
      <alignment horizontal="left"/>
    </xf>
    <xf numFmtId="0" fontId="22" fillId="0" borderId="0" xfId="0" applyFont="1" applyAlignment="1">
      <alignment horizontal="center"/>
    </xf>
    <xf numFmtId="0" fontId="44" fillId="0" borderId="0" xfId="0" applyFont="1"/>
    <xf numFmtId="14" fontId="5" fillId="0" borderId="0" xfId="0" quotePrefix="1" applyNumberFormat="1" applyFont="1" applyAlignment="1">
      <alignment horizontal="center"/>
    </xf>
    <xf numFmtId="0" fontId="3" fillId="0" borderId="0" xfId="0" applyFont="1" applyAlignment="1">
      <alignment horizontal="centerContinuous"/>
    </xf>
    <xf numFmtId="0" fontId="45" fillId="0" borderId="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6" fillId="0" borderId="4" xfId="0" applyFont="1" applyFill="1" applyBorder="1" applyAlignment="1">
      <alignment horizontal="center" vertical="center" wrapText="1"/>
    </xf>
    <xf numFmtId="0" fontId="56" fillId="0" borderId="4" xfId="0" applyFont="1" applyFill="1" applyBorder="1" applyAlignment="1">
      <alignment horizontal="center" vertical="center"/>
    </xf>
    <xf numFmtId="0" fontId="56" fillId="0" borderId="5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vertical="center"/>
    </xf>
    <xf numFmtId="0" fontId="45" fillId="0" borderId="0" xfId="0" applyFont="1" applyAlignment="1">
      <alignment vertical="center"/>
    </xf>
    <xf numFmtId="0" fontId="0" fillId="0" borderId="0" xfId="0" applyAlignment="1">
      <alignment vertical="center"/>
    </xf>
    <xf numFmtId="0" fontId="56" fillId="0" borderId="0" xfId="0" applyFont="1" applyAlignment="1">
      <alignment horizontal="left"/>
    </xf>
    <xf numFmtId="0" fontId="56" fillId="0" borderId="0" xfId="0" applyFont="1" applyAlignment="1">
      <alignment horizontal="justify"/>
    </xf>
    <xf numFmtId="0" fontId="56" fillId="0" borderId="0" xfId="0" applyFont="1"/>
    <xf numFmtId="0" fontId="4" fillId="0" borderId="0" xfId="0" applyFont="1" applyAlignment="1">
      <alignment horizontal="center"/>
    </xf>
    <xf numFmtId="0" fontId="46" fillId="4" borderId="0" xfId="0" applyFont="1" applyFill="1" applyAlignment="1"/>
    <xf numFmtId="0" fontId="46" fillId="0" borderId="0" xfId="0" applyFont="1" applyFill="1" applyAlignment="1"/>
    <xf numFmtId="0" fontId="46" fillId="0" borderId="0" xfId="0" applyFont="1" applyBorder="1" applyAlignment="1"/>
    <xf numFmtId="0" fontId="46" fillId="0" borderId="0" xfId="0" applyFont="1" applyBorder="1"/>
    <xf numFmtId="0" fontId="7" fillId="0" borderId="0" xfId="0" applyFont="1" applyFill="1" applyAlignment="1"/>
    <xf numFmtId="0" fontId="7" fillId="0" borderId="0" xfId="0" applyFont="1" applyBorder="1" applyAlignment="1"/>
    <xf numFmtId="0" fontId="7" fillId="0" borderId="0" xfId="0" applyFont="1" applyBorder="1" applyAlignment="1">
      <alignment horizontal="right"/>
    </xf>
    <xf numFmtId="0" fontId="14" fillId="0" borderId="0" xfId="0" applyFont="1" applyBorder="1" applyAlignment="1"/>
    <xf numFmtId="0" fontId="7" fillId="0" borderId="0" xfId="0" applyFont="1" applyBorder="1"/>
    <xf numFmtId="0" fontId="28" fillId="0" borderId="0" xfId="0" applyFont="1" applyAlignment="1">
      <alignment horizontal="left"/>
    </xf>
    <xf numFmtId="0" fontId="28" fillId="0" borderId="0" xfId="0" applyFont="1" applyBorder="1"/>
    <xf numFmtId="0" fontId="28" fillId="0" borderId="0" xfId="0" applyFont="1" applyBorder="1" applyAlignment="1"/>
    <xf numFmtId="0" fontId="28" fillId="0" borderId="0" xfId="0" applyFont="1" applyBorder="1" applyAlignment="1">
      <alignment horizontal="right"/>
    </xf>
    <xf numFmtId="0" fontId="28" fillId="0" borderId="0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Border="1" applyAlignment="1">
      <alignment horizontal="left"/>
    </xf>
    <xf numFmtId="0" fontId="8" fillId="0" borderId="0" xfId="0" applyFont="1" applyBorder="1" applyAlignment="1">
      <alignment horizontal="right"/>
    </xf>
    <xf numFmtId="0" fontId="8" fillId="0" borderId="0" xfId="0" applyFont="1" applyBorder="1" applyAlignment="1">
      <alignment horizontal="center"/>
    </xf>
    <xf numFmtId="9" fontId="29" fillId="0" borderId="0" xfId="0" applyNumberFormat="1" applyFont="1" applyBorder="1"/>
    <xf numFmtId="0" fontId="47" fillId="0" borderId="0" xfId="0" applyFont="1" applyBorder="1" applyAlignment="1">
      <alignment horizontal="right"/>
    </xf>
    <xf numFmtId="0" fontId="48" fillId="0" borderId="0" xfId="0" applyFont="1" applyBorder="1" applyAlignment="1">
      <alignment horizontal="left"/>
    </xf>
    <xf numFmtId="14" fontId="9" fillId="0" borderId="0" xfId="0" applyNumberFormat="1" applyFont="1" applyBorder="1" applyAlignment="1">
      <alignment horizontal="center"/>
    </xf>
    <xf numFmtId="0" fontId="8" fillId="0" borderId="0" xfId="0" applyFont="1" applyFill="1" applyBorder="1" applyAlignment="1">
      <alignment horizontal="left" vertical="center"/>
    </xf>
    <xf numFmtId="0" fontId="50" fillId="2" borderId="1" xfId="0" applyFont="1" applyFill="1" applyBorder="1" applyAlignment="1">
      <alignment horizontal="left" vertical="top" wrapText="1"/>
    </xf>
    <xf numFmtId="0" fontId="50" fillId="2" borderId="1" xfId="0" applyFont="1" applyFill="1" applyBorder="1" applyAlignment="1">
      <alignment horizontal="center" vertical="top" wrapText="1"/>
    </xf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15" xfId="0" applyFont="1" applyBorder="1"/>
    <xf numFmtId="0" fontId="9" fillId="0" borderId="15" xfId="0" applyFont="1" applyBorder="1" applyAlignment="1">
      <alignment horizontal="center" vertical="center"/>
    </xf>
    <xf numFmtId="0" fontId="9" fillId="0" borderId="0" xfId="0" applyFont="1" applyAlignment="1">
      <alignment horizontal="center" vertical="top"/>
    </xf>
    <xf numFmtId="0" fontId="18" fillId="0" borderId="0" xfId="0" applyFont="1" applyFill="1" applyAlignment="1">
      <alignment horizontal="left"/>
    </xf>
    <xf numFmtId="0" fontId="23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53" fillId="0" borderId="0" xfId="0" applyFont="1" applyFill="1"/>
    <xf numFmtId="0" fontId="23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53" fillId="0" borderId="0" xfId="0" applyFont="1"/>
    <xf numFmtId="0" fontId="18" fillId="0" borderId="0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left"/>
    </xf>
    <xf numFmtId="0" fontId="23" fillId="0" borderId="0" xfId="0" applyFont="1" applyBorder="1" applyAlignment="1">
      <alignment horizontal="left"/>
    </xf>
    <xf numFmtId="0" fontId="26" fillId="0" borderId="6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26" fillId="0" borderId="12" xfId="0" applyFont="1" applyBorder="1" applyAlignment="1">
      <alignment horizontal="left"/>
    </xf>
    <xf numFmtId="0" fontId="34" fillId="0" borderId="16" xfId="0" applyFont="1" applyBorder="1" applyAlignment="1">
      <alignment horizontal="center"/>
    </xf>
    <xf numFmtId="0" fontId="34" fillId="0" borderId="17" xfId="0" applyFont="1" applyBorder="1" applyAlignment="1">
      <alignment horizontal="center"/>
    </xf>
    <xf numFmtId="0" fontId="34" fillId="0" borderId="18" xfId="0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14" fillId="0" borderId="19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20" xfId="0" applyFont="1" applyBorder="1" applyAlignment="1">
      <alignment horizontal="center"/>
    </xf>
    <xf numFmtId="1" fontId="36" fillId="5" borderId="0" xfId="1" applyNumberFormat="1" applyFont="1" applyFill="1" applyAlignment="1">
      <alignment horizontal="left" vertical="center"/>
    </xf>
    <xf numFmtId="0" fontId="26" fillId="0" borderId="19" xfId="0" applyFont="1" applyBorder="1" applyAlignment="1">
      <alignment horizontal="center"/>
    </xf>
    <xf numFmtId="0" fontId="26" fillId="0" borderId="20" xfId="0" applyFont="1" applyBorder="1" applyAlignment="1">
      <alignment horizontal="center"/>
    </xf>
    <xf numFmtId="0" fontId="26" fillId="0" borderId="7" xfId="0" applyFont="1" applyBorder="1" applyAlignment="1">
      <alignment horizontal="center"/>
    </xf>
    <xf numFmtId="1" fontId="26" fillId="0" borderId="4" xfId="0" applyNumberFormat="1" applyFont="1" applyBorder="1" applyAlignment="1">
      <alignment horizontal="center"/>
    </xf>
    <xf numFmtId="0" fontId="26" fillId="0" borderId="19" xfId="0" applyFont="1" applyFill="1" applyBorder="1" applyAlignment="1">
      <alignment horizontal="center"/>
    </xf>
    <xf numFmtId="0" fontId="26" fillId="0" borderId="4" xfId="0" applyFont="1" applyFill="1" applyBorder="1" applyAlignment="1">
      <alignment horizontal="center"/>
    </xf>
    <xf numFmtId="0" fontId="26" fillId="0" borderId="20" xfId="0" applyFont="1" applyFill="1" applyBorder="1" applyAlignment="1">
      <alignment horizontal="center"/>
    </xf>
    <xf numFmtId="0" fontId="8" fillId="0" borderId="0" xfId="0" applyFont="1" applyBorder="1" applyAlignment="1">
      <alignment horizontal="center" vertical="top"/>
    </xf>
    <xf numFmtId="0" fontId="7" fillId="0" borderId="0" xfId="0" applyFont="1" applyFill="1" applyBorder="1" applyAlignment="1">
      <alignment vertical="top"/>
    </xf>
    <xf numFmtId="0" fontId="46" fillId="0" borderId="0" xfId="0" applyFont="1" applyFill="1" applyBorder="1" applyAlignment="1">
      <alignment vertical="top"/>
    </xf>
    <xf numFmtId="0" fontId="25" fillId="0" borderId="0" xfId="0" applyFont="1" applyAlignment="1">
      <alignment horizontal="left"/>
    </xf>
    <xf numFmtId="1" fontId="36" fillId="5" borderId="0" xfId="1" applyNumberFormat="1" applyFont="1" applyFill="1" applyAlignment="1">
      <alignment horizontal="center" vertical="center"/>
    </xf>
    <xf numFmtId="0" fontId="24" fillId="0" borderId="22" xfId="0" applyFont="1" applyBorder="1" applyAlignment="1">
      <alignment horizontal="right" vertical="center"/>
    </xf>
    <xf numFmtId="0" fontId="24" fillId="0" borderId="7" xfId="1" applyFont="1" applyBorder="1" applyAlignment="1">
      <alignment horizontal="right" vertical="center"/>
    </xf>
    <xf numFmtId="1" fontId="36" fillId="5" borderId="0" xfId="1" applyNumberFormat="1" applyFont="1" applyFill="1" applyBorder="1" applyAlignment="1">
      <alignment horizontal="left" vertical="center"/>
    </xf>
    <xf numFmtId="0" fontId="24" fillId="0" borderId="22" xfId="1" applyFont="1" applyBorder="1" applyAlignment="1">
      <alignment horizontal="right" vertical="center"/>
    </xf>
    <xf numFmtId="0" fontId="7" fillId="0" borderId="0" xfId="0" applyFont="1" applyBorder="1" applyAlignment="1">
      <alignment vertical="top"/>
    </xf>
    <xf numFmtId="0" fontId="38" fillId="0" borderId="1" xfId="0" applyFont="1" applyBorder="1" applyAlignment="1">
      <alignment horizontal="center" vertical="top"/>
    </xf>
    <xf numFmtId="0" fontId="38" fillId="0" borderId="23" xfId="0" applyFont="1" applyBorder="1" applyAlignment="1">
      <alignment horizontal="center" vertical="top"/>
    </xf>
    <xf numFmtId="0" fontId="38" fillId="0" borderId="6" xfId="0" applyFont="1" applyBorder="1" applyAlignment="1">
      <alignment horizontal="center" vertical="top"/>
    </xf>
    <xf numFmtId="0" fontId="38" fillId="0" borderId="4" xfId="0" applyFont="1" applyBorder="1" applyAlignment="1">
      <alignment horizontal="center" vertical="top"/>
    </xf>
    <xf numFmtId="0" fontId="38" fillId="0" borderId="24" xfId="0" applyFont="1" applyBorder="1" applyAlignment="1">
      <alignment horizontal="center" vertical="top"/>
    </xf>
    <xf numFmtId="0" fontId="38" fillId="0" borderId="25" xfId="0" applyFont="1" applyBorder="1" applyAlignment="1">
      <alignment horizontal="center" vertical="top"/>
    </xf>
    <xf numFmtId="0" fontId="8" fillId="0" borderId="0" xfId="0" applyFont="1" applyBorder="1" applyAlignment="1">
      <alignment horizontal="center" vertical="center" textRotation="90"/>
    </xf>
    <xf numFmtId="0" fontId="7" fillId="6" borderId="0" xfId="0" applyFont="1" applyFill="1" applyAlignment="1">
      <alignment horizontal="center" vertical="center"/>
    </xf>
    <xf numFmtId="0" fontId="7" fillId="0" borderId="26" xfId="0" applyFont="1" applyFill="1" applyBorder="1" applyAlignment="1">
      <alignment horizontal="center" vertical="center"/>
    </xf>
    <xf numFmtId="0" fontId="38" fillId="0" borderId="5" xfId="0" applyFont="1" applyBorder="1" applyAlignment="1">
      <alignment horizontal="center" vertical="top"/>
    </xf>
    <xf numFmtId="0" fontId="38" fillId="0" borderId="15" xfId="0" applyFont="1" applyBorder="1" applyAlignment="1">
      <alignment horizontal="center" vertical="top"/>
    </xf>
    <xf numFmtId="0" fontId="38" fillId="0" borderId="27" xfId="0" applyFont="1" applyBorder="1" applyAlignment="1">
      <alignment horizontal="center" vertical="top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top"/>
    </xf>
    <xf numFmtId="0" fontId="7" fillId="0" borderId="0" xfId="0" applyFont="1" applyFill="1"/>
    <xf numFmtId="0" fontId="7" fillId="0" borderId="0" xfId="0" applyFont="1" applyAlignment="1"/>
    <xf numFmtId="0" fontId="39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8" fillId="0" borderId="4" xfId="0" applyFont="1" applyBorder="1"/>
    <xf numFmtId="0" fontId="13" fillId="2" borderId="29" xfId="0" applyFont="1" applyFill="1" applyBorder="1" applyAlignment="1">
      <alignment horizontal="center" vertical="top" wrapText="1"/>
    </xf>
    <xf numFmtId="0" fontId="7" fillId="0" borderId="0" xfId="0" applyFont="1" applyBorder="1" applyAlignment="1">
      <alignment horizontal="center" vertical="top"/>
    </xf>
    <xf numFmtId="0" fontId="7" fillId="0" borderId="2" xfId="0" applyFont="1" applyBorder="1" applyAlignment="1">
      <alignment horizontal="center" vertical="top"/>
    </xf>
    <xf numFmtId="0" fontId="8" fillId="0" borderId="4" xfId="0" applyFont="1" applyBorder="1" applyAlignment="1">
      <alignment horizontal="center" vertical="center"/>
    </xf>
    <xf numFmtId="0" fontId="38" fillId="0" borderId="34" xfId="0" applyFont="1" applyBorder="1" applyAlignment="1">
      <alignment horizontal="center" vertical="top"/>
    </xf>
    <xf numFmtId="0" fontId="7" fillId="0" borderId="31" xfId="0" applyFont="1" applyFill="1" applyBorder="1"/>
    <xf numFmtId="0" fontId="7" fillId="0" borderId="20" xfId="0" applyFont="1" applyBorder="1" applyAlignment="1">
      <alignment horizontal="center"/>
    </xf>
    <xf numFmtId="0" fontId="8" fillId="0" borderId="31" xfId="0" applyFont="1" applyBorder="1" applyAlignment="1">
      <alignment horizontal="center" vertical="center" textRotation="90"/>
    </xf>
    <xf numFmtId="0" fontId="8" fillId="0" borderId="35" xfId="0" applyFont="1" applyBorder="1"/>
    <xf numFmtId="0" fontId="7" fillId="0" borderId="31" xfId="0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50" fillId="2" borderId="25" xfId="0" applyFont="1" applyFill="1" applyBorder="1" applyAlignment="1">
      <alignment horizontal="left" vertical="top" wrapText="1"/>
    </xf>
    <xf numFmtId="0" fontId="7" fillId="0" borderId="36" xfId="0" applyFont="1" applyBorder="1" applyAlignment="1">
      <alignment horizontal="center" vertical="top"/>
    </xf>
    <xf numFmtId="0" fontId="8" fillId="0" borderId="30" xfId="0" applyFont="1" applyBorder="1" applyAlignment="1">
      <alignment vertical="center" textRotation="90"/>
    </xf>
    <xf numFmtId="0" fontId="8" fillId="0" borderId="31" xfId="0" applyFont="1" applyBorder="1" applyAlignment="1">
      <alignment vertical="center" textRotation="90"/>
    </xf>
    <xf numFmtId="0" fontId="8" fillId="0" borderId="31" xfId="0" applyFont="1" applyBorder="1" applyAlignment="1">
      <alignment horizontal="center"/>
    </xf>
    <xf numFmtId="0" fontId="8" fillId="0" borderId="27" xfId="0" applyFont="1" applyBorder="1" applyAlignment="1">
      <alignment horizontal="center" vertical="top" wrapText="1"/>
    </xf>
    <xf numFmtId="0" fontId="8" fillId="0" borderId="2" xfId="0" applyFont="1" applyBorder="1" applyAlignment="1">
      <alignment horizontal="center" vertical="top" wrapText="1"/>
    </xf>
    <xf numFmtId="0" fontId="8" fillId="0" borderId="5" xfId="0" applyFont="1" applyBorder="1" applyAlignment="1">
      <alignment horizontal="center"/>
    </xf>
    <xf numFmtId="0" fontId="7" fillId="0" borderId="9" xfId="0" applyFont="1" applyFill="1" applyBorder="1" applyAlignment="1">
      <alignment horizontal="center" vertical="top" wrapText="1"/>
    </xf>
    <xf numFmtId="0" fontId="8" fillId="0" borderId="3" xfId="0" applyFont="1" applyFill="1" applyBorder="1" applyAlignment="1">
      <alignment horizontal="center" vertical="top" wrapText="1"/>
    </xf>
    <xf numFmtId="0" fontId="8" fillId="0" borderId="3" xfId="0" applyFont="1" applyBorder="1" applyAlignment="1">
      <alignment horizontal="center" vertical="top" wrapText="1"/>
    </xf>
    <xf numFmtId="0" fontId="51" fillId="0" borderId="15" xfId="0" applyFont="1" applyBorder="1" applyAlignment="1">
      <alignment horizontal="center" vertical="top" wrapText="1"/>
    </xf>
    <xf numFmtId="0" fontId="7" fillId="0" borderId="4" xfId="0" applyFont="1" applyBorder="1" applyAlignment="1">
      <alignment horizontal="center" vertical="top" wrapText="1"/>
    </xf>
    <xf numFmtId="0" fontId="51" fillId="0" borderId="4" xfId="0" applyFont="1" applyBorder="1" applyAlignment="1">
      <alignment horizontal="center" vertical="top" wrapText="1"/>
    </xf>
    <xf numFmtId="0" fontId="7" fillId="0" borderId="15" xfId="0" applyFont="1" applyBorder="1" applyAlignment="1">
      <alignment horizontal="center" vertical="top" wrapText="1"/>
    </xf>
    <xf numFmtId="0" fontId="36" fillId="0" borderId="4" xfId="0" applyFont="1" applyBorder="1" applyAlignment="1">
      <alignment horizontal="center" vertical="top" wrapText="1"/>
    </xf>
    <xf numFmtId="0" fontId="8" fillId="0" borderId="7" xfId="0" applyFont="1" applyBorder="1" applyAlignment="1">
      <alignment horizontal="center" vertical="top" wrapText="1"/>
    </xf>
    <xf numFmtId="1" fontId="77" fillId="9" borderId="19" xfId="0" applyNumberFormat="1" applyFont="1" applyFill="1" applyBorder="1" applyAlignment="1">
      <alignment horizontal="center" vertical="center" wrapText="1"/>
    </xf>
    <xf numFmtId="0" fontId="77" fillId="9" borderId="3" xfId="0" applyFont="1" applyFill="1" applyBorder="1" applyAlignment="1">
      <alignment horizontal="center" vertical="top" wrapText="1"/>
    </xf>
    <xf numFmtId="0" fontId="77" fillId="9" borderId="5" xfId="0" applyFont="1" applyFill="1" applyBorder="1" applyAlignment="1">
      <alignment horizontal="center" vertical="top" wrapText="1"/>
    </xf>
    <xf numFmtId="0" fontId="77" fillId="9" borderId="7" xfId="0" applyFont="1" applyFill="1" applyBorder="1" applyAlignment="1">
      <alignment horizontal="center" vertical="top" wrapText="1"/>
    </xf>
    <xf numFmtId="0" fontId="77" fillId="9" borderId="2" xfId="0" applyFont="1" applyFill="1" applyBorder="1" applyAlignment="1">
      <alignment horizontal="center" vertical="top" wrapText="1"/>
    </xf>
    <xf numFmtId="1" fontId="77" fillId="9" borderId="4" xfId="0" applyNumberFormat="1" applyFont="1" applyFill="1" applyBorder="1" applyAlignment="1">
      <alignment horizontal="center" vertical="center" wrapText="1"/>
    </xf>
    <xf numFmtId="0" fontId="77" fillId="9" borderId="2" xfId="0" applyFont="1" applyFill="1" applyBorder="1" applyAlignment="1">
      <alignment horizontal="left" vertical="top" wrapText="1"/>
    </xf>
    <xf numFmtId="0" fontId="77" fillId="9" borderId="3" xfId="0" applyFont="1" applyFill="1" applyBorder="1"/>
    <xf numFmtId="0" fontId="77" fillId="9" borderId="4" xfId="0" applyFont="1" applyFill="1" applyBorder="1" applyAlignment="1">
      <alignment horizontal="center" vertical="top"/>
    </xf>
    <xf numFmtId="0" fontId="77" fillId="9" borderId="4" xfId="0" applyFont="1" applyFill="1" applyBorder="1" applyAlignment="1">
      <alignment horizontal="center" vertical="top" wrapText="1"/>
    </xf>
    <xf numFmtId="0" fontId="38" fillId="0" borderId="4" xfId="0" applyFont="1" applyFill="1" applyBorder="1" applyAlignment="1">
      <alignment horizontal="center" vertical="top"/>
    </xf>
    <xf numFmtId="1" fontId="54" fillId="5" borderId="0" xfId="1" applyNumberFormat="1" applyFont="1" applyFill="1" applyAlignment="1">
      <alignment horizontal="left" vertical="center"/>
    </xf>
    <xf numFmtId="0" fontId="59" fillId="0" borderId="0" xfId="0" applyFont="1" applyBorder="1" applyAlignment="1">
      <alignment horizontal="right" vertical="center"/>
    </xf>
    <xf numFmtId="0" fontId="17" fillId="0" borderId="0" xfId="0" applyFont="1" applyBorder="1" applyAlignment="1">
      <alignment horizontal="right" vertical="center"/>
    </xf>
    <xf numFmtId="0" fontId="61" fillId="0" borderId="0" xfId="0" applyFont="1" applyBorder="1" applyAlignment="1">
      <alignment horizontal="right" vertical="center"/>
    </xf>
    <xf numFmtId="49" fontId="3" fillId="0" borderId="2" xfId="0" applyNumberFormat="1" applyFont="1" applyBorder="1" applyAlignment="1">
      <alignment vertical="top"/>
    </xf>
    <xf numFmtId="0" fontId="8" fillId="0" borderId="4" xfId="1" applyFont="1" applyBorder="1" applyAlignment="1">
      <alignment horizontal="center" vertical="center"/>
    </xf>
    <xf numFmtId="0" fontId="17" fillId="0" borderId="0" xfId="0" applyFont="1" applyBorder="1" applyAlignment="1">
      <alignment vertical="center"/>
    </xf>
    <xf numFmtId="0" fontId="3" fillId="0" borderId="0" xfId="1" applyFont="1" applyAlignment="1">
      <alignment vertical="center"/>
    </xf>
    <xf numFmtId="0" fontId="3" fillId="0" borderId="0" xfId="1" applyFont="1" applyAlignment="1">
      <alignment vertical="center" wrapText="1"/>
    </xf>
    <xf numFmtId="0" fontId="8" fillId="0" borderId="4" xfId="1" applyFont="1" applyFill="1" applyBorder="1" applyAlignment="1">
      <alignment horizontal="center" vertical="center" wrapText="1"/>
    </xf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horizontal="right" vertical="center"/>
    </xf>
    <xf numFmtId="0" fontId="8" fillId="0" borderId="4" xfId="1" applyFont="1" applyBorder="1" applyAlignment="1">
      <alignment horizontal="justify" vertical="center" wrapText="1"/>
    </xf>
    <xf numFmtId="0" fontId="3" fillId="0" borderId="2" xfId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 wrapText="1"/>
    </xf>
    <xf numFmtId="0" fontId="8" fillId="0" borderId="2" xfId="0" applyFont="1" applyBorder="1" applyAlignment="1">
      <alignment vertical="center"/>
    </xf>
    <xf numFmtId="0" fontId="3" fillId="0" borderId="0" xfId="1" applyFont="1" applyAlignment="1">
      <alignment horizontal="left" vertical="center"/>
    </xf>
    <xf numFmtId="10" fontId="8" fillId="0" borderId="0" xfId="0" applyNumberFormat="1" applyFont="1" applyFill="1" applyAlignment="1">
      <alignment horizontal="center" vertical="center"/>
    </xf>
    <xf numFmtId="0" fontId="7" fillId="4" borderId="0" xfId="0" applyFont="1" applyFill="1" applyAlignment="1"/>
    <xf numFmtId="0" fontId="7" fillId="0" borderId="0" xfId="0" applyFont="1" applyFill="1" applyAlignment="1">
      <alignment horizontal="left"/>
    </xf>
    <xf numFmtId="0" fontId="36" fillId="0" borderId="34" xfId="0" applyFont="1" applyBorder="1" applyAlignment="1">
      <alignment horizontal="center"/>
    </xf>
    <xf numFmtId="0" fontId="7" fillId="0" borderId="40" xfId="0" applyFont="1" applyBorder="1" applyAlignment="1">
      <alignment horizontal="center" wrapText="1"/>
    </xf>
    <xf numFmtId="0" fontId="7" fillId="0" borderId="41" xfId="0" applyFont="1" applyBorder="1" applyAlignment="1">
      <alignment horizontal="center" wrapText="1"/>
    </xf>
    <xf numFmtId="0" fontId="7" fillId="0" borderId="42" xfId="0" applyFont="1" applyBorder="1" applyAlignment="1">
      <alignment horizontal="center" wrapText="1"/>
    </xf>
    <xf numFmtId="0" fontId="7" fillId="7" borderId="19" xfId="0" applyFont="1" applyFill="1" applyBorder="1" applyAlignment="1">
      <alignment horizontal="center" vertical="top" wrapText="1"/>
    </xf>
    <xf numFmtId="0" fontId="8" fillId="4" borderId="42" xfId="0" applyFont="1" applyFill="1" applyBorder="1" applyAlignment="1">
      <alignment horizontal="center" vertical="top" wrapText="1"/>
    </xf>
    <xf numFmtId="0" fontId="8" fillId="3" borderId="19" xfId="0" applyFont="1" applyFill="1" applyBorder="1" applyAlignment="1">
      <alignment horizontal="center" vertical="top" wrapText="1"/>
    </xf>
    <xf numFmtId="0" fontId="8" fillId="9" borderId="42" xfId="0" applyFont="1" applyFill="1" applyBorder="1" applyAlignment="1">
      <alignment horizontal="center" vertical="top" wrapText="1"/>
    </xf>
    <xf numFmtId="0" fontId="8" fillId="9" borderId="43" xfId="0" applyFont="1" applyFill="1" applyBorder="1" applyAlignment="1">
      <alignment horizontal="center" vertical="top" wrapText="1"/>
    </xf>
    <xf numFmtId="0" fontId="8" fillId="0" borderId="44" xfId="0" applyFont="1" applyFill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7" borderId="4" xfId="0" applyFont="1" applyFill="1" applyBorder="1" applyAlignment="1">
      <alignment horizontal="center" vertical="top" wrapText="1"/>
    </xf>
    <xf numFmtId="0" fontId="8" fillId="4" borderId="15" xfId="0" applyFont="1" applyFill="1" applyBorder="1" applyAlignment="1">
      <alignment horizontal="center" vertical="top" wrapText="1"/>
    </xf>
    <xf numFmtId="0" fontId="8" fillId="3" borderId="4" xfId="0" applyFont="1" applyFill="1" applyBorder="1" applyAlignment="1">
      <alignment horizontal="center" vertical="top" wrapText="1"/>
    </xf>
    <xf numFmtId="0" fontId="8" fillId="9" borderId="15" xfId="0" applyFont="1" applyFill="1" applyBorder="1" applyAlignment="1">
      <alignment horizontal="center" vertical="top" wrapText="1"/>
    </xf>
    <xf numFmtId="0" fontId="8" fillId="9" borderId="4" xfId="0" applyFont="1" applyFill="1" applyBorder="1" applyAlignment="1">
      <alignment horizontal="center" vertical="top" wrapText="1"/>
    </xf>
    <xf numFmtId="0" fontId="8" fillId="0" borderId="34" xfId="0" applyFont="1" applyFill="1" applyBorder="1" applyAlignment="1">
      <alignment horizontal="center" vertical="top" wrapText="1"/>
    </xf>
    <xf numFmtId="0" fontId="7" fillId="0" borderId="40" xfId="0" applyFont="1" applyBorder="1" applyAlignment="1">
      <alignment horizontal="center" vertical="center" wrapText="1"/>
    </xf>
    <xf numFmtId="0" fontId="7" fillId="0" borderId="41" xfId="0" applyFont="1" applyBorder="1" applyAlignment="1">
      <alignment horizontal="center" vertical="center" wrapText="1"/>
    </xf>
    <xf numFmtId="0" fontId="7" fillId="0" borderId="42" xfId="0" applyFont="1" applyBorder="1" applyAlignment="1">
      <alignment horizontal="center" vertical="center" wrapText="1"/>
    </xf>
    <xf numFmtId="0" fontId="8" fillId="9" borderId="19" xfId="0" applyFont="1" applyFill="1" applyBorder="1" applyAlignment="1">
      <alignment horizontal="center" vertical="top" wrapText="1"/>
    </xf>
    <xf numFmtId="0" fontId="8" fillId="0" borderId="23" xfId="0" applyFont="1" applyFill="1" applyBorder="1" applyAlignment="1">
      <alignment horizontal="center" vertical="top" wrapText="1"/>
    </xf>
    <xf numFmtId="0" fontId="7" fillId="0" borderId="25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25" fillId="0" borderId="4" xfId="0" applyFont="1" applyBorder="1" applyAlignment="1">
      <alignment horizontal="left" vertical="center" wrapText="1"/>
    </xf>
    <xf numFmtId="0" fontId="25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justify" vertical="center"/>
    </xf>
    <xf numFmtId="0" fontId="0" fillId="0" borderId="0" xfId="0" applyFont="1" applyAlignment="1">
      <alignment vertical="center"/>
    </xf>
    <xf numFmtId="0" fontId="25" fillId="0" borderId="0" xfId="0" applyFont="1" applyBorder="1" applyAlignment="1">
      <alignment horizontal="justify" vertical="center"/>
    </xf>
    <xf numFmtId="0" fontId="8" fillId="0" borderId="4" xfId="0" applyFont="1" applyBorder="1" applyAlignment="1">
      <alignment horizontal="center" vertical="center" wrapText="1"/>
    </xf>
    <xf numFmtId="0" fontId="14" fillId="0" borderId="0" xfId="0" applyFont="1" applyAlignment="1">
      <alignment horizontal="right" vertical="center" wrapText="1"/>
    </xf>
    <xf numFmtId="0" fontId="25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center"/>
    </xf>
    <xf numFmtId="0" fontId="0" fillId="0" borderId="0" xfId="0" applyFont="1" applyBorder="1"/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3" fillId="0" borderId="0" xfId="1" applyFont="1" applyAlignment="1">
      <alignment horizontal="right"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26" fillId="0" borderId="0" xfId="0" applyFont="1" applyAlignment="1">
      <alignment horizontal="right"/>
    </xf>
    <xf numFmtId="0" fontId="8" fillId="0" borderId="5" xfId="0" applyFont="1" applyBorder="1" applyAlignment="1">
      <alignment horizontal="center" vertical="top" wrapText="1"/>
    </xf>
    <xf numFmtId="0" fontId="8" fillId="0" borderId="15" xfId="0" applyFont="1" applyBorder="1" applyAlignment="1">
      <alignment horizontal="center" vertical="top" wrapText="1"/>
    </xf>
    <xf numFmtId="0" fontId="8" fillId="0" borderId="4" xfId="0" applyFont="1" applyBorder="1" applyAlignment="1">
      <alignment horizontal="center" vertical="top" wrapText="1"/>
    </xf>
    <xf numFmtId="0" fontId="8" fillId="0" borderId="27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 wrapText="1"/>
    </xf>
    <xf numFmtId="0" fontId="8" fillId="0" borderId="6" xfId="2" applyFont="1" applyBorder="1" applyAlignment="1">
      <alignment horizontal="center" vertical="center" wrapText="1"/>
    </xf>
    <xf numFmtId="0" fontId="26" fillId="0" borderId="0" xfId="0" applyFont="1" applyAlignment="1">
      <alignment vertical="center"/>
    </xf>
    <xf numFmtId="0" fontId="26" fillId="0" borderId="0" xfId="0" applyFont="1" applyAlignment="1">
      <alignment horizontal="center" vertical="center"/>
    </xf>
    <xf numFmtId="0" fontId="78" fillId="0" borderId="1" xfId="5" applyFont="1" applyBorder="1" applyAlignment="1">
      <alignment horizontal="center" vertical="center" wrapText="1"/>
    </xf>
    <xf numFmtId="0" fontId="79" fillId="0" borderId="0" xfId="5" applyFont="1" applyFill="1" applyAlignment="1">
      <alignment vertical="center"/>
    </xf>
    <xf numFmtId="0" fontId="8" fillId="0" borderId="0" xfId="5" applyFont="1" applyFill="1" applyAlignment="1">
      <alignment vertical="center" wrapText="1"/>
    </xf>
    <xf numFmtId="0" fontId="80" fillId="0" borderId="6" xfId="5" applyFont="1" applyBorder="1" applyAlignment="1">
      <alignment vertical="center" wrapText="1"/>
    </xf>
    <xf numFmtId="0" fontId="81" fillId="0" borderId="26" xfId="5" applyFont="1" applyBorder="1" applyAlignment="1">
      <alignment vertical="center" wrapText="1"/>
    </xf>
    <xf numFmtId="14" fontId="62" fillId="0" borderId="0" xfId="1" applyNumberFormat="1" applyFont="1" applyAlignment="1">
      <alignment horizontal="right" vertical="center" wrapText="1"/>
    </xf>
    <xf numFmtId="0" fontId="0" fillId="0" borderId="0" xfId="1" applyFont="1" applyAlignment="1">
      <alignment vertical="center"/>
    </xf>
    <xf numFmtId="0" fontId="37" fillId="9" borderId="4" xfId="0" applyFont="1" applyFill="1" applyBorder="1" applyAlignment="1">
      <alignment horizontal="center" vertical="center"/>
    </xf>
    <xf numFmtId="0" fontId="23" fillId="0" borderId="4" xfId="0" applyFont="1" applyBorder="1" applyAlignment="1">
      <alignment vertical="center"/>
    </xf>
    <xf numFmtId="0" fontId="51" fillId="0" borderId="7" xfId="0" applyFont="1" applyFill="1" applyBorder="1" applyAlignment="1">
      <alignment horizontal="center" vertical="center" wrapText="1"/>
    </xf>
    <xf numFmtId="0" fontId="18" fillId="0" borderId="4" xfId="0" applyFont="1" applyBorder="1" applyAlignment="1">
      <alignment vertical="center"/>
    </xf>
    <xf numFmtId="0" fontId="7" fillId="0" borderId="29" xfId="0" applyFont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 wrapText="1"/>
    </xf>
    <xf numFmtId="0" fontId="77" fillId="9" borderId="25" xfId="0" applyFont="1" applyFill="1" applyBorder="1" applyAlignment="1">
      <alignment horizontal="left" vertical="top" wrapText="1"/>
    </xf>
    <xf numFmtId="0" fontId="77" fillId="9" borderId="1" xfId="0" applyFont="1" applyFill="1" applyBorder="1" applyAlignment="1">
      <alignment horizontal="left" vertical="top" wrapText="1"/>
    </xf>
    <xf numFmtId="0" fontId="77" fillId="9" borderId="29" xfId="0" applyFont="1" applyFill="1" applyBorder="1" applyAlignment="1">
      <alignment horizontal="left" vertical="top" wrapText="1"/>
    </xf>
    <xf numFmtId="0" fontId="8" fillId="0" borderId="6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21" fillId="0" borderId="19" xfId="0" applyFont="1" applyFill="1" applyBorder="1" applyAlignment="1">
      <alignment horizontal="center"/>
    </xf>
    <xf numFmtId="0" fontId="21" fillId="0" borderId="4" xfId="0" applyFont="1" applyFill="1" applyBorder="1" applyAlignment="1">
      <alignment horizontal="center"/>
    </xf>
    <xf numFmtId="0" fontId="21" fillId="0" borderId="20" xfId="0" applyFont="1" applyFill="1" applyBorder="1" applyAlignment="1">
      <alignment horizontal="center"/>
    </xf>
    <xf numFmtId="0" fontId="82" fillId="0" borderId="0" xfId="0" applyFont="1" applyBorder="1" applyAlignment="1">
      <alignment horizontal="left" vertical="top" wrapText="1"/>
    </xf>
    <xf numFmtId="0" fontId="77" fillId="9" borderId="7" xfId="0" applyFont="1" applyFill="1" applyBorder="1" applyAlignment="1">
      <alignment horizontal="center" vertical="center" wrapText="1"/>
    </xf>
    <xf numFmtId="0" fontId="77" fillId="9" borderId="3" xfId="0" applyFont="1" applyFill="1" applyBorder="1" applyAlignment="1">
      <alignment horizontal="left" vertical="center" wrapText="1"/>
    </xf>
    <xf numFmtId="0" fontId="77" fillId="9" borderId="3" xfId="0" applyFont="1" applyFill="1" applyBorder="1" applyAlignment="1">
      <alignment vertical="center"/>
    </xf>
    <xf numFmtId="0" fontId="77" fillId="9" borderId="3" xfId="0" applyFont="1" applyFill="1" applyBorder="1" applyAlignment="1">
      <alignment horizontal="center" vertical="center" wrapText="1"/>
    </xf>
    <xf numFmtId="0" fontId="77" fillId="9" borderId="3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64" fillId="0" borderId="3" xfId="0" applyFont="1" applyFill="1" applyBorder="1" applyAlignment="1">
      <alignment horizontal="center" vertical="center" wrapText="1"/>
    </xf>
    <xf numFmtId="0" fontId="64" fillId="0" borderId="7" xfId="0" applyFont="1" applyFill="1" applyBorder="1" applyAlignment="1">
      <alignment horizontal="center" vertical="center" wrapText="1"/>
    </xf>
    <xf numFmtId="0" fontId="64" fillId="0" borderId="3" xfId="0" applyFont="1" applyFill="1" applyBorder="1" applyAlignment="1">
      <alignment horizontal="center" vertical="center"/>
    </xf>
    <xf numFmtId="0" fontId="64" fillId="0" borderId="22" xfId="0" applyFont="1" applyFill="1" applyBorder="1" applyAlignment="1">
      <alignment horizontal="center" vertical="center" wrapText="1"/>
    </xf>
    <xf numFmtId="0" fontId="64" fillId="0" borderId="2" xfId="0" applyFont="1" applyFill="1" applyBorder="1" applyAlignment="1">
      <alignment horizontal="center" vertical="center" wrapText="1"/>
    </xf>
    <xf numFmtId="0" fontId="64" fillId="0" borderId="2" xfId="0" applyFont="1" applyBorder="1" applyAlignment="1">
      <alignment horizontal="center" vertical="center" wrapText="1"/>
    </xf>
    <xf numFmtId="0" fontId="64" fillId="0" borderId="7" xfId="0" applyFont="1" applyBorder="1" applyAlignment="1">
      <alignment horizontal="center" vertical="center" wrapText="1"/>
    </xf>
    <xf numFmtId="0" fontId="64" fillId="0" borderId="2" xfId="0" applyFont="1" applyFill="1" applyBorder="1" applyAlignment="1">
      <alignment horizontal="center" vertical="center"/>
    </xf>
    <xf numFmtId="0" fontId="64" fillId="0" borderId="0" xfId="0" applyFont="1" applyFill="1" applyBorder="1" applyAlignment="1">
      <alignment horizontal="center" vertical="center" wrapText="1"/>
    </xf>
    <xf numFmtId="0" fontId="64" fillId="0" borderId="22" xfId="0" applyFont="1" applyBorder="1" applyAlignment="1">
      <alignment horizontal="center" vertical="center" wrapText="1"/>
    </xf>
    <xf numFmtId="0" fontId="64" fillId="0" borderId="3" xfId="0" applyFont="1" applyBorder="1" applyAlignment="1">
      <alignment horizontal="center" vertical="center" wrapText="1"/>
    </xf>
    <xf numFmtId="0" fontId="64" fillId="0" borderId="28" xfId="0" applyFont="1" applyBorder="1" applyAlignment="1">
      <alignment horizontal="center" vertical="center" wrapText="1"/>
    </xf>
    <xf numFmtId="0" fontId="64" fillId="0" borderId="10" xfId="0" applyFont="1" applyBorder="1" applyAlignment="1">
      <alignment horizontal="center" vertical="center" wrapText="1"/>
    </xf>
    <xf numFmtId="0" fontId="64" fillId="0" borderId="28" xfId="0" applyFont="1" applyBorder="1" applyAlignment="1">
      <alignment horizontal="center" vertical="center"/>
    </xf>
    <xf numFmtId="0" fontId="64" fillId="0" borderId="10" xfId="0" applyFont="1" applyBorder="1" applyAlignment="1">
      <alignment horizontal="center" vertical="center"/>
    </xf>
    <xf numFmtId="0" fontId="64" fillId="0" borderId="8" xfId="0" applyFont="1" applyBorder="1" applyAlignment="1">
      <alignment horizontal="center" vertical="center" wrapText="1"/>
    </xf>
    <xf numFmtId="0" fontId="83" fillId="0" borderId="0" xfId="0" applyFont="1" applyBorder="1" applyAlignment="1">
      <alignment horizontal="left" vertical="top" wrapText="1"/>
    </xf>
    <xf numFmtId="0" fontId="84" fillId="9" borderId="27" xfId="0" applyFont="1" applyFill="1" applyBorder="1" applyAlignment="1">
      <alignment horizontal="center" vertical="center" wrapText="1"/>
    </xf>
    <xf numFmtId="0" fontId="77" fillId="9" borderId="22" xfId="0" applyFont="1" applyFill="1" applyBorder="1" applyAlignment="1">
      <alignment horizontal="center" vertical="center" wrapText="1"/>
    </xf>
    <xf numFmtId="0" fontId="77" fillId="9" borderId="2" xfId="0" applyFont="1" applyFill="1" applyBorder="1" applyAlignment="1">
      <alignment horizontal="center" vertical="center" wrapText="1"/>
    </xf>
    <xf numFmtId="0" fontId="77" fillId="9" borderId="27" xfId="0" applyFont="1" applyFill="1" applyBorder="1" applyAlignment="1">
      <alignment horizontal="center" vertical="center" wrapText="1"/>
    </xf>
    <xf numFmtId="0" fontId="77" fillId="9" borderId="7" xfId="0" applyFont="1" applyFill="1" applyBorder="1" applyAlignment="1">
      <alignment horizontal="center" vertical="center"/>
    </xf>
    <xf numFmtId="0" fontId="77" fillId="9" borderId="5" xfId="0" applyFont="1" applyFill="1" applyBorder="1" applyAlignment="1">
      <alignment horizontal="center" vertical="center" wrapText="1"/>
    </xf>
    <xf numFmtId="0" fontId="77" fillId="9" borderId="0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 wrapText="1"/>
    </xf>
    <xf numFmtId="0" fontId="64" fillId="0" borderId="7" xfId="0" applyFont="1" applyFill="1" applyBorder="1" applyAlignment="1">
      <alignment horizontal="center" vertical="center"/>
    </xf>
    <xf numFmtId="0" fontId="64" fillId="0" borderId="22" xfId="0" applyFont="1" applyFill="1" applyBorder="1" applyAlignment="1">
      <alignment horizontal="center" vertical="center"/>
    </xf>
    <xf numFmtId="0" fontId="64" fillId="0" borderId="28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3" xfId="0" applyFont="1" applyBorder="1" applyAlignment="1">
      <alignment vertical="center"/>
    </xf>
    <xf numFmtId="0" fontId="8" fillId="0" borderId="22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5" xfId="0" applyFont="1" applyBorder="1" applyAlignment="1">
      <alignment vertical="center"/>
    </xf>
    <xf numFmtId="0" fontId="8" fillId="0" borderId="37" xfId="0" applyFont="1" applyBorder="1" applyAlignment="1">
      <alignment horizontal="center" vertical="center" wrapText="1"/>
    </xf>
    <xf numFmtId="0" fontId="65" fillId="0" borderId="3" xfId="0" applyFont="1" applyFill="1" applyBorder="1" applyAlignment="1">
      <alignment horizontal="center" vertical="center" wrapText="1"/>
    </xf>
    <xf numFmtId="0" fontId="65" fillId="0" borderId="7" xfId="0" applyFont="1" applyFill="1" applyBorder="1" applyAlignment="1">
      <alignment horizontal="center" vertical="center" wrapText="1"/>
    </xf>
    <xf numFmtId="0" fontId="65" fillId="0" borderId="3" xfId="0" applyFont="1" applyFill="1" applyBorder="1" applyAlignment="1">
      <alignment horizontal="center" vertical="center"/>
    </xf>
    <xf numFmtId="0" fontId="65" fillId="0" borderId="22" xfId="0" applyFont="1" applyFill="1" applyBorder="1" applyAlignment="1">
      <alignment horizontal="center" vertical="center" wrapText="1"/>
    </xf>
    <xf numFmtId="0" fontId="65" fillId="0" borderId="2" xfId="0" applyFont="1" applyFill="1" applyBorder="1" applyAlignment="1">
      <alignment horizontal="center" vertical="center" wrapText="1"/>
    </xf>
    <xf numFmtId="0" fontId="65" fillId="0" borderId="2" xfId="0" applyFont="1" applyBorder="1" applyAlignment="1">
      <alignment horizontal="center" vertical="center" wrapText="1"/>
    </xf>
    <xf numFmtId="0" fontId="65" fillId="0" borderId="7" xfId="0" applyFont="1" applyBorder="1" applyAlignment="1">
      <alignment horizontal="center" vertical="center" wrapText="1"/>
    </xf>
    <xf numFmtId="0" fontId="77" fillId="9" borderId="2" xfId="0" applyFont="1" applyFill="1" applyBorder="1" applyAlignment="1">
      <alignment horizontal="left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64" fillId="0" borderId="0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10" fillId="0" borderId="28" xfId="0" applyFont="1" applyFill="1" applyBorder="1" applyAlignment="1">
      <alignment horizontal="center" vertical="center" wrapText="1"/>
    </xf>
    <xf numFmtId="0" fontId="83" fillId="0" borderId="0" xfId="0" applyFont="1" applyBorder="1" applyAlignment="1">
      <alignment horizontal="left" vertical="top"/>
    </xf>
    <xf numFmtId="0" fontId="85" fillId="0" borderId="0" xfId="0" applyFont="1" applyBorder="1" applyAlignment="1">
      <alignment horizontal="left" vertical="top" wrapText="1"/>
    </xf>
    <xf numFmtId="0" fontId="86" fillId="0" borderId="0" xfId="0" applyFont="1" applyBorder="1" applyAlignment="1">
      <alignment horizontal="left" vertical="top"/>
    </xf>
    <xf numFmtId="0" fontId="64" fillId="0" borderId="3" xfId="0" applyFont="1" applyFill="1" applyBorder="1" applyAlignment="1">
      <alignment vertical="center"/>
    </xf>
    <xf numFmtId="0" fontId="64" fillId="0" borderId="2" xfId="0" applyFont="1" applyBorder="1" applyAlignment="1">
      <alignment horizontal="center" vertical="center"/>
    </xf>
    <xf numFmtId="0" fontId="64" fillId="0" borderId="22" xfId="0" applyFont="1" applyBorder="1" applyAlignment="1">
      <alignment horizontal="center" vertical="center"/>
    </xf>
    <xf numFmtId="0" fontId="64" fillId="0" borderId="37" xfId="0" applyFont="1" applyBorder="1" applyAlignment="1">
      <alignment horizontal="center" vertical="center"/>
    </xf>
    <xf numFmtId="0" fontId="64" fillId="0" borderId="39" xfId="0" applyFont="1" applyBorder="1" applyAlignment="1">
      <alignment horizontal="center" vertical="center"/>
    </xf>
    <xf numFmtId="0" fontId="65" fillId="0" borderId="7" xfId="0" applyFont="1" applyFill="1" applyBorder="1" applyAlignment="1">
      <alignment horizontal="center" vertical="center"/>
    </xf>
    <xf numFmtId="0" fontId="65" fillId="0" borderId="2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65" fillId="0" borderId="22" xfId="0" applyFont="1" applyFill="1" applyBorder="1" applyAlignment="1">
      <alignment horizontal="center" vertical="center"/>
    </xf>
    <xf numFmtId="0" fontId="65" fillId="0" borderId="2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65" fillId="0" borderId="2" xfId="0" applyFont="1" applyFill="1" applyBorder="1" applyAlignment="1">
      <alignment vertical="center"/>
    </xf>
    <xf numFmtId="0" fontId="65" fillId="0" borderId="22" xfId="0" applyFont="1" applyFill="1" applyBorder="1" applyAlignment="1">
      <alignment vertical="center"/>
    </xf>
    <xf numFmtId="0" fontId="65" fillId="0" borderId="2" xfId="0" applyFont="1" applyBorder="1" applyAlignment="1">
      <alignment vertical="center"/>
    </xf>
    <xf numFmtId="0" fontId="65" fillId="0" borderId="22" xfId="0" applyFont="1" applyBorder="1" applyAlignment="1">
      <alignment vertical="center"/>
    </xf>
    <xf numFmtId="0" fontId="84" fillId="9" borderId="3" xfId="0" applyFont="1" applyFill="1" applyBorder="1" applyAlignment="1">
      <alignment horizontal="center" vertical="top" wrapText="1"/>
    </xf>
    <xf numFmtId="0" fontId="84" fillId="9" borderId="2" xfId="0" applyFont="1" applyFill="1" applyBorder="1" applyAlignment="1">
      <alignment horizontal="left" vertical="top" wrapText="1"/>
    </xf>
    <xf numFmtId="0" fontId="77" fillId="9" borderId="27" xfId="0" applyFont="1" applyFill="1" applyBorder="1" applyAlignment="1">
      <alignment horizontal="left" vertical="top" wrapText="1"/>
    </xf>
    <xf numFmtId="0" fontId="77" fillId="9" borderId="5" xfId="0" applyFont="1" applyFill="1" applyBorder="1" applyAlignment="1">
      <alignment horizontal="left" vertical="top" wrapText="1"/>
    </xf>
    <xf numFmtId="0" fontId="77" fillId="9" borderId="3" xfId="0" applyFont="1" applyFill="1" applyBorder="1" applyAlignment="1">
      <alignment horizontal="left" vertical="top" wrapText="1"/>
    </xf>
    <xf numFmtId="0" fontId="64" fillId="0" borderId="2" xfId="0" applyFont="1" applyFill="1" applyBorder="1" applyAlignment="1">
      <alignment horizontal="center" vertical="top" wrapText="1"/>
    </xf>
    <xf numFmtId="0" fontId="64" fillId="0" borderId="7" xfId="0" applyFont="1" applyFill="1" applyBorder="1" applyAlignment="1">
      <alignment horizontal="center" vertical="top" wrapText="1"/>
    </xf>
    <xf numFmtId="0" fontId="64" fillId="0" borderId="22" xfId="0" applyFont="1" applyFill="1" applyBorder="1" applyAlignment="1">
      <alignment horizontal="center" vertical="top" wrapText="1"/>
    </xf>
    <xf numFmtId="0" fontId="64" fillId="0" borderId="3" xfId="0" applyFont="1" applyFill="1" applyBorder="1" applyAlignment="1">
      <alignment horizontal="center" vertical="top" wrapText="1"/>
    </xf>
    <xf numFmtId="0" fontId="64" fillId="0" borderId="2" xfId="0" applyFont="1" applyFill="1" applyBorder="1" applyAlignment="1">
      <alignment horizontal="center"/>
    </xf>
    <xf numFmtId="0" fontId="64" fillId="0" borderId="22" xfId="0" applyFont="1" applyFill="1" applyBorder="1" applyAlignment="1">
      <alignment horizontal="center"/>
    </xf>
    <xf numFmtId="0" fontId="64" fillId="0" borderId="3" xfId="0" applyFont="1" applyFill="1" applyBorder="1" applyAlignment="1">
      <alignment horizontal="center"/>
    </xf>
    <xf numFmtId="0" fontId="64" fillId="0" borderId="2" xfId="0" applyFont="1" applyBorder="1" applyAlignment="1">
      <alignment horizontal="center"/>
    </xf>
    <xf numFmtId="0" fontId="64" fillId="0" borderId="22" xfId="0" applyFont="1" applyBorder="1" applyAlignment="1">
      <alignment horizontal="center"/>
    </xf>
    <xf numFmtId="0" fontId="64" fillId="0" borderId="3" xfId="0" applyFont="1" applyFill="1" applyBorder="1"/>
    <xf numFmtId="0" fontId="64" fillId="0" borderId="3" xfId="0" applyFont="1" applyBorder="1" applyAlignment="1">
      <alignment horizontal="center"/>
    </xf>
    <xf numFmtId="0" fontId="64" fillId="0" borderId="7" xfId="0" applyFont="1" applyBorder="1" applyAlignment="1">
      <alignment horizontal="center"/>
    </xf>
    <xf numFmtId="0" fontId="64" fillId="0" borderId="28" xfId="0" applyFont="1" applyBorder="1" applyAlignment="1">
      <alignment horizontal="center" vertical="top" wrapText="1"/>
    </xf>
    <xf numFmtId="0" fontId="64" fillId="0" borderId="10" xfId="0" applyFont="1" applyBorder="1" applyAlignment="1">
      <alignment horizontal="center" vertical="top" wrapText="1"/>
    </xf>
    <xf numFmtId="0" fontId="64" fillId="0" borderId="28" xfId="0" applyFont="1" applyBorder="1"/>
    <xf numFmtId="0" fontId="64" fillId="0" borderId="8" xfId="0" applyFont="1" applyBorder="1"/>
    <xf numFmtId="0" fontId="64" fillId="0" borderId="10" xfId="0" applyFont="1" applyBorder="1"/>
    <xf numFmtId="0" fontId="64" fillId="0" borderId="28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2" xfId="0" applyFont="1" applyFill="1" applyBorder="1" applyAlignment="1">
      <alignment horizontal="center" vertical="top" wrapText="1"/>
    </xf>
    <xf numFmtId="0" fontId="8" fillId="0" borderId="37" xfId="0" applyFont="1" applyBorder="1"/>
    <xf numFmtId="0" fontId="65" fillId="0" borderId="2" xfId="0" applyFont="1" applyFill="1" applyBorder="1" applyAlignment="1">
      <alignment horizontal="center" vertical="top" wrapText="1"/>
    </xf>
    <xf numFmtId="0" fontId="65" fillId="0" borderId="7" xfId="0" applyFont="1" applyFill="1" applyBorder="1" applyAlignment="1">
      <alignment horizontal="center" vertical="top" wrapText="1"/>
    </xf>
    <xf numFmtId="0" fontId="65" fillId="0" borderId="22" xfId="0" applyFont="1" applyFill="1" applyBorder="1" applyAlignment="1">
      <alignment horizontal="center" vertical="top" wrapText="1"/>
    </xf>
    <xf numFmtId="0" fontId="65" fillId="0" borderId="3" xfId="0" applyFont="1" applyFill="1" applyBorder="1" applyAlignment="1">
      <alignment horizontal="center" vertical="top" wrapText="1"/>
    </xf>
    <xf numFmtId="0" fontId="65" fillId="0" borderId="2" xfId="0" applyFont="1" applyFill="1" applyBorder="1" applyAlignment="1">
      <alignment horizontal="center"/>
    </xf>
    <xf numFmtId="0" fontId="65" fillId="0" borderId="22" xfId="0" applyFont="1" applyFill="1" applyBorder="1" applyAlignment="1">
      <alignment horizontal="center"/>
    </xf>
    <xf numFmtId="0" fontId="65" fillId="0" borderId="3" xfId="0" applyFont="1" applyFill="1" applyBorder="1" applyAlignment="1">
      <alignment horizontal="center"/>
    </xf>
    <xf numFmtId="0" fontId="65" fillId="0" borderId="2" xfId="0" applyFont="1" applyBorder="1" applyAlignment="1">
      <alignment horizontal="center"/>
    </xf>
    <xf numFmtId="0" fontId="65" fillId="0" borderId="22" xfId="0" applyFont="1" applyBorder="1" applyAlignment="1">
      <alignment horizontal="center"/>
    </xf>
    <xf numFmtId="0" fontId="84" fillId="9" borderId="5" xfId="0" applyFont="1" applyFill="1" applyBorder="1" applyAlignment="1">
      <alignment horizontal="center" vertical="center" wrapText="1"/>
    </xf>
    <xf numFmtId="0" fontId="77" fillId="9" borderId="27" xfId="0" applyFont="1" applyFill="1" applyBorder="1" applyAlignment="1">
      <alignment horizontal="left" vertical="center" wrapText="1"/>
    </xf>
    <xf numFmtId="0" fontId="77" fillId="9" borderId="0" xfId="0" applyFont="1" applyFill="1" applyBorder="1" applyAlignment="1">
      <alignment vertical="center"/>
    </xf>
    <xf numFmtId="0" fontId="64" fillId="0" borderId="0" xfId="0" applyFont="1" applyFill="1" applyAlignment="1">
      <alignment vertical="center"/>
    </xf>
    <xf numFmtId="0" fontId="64" fillId="0" borderId="37" xfId="0" applyFont="1" applyBorder="1" applyAlignment="1">
      <alignment horizontal="center" vertical="center" wrapText="1"/>
    </xf>
    <xf numFmtId="0" fontId="86" fillId="0" borderId="0" xfId="0" applyFont="1" applyBorder="1" applyAlignment="1">
      <alignment horizontal="left" vertical="top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64" fillId="0" borderId="0" xfId="0" applyFont="1" applyFill="1" applyBorder="1" applyAlignment="1">
      <alignment vertical="center"/>
    </xf>
    <xf numFmtId="0" fontId="64" fillId="0" borderId="0" xfId="0" applyFont="1" applyBorder="1" applyAlignment="1">
      <alignment vertical="center"/>
    </xf>
    <xf numFmtId="0" fontId="64" fillId="0" borderId="0" xfId="0" applyFont="1" applyBorder="1" applyAlignment="1">
      <alignment horizontal="center" vertical="center"/>
    </xf>
    <xf numFmtId="0" fontId="64" fillId="0" borderId="0" xfId="0" applyFont="1" applyBorder="1" applyAlignment="1">
      <alignment horizontal="center" vertical="center" wrapText="1"/>
    </xf>
    <xf numFmtId="0" fontId="77" fillId="0" borderId="0" xfId="0" applyFont="1" applyFill="1" applyBorder="1" applyAlignment="1">
      <alignment vertical="center"/>
    </xf>
    <xf numFmtId="0" fontId="77" fillId="0" borderId="0" xfId="0" applyFont="1" applyFill="1" applyBorder="1" applyAlignment="1">
      <alignment horizontal="center" vertical="center" wrapText="1"/>
    </xf>
    <xf numFmtId="0" fontId="77" fillId="0" borderId="0" xfId="0" applyFont="1" applyFill="1" applyBorder="1" applyAlignment="1">
      <alignment horizontal="left" vertical="center" wrapText="1"/>
    </xf>
    <xf numFmtId="0" fontId="77" fillId="0" borderId="0" xfId="0" applyFont="1" applyFill="1" applyBorder="1" applyAlignment="1">
      <alignment horizontal="right" vertical="center" wrapText="1"/>
    </xf>
    <xf numFmtId="0" fontId="7" fillId="0" borderId="28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64" fillId="0" borderId="37" xfId="0" applyFont="1" applyFill="1" applyBorder="1" applyAlignment="1">
      <alignment horizontal="center" vertical="center" wrapText="1"/>
    </xf>
    <xf numFmtId="0" fontId="64" fillId="0" borderId="10" xfId="0" applyFont="1" applyFill="1" applyBorder="1" applyAlignment="1">
      <alignment horizontal="center" vertical="center" wrapText="1"/>
    </xf>
    <xf numFmtId="0" fontId="64" fillId="0" borderId="28" xfId="0" applyFont="1" applyFill="1" applyBorder="1" applyAlignment="1">
      <alignment horizontal="center" vertical="center"/>
    </xf>
    <xf numFmtId="0" fontId="0" fillId="0" borderId="28" xfId="0" applyFill="1" applyBorder="1" applyAlignment="1">
      <alignment horizontal="center"/>
    </xf>
    <xf numFmtId="0" fontId="64" fillId="0" borderId="10" xfId="0" applyFont="1" applyFill="1" applyBorder="1" applyAlignment="1">
      <alignment horizontal="center" vertical="center"/>
    </xf>
    <xf numFmtId="0" fontId="64" fillId="0" borderId="0" xfId="0" applyFont="1" applyFill="1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0" fontId="8" fillId="0" borderId="3" xfId="0" applyFont="1" applyFill="1" applyBorder="1" applyAlignment="1">
      <alignment vertical="center"/>
    </xf>
    <xf numFmtId="0" fontId="8" fillId="0" borderId="5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vertical="center"/>
    </xf>
    <xf numFmtId="0" fontId="84" fillId="9" borderId="3" xfId="0" applyFont="1" applyFill="1" applyBorder="1" applyAlignment="1">
      <alignment horizontal="center" vertical="center" wrapText="1"/>
    </xf>
    <xf numFmtId="0" fontId="84" fillId="9" borderId="24" xfId="0" applyFont="1" applyFill="1" applyBorder="1" applyAlignment="1">
      <alignment horizontal="center" vertical="center"/>
    </xf>
    <xf numFmtId="0" fontId="84" fillId="9" borderId="24" xfId="0" applyFont="1" applyFill="1" applyBorder="1" applyAlignment="1">
      <alignment horizontal="center" vertical="center" wrapText="1"/>
    </xf>
    <xf numFmtId="0" fontId="64" fillId="0" borderId="26" xfId="0" applyFont="1" applyFill="1" applyBorder="1" applyAlignment="1">
      <alignment horizontal="center" vertical="center" wrapText="1"/>
    </xf>
    <xf numFmtId="0" fontId="64" fillId="0" borderId="26" xfId="0" applyFont="1" applyFill="1" applyBorder="1" applyAlignment="1">
      <alignment horizontal="center" vertical="center"/>
    </xf>
    <xf numFmtId="0" fontId="64" fillId="8" borderId="39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/>
    </xf>
    <xf numFmtId="0" fontId="77" fillId="9" borderId="5" xfId="0" applyFont="1" applyFill="1" applyBorder="1" applyAlignment="1">
      <alignment horizontal="center"/>
    </xf>
    <xf numFmtId="0" fontId="8" fillId="0" borderId="39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37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/>
    </xf>
    <xf numFmtId="0" fontId="9" fillId="0" borderId="26" xfId="0" applyFont="1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/>
    </xf>
    <xf numFmtId="0" fontId="37" fillId="2" borderId="7" xfId="0" applyFont="1" applyFill="1" applyBorder="1" applyAlignment="1">
      <alignment horizontal="center" vertical="center" wrapText="1"/>
    </xf>
    <xf numFmtId="0" fontId="77" fillId="9" borderId="15" xfId="0" applyFont="1" applyFill="1" applyBorder="1" applyAlignment="1">
      <alignment horizontal="center" vertical="top" wrapText="1"/>
    </xf>
    <xf numFmtId="0" fontId="77" fillId="9" borderId="5" xfId="0" applyFont="1" applyFill="1" applyBorder="1" applyAlignment="1">
      <alignment horizontal="center" vertical="center"/>
    </xf>
    <xf numFmtId="0" fontId="21" fillId="0" borderId="4" xfId="1" applyFont="1" applyFill="1" applyBorder="1" applyAlignment="1">
      <alignment vertical="center" wrapText="1"/>
    </xf>
    <xf numFmtId="0" fontId="3" fillId="0" borderId="4" xfId="1" applyFont="1" applyBorder="1" applyAlignment="1">
      <alignment horizontal="center" vertical="center" wrapText="1"/>
    </xf>
    <xf numFmtId="0" fontId="21" fillId="0" borderId="4" xfId="1" applyFont="1" applyBorder="1" applyAlignment="1">
      <alignment vertical="center" wrapText="1"/>
    </xf>
    <xf numFmtId="0" fontId="79" fillId="0" borderId="0" xfId="0" applyFont="1" applyFill="1"/>
    <xf numFmtId="0" fontId="8" fillId="0" borderId="0" xfId="0" applyFont="1" applyFill="1" applyAlignment="1">
      <alignment vertical="center" wrapText="1"/>
    </xf>
    <xf numFmtId="0" fontId="63" fillId="0" borderId="4" xfId="1" applyFont="1" applyFill="1" applyBorder="1" applyAlignment="1">
      <alignment vertical="center" wrapText="1"/>
    </xf>
    <xf numFmtId="0" fontId="87" fillId="0" borderId="6" xfId="5" applyFont="1" applyBorder="1" applyAlignment="1">
      <alignment horizontal="center" vertical="center" wrapText="1"/>
    </xf>
    <xf numFmtId="0" fontId="3" fillId="0" borderId="4" xfId="1" applyFont="1" applyFill="1" applyBorder="1" applyAlignment="1">
      <alignment vertical="center" wrapText="1"/>
    </xf>
    <xf numFmtId="0" fontId="63" fillId="0" borderId="4" xfId="1" applyFont="1" applyBorder="1" applyAlignment="1">
      <alignment vertical="center" wrapText="1"/>
    </xf>
    <xf numFmtId="0" fontId="61" fillId="0" borderId="4" xfId="1" applyFont="1" applyFill="1" applyBorder="1" applyAlignment="1">
      <alignment vertical="center" wrapText="1"/>
    </xf>
    <xf numFmtId="0" fontId="26" fillId="0" borderId="0" xfId="0" applyFont="1"/>
    <xf numFmtId="0" fontId="3" fillId="0" borderId="4" xfId="1" applyFont="1" applyFill="1" applyBorder="1" applyAlignment="1">
      <alignment horizontal="center" vertical="center" wrapText="1"/>
    </xf>
    <xf numFmtId="0" fontId="8" fillId="0" borderId="4" xfId="1" applyFont="1" applyBorder="1" applyAlignment="1">
      <alignment horizontal="left" vertical="center"/>
    </xf>
    <xf numFmtId="0" fontId="6" fillId="0" borderId="4" xfId="1" applyFont="1" applyBorder="1" applyAlignment="1">
      <alignment horizontal="center" vertical="center" wrapText="1"/>
    </xf>
    <xf numFmtId="0" fontId="3" fillId="0" borderId="34" xfId="1" applyFont="1" applyBorder="1" applyAlignment="1">
      <alignment horizontal="center" vertical="center" wrapText="1"/>
    </xf>
    <xf numFmtId="0" fontId="8" fillId="0" borderId="4" xfId="1" applyFont="1" applyBorder="1" applyAlignment="1">
      <alignment horizontal="left" vertical="center" wrapText="1"/>
    </xf>
    <xf numFmtId="0" fontId="19" fillId="0" borderId="4" xfId="1" applyFont="1" applyBorder="1" applyAlignment="1">
      <alignment horizontal="center" vertical="center" wrapText="1"/>
    </xf>
    <xf numFmtId="0" fontId="2" fillId="0" borderId="4" xfId="1" applyFont="1" applyFill="1" applyBorder="1" applyAlignment="1">
      <alignment horizontal="center" vertical="center" wrapText="1"/>
    </xf>
    <xf numFmtId="0" fontId="21" fillId="0" borderId="4" xfId="1" applyFont="1" applyFill="1" applyBorder="1" applyAlignment="1">
      <alignment horizontal="center" vertical="center" wrapText="1"/>
    </xf>
    <xf numFmtId="0" fontId="19" fillId="0" borderId="4" xfId="1" applyFont="1" applyBorder="1" applyAlignment="1">
      <alignment vertical="center" wrapText="1"/>
    </xf>
    <xf numFmtId="0" fontId="19" fillId="0" borderId="4" xfId="1" applyFont="1" applyFill="1" applyBorder="1" applyAlignment="1">
      <alignment vertical="center" wrapText="1"/>
    </xf>
    <xf numFmtId="0" fontId="19" fillId="0" borderId="4" xfId="1" applyFont="1" applyFill="1" applyBorder="1" applyAlignment="1">
      <alignment horizontal="center" vertical="center" wrapText="1"/>
    </xf>
    <xf numFmtId="0" fontId="21" fillId="0" borderId="34" xfId="1" applyFont="1" applyFill="1" applyBorder="1" applyAlignment="1">
      <alignment horizontal="center" vertical="center" wrapText="1"/>
    </xf>
    <xf numFmtId="0" fontId="21" fillId="0" borderId="1" xfId="1" applyFont="1" applyFill="1" applyBorder="1" applyAlignment="1">
      <alignment horizontal="center" vertical="center" wrapText="1"/>
    </xf>
    <xf numFmtId="0" fontId="21" fillId="0" borderId="15" xfId="1" applyFont="1" applyFill="1" applyBorder="1" applyAlignment="1">
      <alignment horizontal="center" vertical="center" wrapText="1"/>
    </xf>
    <xf numFmtId="0" fontId="8" fillId="0" borderId="4" xfId="1" applyFont="1" applyFill="1" applyBorder="1" applyAlignment="1">
      <alignment horizontal="left" vertical="center"/>
    </xf>
    <xf numFmtId="0" fontId="6" fillId="0" borderId="4" xfId="1" applyFont="1" applyFill="1" applyBorder="1" applyAlignment="1">
      <alignment horizontal="center" vertical="center" wrapText="1"/>
    </xf>
    <xf numFmtId="0" fontId="19" fillId="10" borderId="4" xfId="1" applyFont="1" applyFill="1" applyBorder="1" applyAlignment="1">
      <alignment horizontal="center" vertical="center" wrapText="1"/>
    </xf>
    <xf numFmtId="0" fontId="8" fillId="10" borderId="4" xfId="1" applyFont="1" applyFill="1" applyBorder="1" applyAlignment="1">
      <alignment horizontal="left" vertical="center"/>
    </xf>
    <xf numFmtId="0" fontId="21" fillId="10" borderId="4" xfId="1" applyFont="1" applyFill="1" applyBorder="1" applyAlignment="1">
      <alignment horizontal="center" vertical="center" wrapText="1"/>
    </xf>
    <xf numFmtId="0" fontId="21" fillId="10" borderId="34" xfId="1" applyFont="1" applyFill="1" applyBorder="1" applyAlignment="1">
      <alignment horizontal="center" vertical="center" wrapText="1"/>
    </xf>
    <xf numFmtId="0" fontId="21" fillId="10" borderId="15" xfId="1" applyFont="1" applyFill="1" applyBorder="1" applyAlignment="1">
      <alignment horizontal="center" vertical="center" wrapText="1"/>
    </xf>
    <xf numFmtId="49" fontId="6" fillId="0" borderId="4" xfId="1" applyNumberFormat="1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/>
    </xf>
    <xf numFmtId="0" fontId="2" fillId="0" borderId="15" xfId="1" applyFont="1" applyFill="1" applyBorder="1" applyAlignment="1">
      <alignment horizontal="center" vertical="center" wrapText="1"/>
    </xf>
    <xf numFmtId="0" fontId="2" fillId="0" borderId="15" xfId="1" applyFont="1" applyFill="1" applyBorder="1" applyAlignment="1">
      <alignment vertical="center" wrapText="1"/>
    </xf>
    <xf numFmtId="0" fontId="6" fillId="0" borderId="4" xfId="1" applyFont="1" applyBorder="1" applyAlignment="1">
      <alignment vertical="center" wrapText="1"/>
    </xf>
    <xf numFmtId="0" fontId="6" fillId="0" borderId="4" xfId="1" applyFont="1" applyFill="1" applyBorder="1" applyAlignment="1">
      <alignment vertical="center" wrapText="1"/>
    </xf>
    <xf numFmtId="0" fontId="3" fillId="0" borderId="34" xfId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3" fillId="0" borderId="15" xfId="1" applyFont="1" applyFill="1" applyBorder="1" applyAlignment="1">
      <alignment horizontal="center" vertical="center" wrapText="1"/>
    </xf>
    <xf numFmtId="0" fontId="0" fillId="0" borderId="4" xfId="1" applyFont="1" applyBorder="1" applyAlignment="1">
      <alignment horizontal="center" vertical="center"/>
    </xf>
    <xf numFmtId="0" fontId="0" fillId="0" borderId="6" xfId="0" applyFont="1" applyBorder="1" applyAlignment="1">
      <alignment vertical="center"/>
    </xf>
    <xf numFmtId="0" fontId="2" fillId="0" borderId="4" xfId="1" applyFont="1" applyBorder="1" applyAlignment="1">
      <alignment vertical="center" wrapText="1"/>
    </xf>
    <xf numFmtId="0" fontId="2" fillId="0" borderId="4" xfId="1" applyFont="1" applyFill="1" applyBorder="1" applyAlignment="1">
      <alignment vertical="center" wrapText="1"/>
    </xf>
    <xf numFmtId="0" fontId="3" fillId="0" borderId="4" xfId="1" applyFont="1" applyBorder="1" applyAlignment="1">
      <alignment vertical="center" wrapText="1"/>
    </xf>
    <xf numFmtId="0" fontId="3" fillId="0" borderId="5" xfId="1" applyFont="1" applyBorder="1" applyAlignment="1">
      <alignment vertical="center" wrapText="1"/>
    </xf>
    <xf numFmtId="0" fontId="3" fillId="0" borderId="34" xfId="1" applyFont="1" applyBorder="1" applyAlignment="1">
      <alignment vertical="center" wrapText="1"/>
    </xf>
    <xf numFmtId="0" fontId="3" fillId="0" borderId="24" xfId="1" applyFont="1" applyBorder="1" applyAlignment="1">
      <alignment vertical="center" wrapText="1"/>
    </xf>
    <xf numFmtId="0" fontId="3" fillId="0" borderId="39" xfId="1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1" xfId="1" applyFont="1" applyBorder="1" applyAlignment="1">
      <alignment vertical="center" wrapText="1"/>
    </xf>
    <xf numFmtId="0" fontId="3" fillId="0" borderId="6" xfId="1" applyFont="1" applyBorder="1" applyAlignment="1">
      <alignment vertical="center" wrapText="1"/>
    </xf>
    <xf numFmtId="0" fontId="3" fillId="0" borderId="26" xfId="1" applyFont="1" applyBorder="1" applyAlignment="1">
      <alignment vertical="center" wrapText="1"/>
    </xf>
    <xf numFmtId="0" fontId="3" fillId="0" borderId="1" xfId="1" applyFont="1" applyBorder="1" applyAlignment="1">
      <alignment horizontal="center" vertical="center" wrapText="1"/>
    </xf>
    <xf numFmtId="0" fontId="6" fillId="0" borderId="1" xfId="1" applyFont="1" applyBorder="1" applyAlignment="1">
      <alignment vertical="center" wrapText="1"/>
    </xf>
    <xf numFmtId="0" fontId="19" fillId="0" borderId="6" xfId="1" applyFont="1" applyBorder="1" applyAlignment="1">
      <alignment vertical="center" wrapText="1"/>
    </xf>
    <xf numFmtId="0" fontId="19" fillId="0" borderId="26" xfId="1" applyFont="1" applyBorder="1" applyAlignment="1">
      <alignment vertical="center" wrapText="1"/>
    </xf>
    <xf numFmtId="0" fontId="19" fillId="0" borderId="1" xfId="1" applyFont="1" applyBorder="1" applyAlignment="1">
      <alignment vertical="center" wrapText="1"/>
    </xf>
    <xf numFmtId="0" fontId="19" fillId="0" borderId="1" xfId="1" applyFont="1" applyBorder="1" applyAlignment="1">
      <alignment horizontal="center" vertical="center" wrapText="1"/>
    </xf>
    <xf numFmtId="0" fontId="6" fillId="0" borderId="6" xfId="1" applyFont="1" applyBorder="1" applyAlignment="1">
      <alignment vertical="center" wrapText="1"/>
    </xf>
    <xf numFmtId="0" fontId="6" fillId="0" borderId="26" xfId="1" applyFont="1" applyBorder="1" applyAlignment="1">
      <alignment vertical="center" wrapText="1"/>
    </xf>
    <xf numFmtId="0" fontId="6" fillId="0" borderId="1" xfId="1" applyFont="1" applyBorder="1" applyAlignment="1">
      <alignment horizontal="center" vertical="center" wrapText="1"/>
    </xf>
    <xf numFmtId="0" fontId="8" fillId="0" borderId="15" xfId="1" applyFont="1" applyBorder="1" applyAlignment="1">
      <alignment horizontal="justify" vertical="center" wrapText="1"/>
    </xf>
    <xf numFmtId="0" fontId="6" fillId="0" borderId="15" xfId="1" applyFont="1" applyBorder="1" applyAlignment="1">
      <alignment vertical="center" wrapText="1"/>
    </xf>
    <xf numFmtId="0" fontId="6" fillId="0" borderId="27" xfId="1" applyFont="1" applyBorder="1" applyAlignment="1">
      <alignment vertical="center" wrapText="1"/>
    </xf>
    <xf numFmtId="0" fontId="6" fillId="0" borderId="22" xfId="1" applyFont="1" applyBorder="1" applyAlignment="1">
      <alignment vertical="center" wrapText="1"/>
    </xf>
    <xf numFmtId="0" fontId="6" fillId="0" borderId="15" xfId="1" applyFont="1" applyBorder="1" applyAlignment="1">
      <alignment horizontal="center" vertical="center" wrapText="1"/>
    </xf>
    <xf numFmtId="0" fontId="2" fillId="0" borderId="15" xfId="1" applyFont="1" applyBorder="1" applyAlignment="1">
      <alignment vertical="center" wrapText="1"/>
    </xf>
    <xf numFmtId="0" fontId="3" fillId="0" borderId="6" xfId="1" applyFont="1" applyFill="1" applyBorder="1" applyAlignment="1">
      <alignment vertical="center" wrapText="1"/>
    </xf>
    <xf numFmtId="0" fontId="3" fillId="0" borderId="26" xfId="1" applyFont="1" applyFill="1" applyBorder="1" applyAlignment="1">
      <alignment vertical="center" wrapText="1"/>
    </xf>
    <xf numFmtId="0" fontId="3" fillId="0" borderId="1" xfId="1" applyFont="1" applyFill="1" applyBorder="1" applyAlignment="1">
      <alignment vertical="center" wrapText="1"/>
    </xf>
    <xf numFmtId="165" fontId="3" fillId="0" borderId="0" xfId="7" applyNumberFormat="1" applyFont="1" applyFill="1" applyBorder="1" applyAlignment="1">
      <alignment horizontal="center" vertical="center" wrapText="1"/>
    </xf>
    <xf numFmtId="0" fontId="21" fillId="0" borderId="6" xfId="1" applyFont="1" applyFill="1" applyBorder="1" applyAlignment="1">
      <alignment vertical="center" wrapText="1"/>
    </xf>
    <xf numFmtId="0" fontId="21" fillId="0" borderId="26" xfId="1" applyFont="1" applyFill="1" applyBorder="1" applyAlignment="1">
      <alignment vertical="center" wrapText="1"/>
    </xf>
    <xf numFmtId="0" fontId="21" fillId="0" borderId="1" xfId="1" applyFont="1" applyFill="1" applyBorder="1" applyAlignment="1">
      <alignment vertical="center" wrapText="1"/>
    </xf>
    <xf numFmtId="0" fontId="3" fillId="0" borderId="15" xfId="1" applyFont="1" applyBorder="1" applyAlignment="1">
      <alignment vertical="center" wrapText="1"/>
    </xf>
    <xf numFmtId="0" fontId="3" fillId="0" borderId="27" xfId="1" applyFont="1" applyFill="1" applyBorder="1" applyAlignment="1">
      <alignment vertical="center" wrapText="1"/>
    </xf>
    <xf numFmtId="0" fontId="3" fillId="0" borderId="22" xfId="1" applyFont="1" applyFill="1" applyBorder="1" applyAlignment="1">
      <alignment vertical="center" wrapText="1"/>
    </xf>
    <xf numFmtId="0" fontId="3" fillId="0" borderId="15" xfId="1" applyFont="1" applyFill="1" applyBorder="1" applyAlignment="1">
      <alignment vertical="center" wrapText="1"/>
    </xf>
    <xf numFmtId="0" fontId="3" fillId="0" borderId="24" xfId="1" applyFont="1" applyFill="1" applyBorder="1" applyAlignment="1">
      <alignment vertical="center" wrapText="1"/>
    </xf>
    <xf numFmtId="0" fontId="3" fillId="0" borderId="39" xfId="1" applyFont="1" applyFill="1" applyBorder="1" applyAlignment="1">
      <alignment vertical="center" wrapText="1"/>
    </xf>
    <xf numFmtId="0" fontId="3" fillId="0" borderId="34" xfId="1" applyFont="1" applyFill="1" applyBorder="1" applyAlignment="1">
      <alignment vertical="center" wrapText="1"/>
    </xf>
    <xf numFmtId="0" fontId="55" fillId="0" borderId="0" xfId="1" applyFont="1" applyFill="1" applyBorder="1" applyAlignment="1">
      <alignment horizontal="center" vertical="center" wrapText="1"/>
    </xf>
    <xf numFmtId="0" fontId="21" fillId="0" borderId="15" xfId="1" applyFont="1" applyBorder="1" applyAlignment="1">
      <alignment vertical="center" wrapText="1"/>
    </xf>
    <xf numFmtId="0" fontId="21" fillId="0" borderId="27" xfId="1" applyFont="1" applyBorder="1" applyAlignment="1">
      <alignment vertical="center" wrapText="1"/>
    </xf>
    <xf numFmtId="0" fontId="21" fillId="0" borderId="22" xfId="1" applyFont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21" fillId="0" borderId="15" xfId="1" applyFont="1" applyFill="1" applyBorder="1" applyAlignment="1">
      <alignment vertical="center" wrapText="1"/>
    </xf>
    <xf numFmtId="0" fontId="21" fillId="0" borderId="34" xfId="1" applyFont="1" applyFill="1" applyBorder="1" applyAlignment="1">
      <alignment vertical="center" wrapText="1"/>
    </xf>
    <xf numFmtId="0" fontId="21" fillId="0" borderId="24" xfId="1" applyFont="1" applyFill="1" applyBorder="1" applyAlignment="1">
      <alignment vertical="center" wrapText="1"/>
    </xf>
    <xf numFmtId="0" fontId="21" fillId="0" borderId="39" xfId="1" applyFont="1" applyFill="1" applyBorder="1" applyAlignment="1">
      <alignment vertical="center" wrapText="1"/>
    </xf>
    <xf numFmtId="0" fontId="6" fillId="0" borderId="1" xfId="1" applyFont="1" applyFill="1" applyBorder="1" applyAlignment="1">
      <alignment vertical="center" wrapText="1"/>
    </xf>
    <xf numFmtId="0" fontId="6" fillId="0" borderId="6" xfId="1" applyFont="1" applyFill="1" applyBorder="1" applyAlignment="1">
      <alignment vertical="center" wrapText="1"/>
    </xf>
    <xf numFmtId="0" fontId="6" fillId="0" borderId="26" xfId="1" applyFont="1" applyFill="1" applyBorder="1" applyAlignment="1">
      <alignment vertical="center" wrapText="1"/>
    </xf>
    <xf numFmtId="0" fontId="6" fillId="0" borderId="1" xfId="1" applyFont="1" applyFill="1" applyBorder="1" applyAlignment="1">
      <alignment horizontal="center" vertical="center" wrapText="1"/>
    </xf>
    <xf numFmtId="0" fontId="21" fillId="0" borderId="27" xfId="1" applyFont="1" applyFill="1" applyBorder="1" applyAlignment="1">
      <alignment vertical="center" wrapText="1"/>
    </xf>
    <xf numFmtId="0" fontId="21" fillId="0" borderId="22" xfId="1" applyFont="1" applyFill="1" applyBorder="1" applyAlignment="1">
      <alignment vertical="center" wrapText="1"/>
    </xf>
    <xf numFmtId="0" fontId="6" fillId="0" borderId="34" xfId="1" applyFont="1" applyFill="1" applyBorder="1" applyAlignment="1">
      <alignment vertical="center" wrapText="1"/>
    </xf>
    <xf numFmtId="0" fontId="6" fillId="0" borderId="24" xfId="1" applyFont="1" applyFill="1" applyBorder="1" applyAlignment="1">
      <alignment vertical="center" wrapText="1"/>
    </xf>
    <xf numFmtId="0" fontId="6" fillId="0" borderId="39" xfId="1" applyFont="1" applyFill="1" applyBorder="1" applyAlignment="1">
      <alignment vertical="center" wrapText="1"/>
    </xf>
    <xf numFmtId="0" fontId="6" fillId="0" borderId="34" xfId="1" applyFont="1" applyFill="1" applyBorder="1" applyAlignment="1">
      <alignment horizontal="center" vertical="center" wrapText="1"/>
    </xf>
    <xf numFmtId="0" fontId="8" fillId="0" borderId="4" xfId="1" applyFont="1" applyFill="1" applyBorder="1" applyAlignment="1">
      <alignment vertical="center" wrapText="1"/>
    </xf>
    <xf numFmtId="0" fontId="21" fillId="10" borderId="4" xfId="1" applyFont="1" applyFill="1" applyBorder="1" applyAlignment="1">
      <alignment vertical="center" wrapText="1"/>
    </xf>
    <xf numFmtId="0" fontId="0" fillId="0" borderId="6" xfId="0" applyFont="1" applyFill="1" applyBorder="1" applyAlignment="1">
      <alignment vertical="center"/>
    </xf>
    <xf numFmtId="0" fontId="19" fillId="0" borderId="6" xfId="1" applyFont="1" applyFill="1" applyBorder="1" applyAlignment="1">
      <alignment vertical="center" wrapText="1"/>
    </xf>
    <xf numFmtId="0" fontId="19" fillId="0" borderId="26" xfId="1" applyFont="1" applyFill="1" applyBorder="1" applyAlignment="1">
      <alignment vertical="center" wrapText="1"/>
    </xf>
    <xf numFmtId="0" fontId="19" fillId="0" borderId="1" xfId="1" applyFont="1" applyFill="1" applyBorder="1" applyAlignment="1">
      <alignment vertical="center" wrapText="1"/>
    </xf>
    <xf numFmtId="0" fontId="19" fillId="0" borderId="1" xfId="1" applyFont="1" applyFill="1" applyBorder="1" applyAlignment="1">
      <alignment horizontal="center" vertical="center" wrapText="1"/>
    </xf>
    <xf numFmtId="0" fontId="0" fillId="0" borderId="6" xfId="1" applyFont="1" applyFill="1" applyBorder="1" applyAlignment="1">
      <alignment vertical="center"/>
    </xf>
    <xf numFmtId="0" fontId="0" fillId="0" borderId="26" xfId="1" applyFont="1" applyFill="1" applyBorder="1" applyAlignment="1">
      <alignment vertical="center"/>
    </xf>
    <xf numFmtId="0" fontId="0" fillId="0" borderId="1" xfId="1" applyFont="1" applyFill="1" applyBorder="1" applyAlignment="1">
      <alignment vertical="center"/>
    </xf>
    <xf numFmtId="0" fontId="6" fillId="0" borderId="15" xfId="1" applyFont="1" applyFill="1" applyBorder="1" applyAlignment="1">
      <alignment vertical="center" wrapText="1"/>
    </xf>
    <xf numFmtId="0" fontId="6" fillId="0" borderId="27" xfId="1" applyFont="1" applyFill="1" applyBorder="1" applyAlignment="1">
      <alignment vertical="center" wrapText="1"/>
    </xf>
    <xf numFmtId="0" fontId="6" fillId="0" borderId="22" xfId="1" applyFont="1" applyFill="1" applyBorder="1" applyAlignment="1">
      <alignment vertical="center" wrapText="1"/>
    </xf>
    <xf numFmtId="0" fontId="6" fillId="0" borderId="15" xfId="1" applyFont="1" applyFill="1" applyBorder="1" applyAlignment="1">
      <alignment horizontal="center" vertical="center" wrapText="1"/>
    </xf>
    <xf numFmtId="0" fontId="6" fillId="0" borderId="5" xfId="1" applyFont="1" applyFill="1" applyBorder="1" applyAlignment="1">
      <alignment vertical="center" wrapText="1"/>
    </xf>
    <xf numFmtId="0" fontId="6" fillId="0" borderId="7" xfId="1" applyFont="1" applyFill="1" applyBorder="1" applyAlignment="1">
      <alignment vertical="center" wrapText="1"/>
    </xf>
    <xf numFmtId="0" fontId="0" fillId="0" borderId="0" xfId="1" applyFont="1" applyFill="1" applyAlignment="1">
      <alignment vertical="center"/>
    </xf>
    <xf numFmtId="49" fontId="6" fillId="0" borderId="7" xfId="1" applyNumberFormat="1" applyFont="1" applyFill="1" applyBorder="1" applyAlignment="1">
      <alignment horizontal="center" vertical="center" wrapText="1"/>
    </xf>
    <xf numFmtId="0" fontId="22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 vertical="center"/>
    </xf>
    <xf numFmtId="0" fontId="66" fillId="0" borderId="4" xfId="1" applyFont="1" applyBorder="1" applyAlignment="1">
      <alignment horizontal="center" vertical="center" wrapText="1"/>
    </xf>
    <xf numFmtId="0" fontId="15" fillId="0" borderId="4" xfId="1" applyFont="1" applyBorder="1" applyAlignment="1">
      <alignment horizontal="left" vertical="center"/>
    </xf>
    <xf numFmtId="0" fontId="67" fillId="0" borderId="0" xfId="0" applyFont="1" applyAlignment="1">
      <alignment vertical="center"/>
    </xf>
    <xf numFmtId="0" fontId="20" fillId="0" borderId="4" xfId="1" applyFont="1" applyBorder="1" applyAlignment="1">
      <alignment vertical="center" wrapText="1"/>
    </xf>
    <xf numFmtId="0" fontId="20" fillId="0" borderId="4" xfId="1" applyFont="1" applyBorder="1" applyAlignment="1">
      <alignment horizontal="center" vertical="center" wrapText="1"/>
    </xf>
    <xf numFmtId="0" fontId="16" fillId="0" borderId="4" xfId="1" applyFont="1" applyBorder="1" applyAlignment="1">
      <alignment horizontal="center" vertical="center"/>
    </xf>
    <xf numFmtId="0" fontId="15" fillId="0" borderId="4" xfId="1" applyFont="1" applyFill="1" applyBorder="1" applyAlignment="1">
      <alignment horizontal="left" vertical="center"/>
    </xf>
    <xf numFmtId="0" fontId="67" fillId="0" borderId="0" xfId="0" applyFont="1" applyFill="1" applyAlignment="1">
      <alignment vertical="center"/>
    </xf>
    <xf numFmtId="0" fontId="19" fillId="0" borderId="0" xfId="0" applyFont="1"/>
    <xf numFmtId="0" fontId="39" fillId="0" borderId="0" xfId="0" applyFont="1" applyAlignment="1">
      <alignment horizontal="left" vertical="center"/>
    </xf>
    <xf numFmtId="0" fontId="0" fillId="0" borderId="0" xfId="0" applyFill="1"/>
    <xf numFmtId="10" fontId="8" fillId="0" borderId="0" xfId="0" applyNumberFormat="1" applyFont="1" applyAlignment="1">
      <alignment horizontal="right"/>
    </xf>
    <xf numFmtId="0" fontId="3" fillId="0" borderId="0" xfId="1" applyFont="1" applyAlignment="1">
      <alignment horizontal="left" vertical="top"/>
    </xf>
    <xf numFmtId="0" fontId="7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0" fontId="68" fillId="0" borderId="0" xfId="0" applyFont="1" applyAlignment="1">
      <alignment vertical="top" wrapText="1"/>
    </xf>
    <xf numFmtId="0" fontId="0" fillId="0" borderId="0" xfId="0" applyFont="1" applyFill="1" applyBorder="1" applyAlignment="1">
      <alignment vertical="center"/>
    </xf>
    <xf numFmtId="0" fontId="21" fillId="0" borderId="4" xfId="1" applyFont="1" applyBorder="1" applyAlignment="1">
      <alignment horizontal="center" vertical="center" wrapText="1"/>
    </xf>
    <xf numFmtId="49" fontId="6" fillId="0" borderId="22" xfId="1" applyNumberFormat="1" applyFont="1" applyFill="1" applyBorder="1" applyAlignment="1">
      <alignment horizontal="center" vertical="center" wrapText="1"/>
    </xf>
    <xf numFmtId="49" fontId="6" fillId="0" borderId="39" xfId="1" applyNumberFormat="1" applyFont="1" applyFill="1" applyBorder="1" applyAlignment="1">
      <alignment horizontal="center" vertical="center" wrapText="1"/>
    </xf>
    <xf numFmtId="49" fontId="6" fillId="0" borderId="26" xfId="1" applyNumberFormat="1" applyFont="1" applyFill="1" applyBorder="1" applyAlignment="1">
      <alignment horizontal="center" vertical="center" wrapText="1"/>
    </xf>
    <xf numFmtId="0" fontId="21" fillId="0" borderId="34" xfId="1" applyFont="1" applyBorder="1" applyAlignment="1">
      <alignment horizontal="center" vertical="center" wrapText="1"/>
    </xf>
    <xf numFmtId="0" fontId="21" fillId="0" borderId="15" xfId="1" applyFont="1" applyBorder="1" applyAlignment="1">
      <alignment horizontal="center" vertical="center" wrapText="1"/>
    </xf>
    <xf numFmtId="0" fontId="21" fillId="0" borderId="5" xfId="1" applyFont="1" applyBorder="1" applyAlignment="1">
      <alignment vertical="center" wrapText="1"/>
    </xf>
    <xf numFmtId="0" fontId="21" fillId="0" borderId="1" xfId="1" applyFont="1" applyBorder="1" applyAlignment="1">
      <alignment horizontal="center" vertical="center" wrapText="1"/>
    </xf>
    <xf numFmtId="0" fontId="3" fillId="0" borderId="0" xfId="1" applyFont="1" applyBorder="1" applyAlignment="1">
      <alignment vertical="center"/>
    </xf>
    <xf numFmtId="0" fontId="3" fillId="0" borderId="3" xfId="1" applyFont="1" applyBorder="1" applyAlignment="1">
      <alignment vertical="center"/>
    </xf>
    <xf numFmtId="0" fontId="3" fillId="0" borderId="3" xfId="1" applyFont="1" applyBorder="1" applyAlignment="1">
      <alignment horizontal="right" vertical="center"/>
    </xf>
    <xf numFmtId="0" fontId="3" fillId="0" borderId="3" xfId="1" applyFont="1" applyBorder="1" applyAlignment="1">
      <alignment horizontal="left" vertical="center"/>
    </xf>
    <xf numFmtId="0" fontId="88" fillId="0" borderId="4" xfId="1" applyFont="1" applyFill="1" applyBorder="1" applyAlignment="1">
      <alignment horizontal="center" vertical="center" wrapText="1"/>
    </xf>
    <xf numFmtId="0" fontId="88" fillId="0" borderId="4" xfId="1" applyFont="1" applyFill="1" applyBorder="1" applyAlignment="1">
      <alignment vertical="center" wrapText="1"/>
    </xf>
    <xf numFmtId="0" fontId="89" fillId="0" borderId="4" xfId="1" applyFont="1" applyBorder="1" applyAlignment="1">
      <alignment vertical="center" wrapText="1"/>
    </xf>
    <xf numFmtId="0" fontId="89" fillId="0" borderId="4" xfId="1" applyFont="1" applyBorder="1" applyAlignment="1">
      <alignment horizontal="center" vertical="center" wrapText="1"/>
    </xf>
    <xf numFmtId="0" fontId="90" fillId="0" borderId="4" xfId="1" applyFont="1" applyFill="1" applyBorder="1" applyAlignment="1">
      <alignment horizontal="center" vertical="center" wrapText="1"/>
    </xf>
    <xf numFmtId="0" fontId="90" fillId="0" borderId="4" xfId="1" applyFont="1" applyBorder="1" applyAlignment="1">
      <alignment vertical="center" wrapText="1"/>
    </xf>
    <xf numFmtId="0" fontId="90" fillId="0" borderId="4" xfId="1" applyFont="1" applyBorder="1" applyAlignment="1">
      <alignment horizontal="center" vertical="center" wrapText="1"/>
    </xf>
    <xf numFmtId="0" fontId="19" fillId="10" borderId="4" xfId="1" applyFont="1" applyFill="1" applyBorder="1" applyAlignment="1">
      <alignment vertical="center" wrapText="1"/>
    </xf>
    <xf numFmtId="1" fontId="69" fillId="0" borderId="34" xfId="1" applyNumberFormat="1" applyFont="1" applyFill="1" applyBorder="1" applyAlignment="1">
      <alignment horizontal="center"/>
    </xf>
    <xf numFmtId="1" fontId="69" fillId="0" borderId="4" xfId="1" applyNumberFormat="1" applyFont="1" applyFill="1" applyBorder="1" applyAlignment="1">
      <alignment horizontal="center"/>
    </xf>
    <xf numFmtId="1" fontId="69" fillId="0" borderId="39" xfId="1" applyNumberFormat="1" applyFont="1" applyFill="1" applyBorder="1" applyAlignment="1">
      <alignment horizontal="center"/>
    </xf>
    <xf numFmtId="0" fontId="70" fillId="0" borderId="0" xfId="1" applyFont="1" applyFill="1" applyAlignment="1">
      <alignment horizontal="center"/>
    </xf>
    <xf numFmtId="0" fontId="70" fillId="0" borderId="0" xfId="1" applyFont="1"/>
    <xf numFmtId="1" fontId="91" fillId="0" borderId="4" xfId="0" applyNumberFormat="1" applyFont="1" applyBorder="1"/>
    <xf numFmtId="166" fontId="91" fillId="0" borderId="4" xfId="0" applyNumberFormat="1" applyFont="1" applyBorder="1"/>
    <xf numFmtId="166" fontId="91" fillId="10" borderId="4" xfId="0" applyNumberFormat="1" applyFont="1" applyFill="1" applyBorder="1" applyAlignment="1">
      <alignment horizontal="center"/>
    </xf>
    <xf numFmtId="0" fontId="71" fillId="0" borderId="0" xfId="1" applyFont="1"/>
    <xf numFmtId="166" fontId="92" fillId="10" borderId="4" xfId="0" applyNumberFormat="1" applyFont="1" applyFill="1" applyBorder="1" applyAlignment="1">
      <alignment horizontal="center"/>
    </xf>
    <xf numFmtId="0" fontId="72" fillId="0" borderId="0" xfId="1" applyFont="1"/>
    <xf numFmtId="0" fontId="73" fillId="0" borderId="0" xfId="1" applyFont="1"/>
    <xf numFmtId="1" fontId="93" fillId="0" borderId="4" xfId="0" applyNumberFormat="1" applyFont="1" applyBorder="1" applyAlignment="1">
      <alignment horizontal="left" indent="5"/>
    </xf>
    <xf numFmtId="1" fontId="93" fillId="0" borderId="4" xfId="0" applyNumberFormat="1" applyFont="1" applyBorder="1" applyAlignment="1">
      <alignment horizontal="left" indent="3"/>
    </xf>
    <xf numFmtId="0" fontId="8" fillId="0" borderId="0" xfId="1" applyFont="1"/>
    <xf numFmtId="0" fontId="7" fillId="0" borderId="0" xfId="1" applyFont="1"/>
    <xf numFmtId="1" fontId="72" fillId="0" borderId="0" xfId="0" applyNumberFormat="1" applyFont="1" applyBorder="1"/>
    <xf numFmtId="166" fontId="72" fillId="0" borderId="0" xfId="0" applyNumberFormat="1" applyFont="1" applyBorder="1" applyAlignment="1">
      <alignment horizontal="center"/>
    </xf>
    <xf numFmtId="166" fontId="72" fillId="0" borderId="0" xfId="0" applyNumberFormat="1" applyFont="1" applyBorder="1"/>
    <xf numFmtId="49" fontId="8" fillId="0" borderId="0" xfId="2" applyNumberFormat="1" applyFont="1" applyFill="1" applyAlignment="1"/>
    <xf numFmtId="1" fontId="8" fillId="0" borderId="0" xfId="2" applyNumberFormat="1" applyFont="1" applyAlignment="1">
      <alignment horizontal="left"/>
    </xf>
    <xf numFmtId="0" fontId="8" fillId="0" borderId="0" xfId="2" applyFont="1" applyAlignment="1"/>
    <xf numFmtId="49" fontId="8" fillId="0" borderId="0" xfId="2" applyNumberFormat="1" applyFont="1" applyAlignment="1"/>
    <xf numFmtId="1" fontId="8" fillId="0" borderId="0" xfId="2" applyNumberFormat="1" applyFont="1" applyAlignment="1"/>
    <xf numFmtId="1" fontId="8" fillId="0" borderId="0" xfId="2" applyNumberFormat="1" applyFont="1" applyAlignment="1">
      <alignment horizontal="center"/>
    </xf>
    <xf numFmtId="1" fontId="7" fillId="0" borderId="0" xfId="2" applyNumberFormat="1" applyFont="1" applyAlignment="1"/>
    <xf numFmtId="1" fontId="72" fillId="0" borderId="4" xfId="2" applyNumberFormat="1" applyFont="1" applyBorder="1" applyAlignment="1"/>
    <xf numFmtId="1" fontId="72" fillId="0" borderId="4" xfId="2" applyNumberFormat="1" applyFont="1" applyBorder="1" applyAlignment="1">
      <alignment horizontal="center"/>
    </xf>
    <xf numFmtId="1" fontId="72" fillId="0" borderId="5" xfId="2" applyNumberFormat="1" applyFont="1" applyBorder="1" applyAlignment="1">
      <alignment horizontal="center"/>
    </xf>
    <xf numFmtId="1" fontId="72" fillId="0" borderId="4" xfId="5" applyNumberFormat="1" applyFont="1" applyBorder="1"/>
    <xf numFmtId="166" fontId="72" fillId="0" borderId="4" xfId="5" applyNumberFormat="1" applyFont="1" applyBorder="1" applyAlignment="1">
      <alignment horizontal="center"/>
    </xf>
    <xf numFmtId="1" fontId="72" fillId="0" borderId="0" xfId="1" applyNumberFormat="1" applyFont="1" applyBorder="1" applyAlignment="1"/>
    <xf numFmtId="1" fontId="72" fillId="0" borderId="0" xfId="2" applyNumberFormat="1" applyFont="1" applyBorder="1" applyAlignment="1">
      <alignment horizontal="center"/>
    </xf>
    <xf numFmtId="167" fontId="72" fillId="0" borderId="0" xfId="2" applyNumberFormat="1" applyFont="1" applyBorder="1" applyAlignment="1">
      <alignment horizontal="center"/>
    </xf>
    <xf numFmtId="49" fontId="8" fillId="0" borderId="0" xfId="1" applyNumberFormat="1" applyFont="1"/>
    <xf numFmtId="1" fontId="7" fillId="0" borderId="0" xfId="1" applyNumberFormat="1" applyFont="1"/>
    <xf numFmtId="1" fontId="8" fillId="0" borderId="0" xfId="1" applyNumberFormat="1" applyFont="1"/>
    <xf numFmtId="1" fontId="8" fillId="0" borderId="0" xfId="1" applyNumberFormat="1" applyFont="1" applyAlignment="1">
      <alignment horizontal="center"/>
    </xf>
    <xf numFmtId="1" fontId="72" fillId="0" borderId="4" xfId="1" applyNumberFormat="1" applyFont="1" applyBorder="1"/>
    <xf numFmtId="1" fontId="72" fillId="0" borderId="4" xfId="1" applyNumberFormat="1" applyFont="1" applyBorder="1" applyAlignment="1">
      <alignment horizontal="center"/>
    </xf>
    <xf numFmtId="1" fontId="8" fillId="0" borderId="0" xfId="1" applyNumberFormat="1" applyFont="1" applyBorder="1"/>
    <xf numFmtId="1" fontId="72" fillId="0" borderId="0" xfId="1" applyNumberFormat="1" applyFont="1" applyBorder="1" applyAlignment="1">
      <alignment horizontal="center"/>
    </xf>
    <xf numFmtId="0" fontId="3" fillId="0" borderId="0" xfId="1" applyFont="1" applyFill="1" applyAlignment="1">
      <alignment horizontal="center" vertical="top" wrapText="1"/>
    </xf>
    <xf numFmtId="49" fontId="3" fillId="0" borderId="0" xfId="1" applyNumberFormat="1" applyFont="1" applyFill="1" applyAlignment="1">
      <alignment horizontal="left" vertical="top" wrapText="1"/>
    </xf>
    <xf numFmtId="0" fontId="3" fillId="0" borderId="0" xfId="1" applyFont="1" applyFill="1" applyAlignment="1">
      <alignment horizontal="left" vertical="top" wrapText="1"/>
    </xf>
    <xf numFmtId="1" fontId="8" fillId="0" borderId="2" xfId="1" applyNumberFormat="1" applyFont="1" applyBorder="1"/>
    <xf numFmtId="1" fontId="8" fillId="0" borderId="0" xfId="1" applyNumberFormat="1" applyFont="1" applyAlignment="1">
      <alignment horizontal="left"/>
    </xf>
    <xf numFmtId="1" fontId="8" fillId="0" borderId="3" xfId="1" applyNumberFormat="1" applyFont="1" applyBorder="1"/>
    <xf numFmtId="1" fontId="8" fillId="0" borderId="3" xfId="2" applyNumberFormat="1" applyFont="1" applyBorder="1" applyAlignment="1"/>
    <xf numFmtId="1" fontId="8" fillId="0" borderId="0" xfId="2" applyNumberFormat="1" applyFont="1" applyBorder="1" applyAlignment="1"/>
    <xf numFmtId="1" fontId="72" fillId="0" borderId="0" xfId="0" applyNumberFormat="1" applyFont="1" applyBorder="1" applyAlignment="1">
      <alignment horizontal="left" vertical="center" indent="2"/>
    </xf>
    <xf numFmtId="0" fontId="3" fillId="0" borderId="0" xfId="2" applyFont="1" applyBorder="1" applyAlignment="1">
      <alignment horizontal="left"/>
    </xf>
    <xf numFmtId="0" fontId="3" fillId="0" borderId="0" xfId="2" applyFont="1" applyAlignment="1">
      <alignment horizontal="left"/>
    </xf>
    <xf numFmtId="1" fontId="8" fillId="0" borderId="2" xfId="2" applyNumberFormat="1" applyFont="1" applyBorder="1" applyAlignment="1"/>
    <xf numFmtId="1" fontId="92" fillId="0" borderId="4" xfId="0" applyNumberFormat="1" applyFont="1" applyBorder="1"/>
    <xf numFmtId="166" fontId="92" fillId="0" borderId="4" xfId="0" applyNumberFormat="1" applyFont="1" applyBorder="1"/>
    <xf numFmtId="1" fontId="92" fillId="0" borderId="4" xfId="0" applyNumberFormat="1" applyFont="1" applyBorder="1" applyAlignment="1">
      <alignment horizontal="left" indent="2"/>
    </xf>
    <xf numFmtId="49" fontId="94" fillId="0" borderId="4" xfId="0" applyNumberFormat="1" applyFont="1" applyBorder="1"/>
    <xf numFmtId="1" fontId="94" fillId="0" borderId="4" xfId="0" applyNumberFormat="1" applyFont="1" applyBorder="1"/>
    <xf numFmtId="166" fontId="94" fillId="0" borderId="4" xfId="0" applyNumberFormat="1" applyFont="1" applyBorder="1"/>
    <xf numFmtId="0" fontId="8" fillId="0" borderId="1" xfId="2" applyFont="1" applyBorder="1" applyAlignment="1">
      <alignment horizontal="right" vertical="center" wrapText="1"/>
    </xf>
    <xf numFmtId="0" fontId="7" fillId="11" borderId="0" xfId="0" applyFont="1" applyFill="1" applyBorder="1" applyAlignment="1">
      <alignment horizontal="center" vertical="top"/>
    </xf>
    <xf numFmtId="0" fontId="8" fillId="0" borderId="0" xfId="0" applyFont="1" applyAlignment="1">
      <alignment vertical="center" wrapText="1"/>
    </xf>
    <xf numFmtId="0" fontId="89" fillId="0" borderId="4" xfId="1" applyFont="1" applyFill="1" applyBorder="1" applyAlignment="1">
      <alignment horizontal="center" vertical="center" wrapText="1"/>
    </xf>
    <xf numFmtId="0" fontId="104" fillId="0" borderId="0" xfId="0" applyFont="1" applyAlignment="1">
      <alignment horizontal="center"/>
    </xf>
    <xf numFmtId="0" fontId="7" fillId="0" borderId="24" xfId="0" applyFont="1" applyFill="1" applyBorder="1" applyAlignment="1">
      <alignment horizontal="center" vertical="center" wrapText="1"/>
    </xf>
    <xf numFmtId="0" fontId="64" fillId="0" borderId="39" xfId="0" applyFont="1" applyFill="1" applyBorder="1" applyAlignment="1">
      <alignment horizontal="center" vertical="center" wrapText="1"/>
    </xf>
    <xf numFmtId="0" fontId="7" fillId="0" borderId="37" xfId="0" applyFont="1" applyFill="1" applyBorder="1" applyAlignment="1">
      <alignment horizontal="center" vertical="center" wrapText="1"/>
    </xf>
    <xf numFmtId="0" fontId="64" fillId="0" borderId="37" xfId="0" applyFont="1" applyFill="1" applyBorder="1" applyAlignment="1">
      <alignment horizontal="center" vertical="center"/>
    </xf>
    <xf numFmtId="0" fontId="0" fillId="0" borderId="37" xfId="0" applyFill="1" applyBorder="1" applyAlignment="1">
      <alignment horizontal="center"/>
    </xf>
    <xf numFmtId="0" fontId="64" fillId="0" borderId="39" xfId="0" applyFont="1" applyFill="1" applyBorder="1" applyAlignment="1">
      <alignment horizontal="center" vertical="center"/>
    </xf>
    <xf numFmtId="0" fontId="84" fillId="9" borderId="2" xfId="0" applyFont="1" applyFill="1" applyBorder="1" applyAlignment="1">
      <alignment horizontal="center" vertical="center" wrapText="1"/>
    </xf>
    <xf numFmtId="0" fontId="84" fillId="9" borderId="37" xfId="0" applyFont="1" applyFill="1" applyBorder="1" applyAlignment="1">
      <alignment horizontal="center" vertical="center"/>
    </xf>
    <xf numFmtId="0" fontId="84" fillId="9" borderId="37" xfId="0" applyFont="1" applyFill="1" applyBorder="1" applyAlignment="1">
      <alignment horizontal="center" vertical="center" wrapText="1"/>
    </xf>
    <xf numFmtId="0" fontId="77" fillId="9" borderId="5" xfId="0" applyFont="1" applyFill="1" applyBorder="1" applyAlignment="1">
      <alignment horizontal="center" vertical="top"/>
    </xf>
    <xf numFmtId="0" fontId="7" fillId="0" borderId="32" xfId="0" applyFont="1" applyFill="1" applyBorder="1" applyAlignment="1">
      <alignment horizontal="center" vertical="center" textRotation="90"/>
    </xf>
    <xf numFmtId="0" fontId="8" fillId="0" borderId="31" xfId="0" applyFont="1" applyBorder="1"/>
    <xf numFmtId="0" fontId="7" fillId="0" borderId="31" xfId="0" applyFont="1" applyBorder="1"/>
    <xf numFmtId="0" fontId="7" fillId="0" borderId="35" xfId="0" applyFont="1" applyBorder="1" applyAlignment="1">
      <alignment horizontal="center"/>
    </xf>
    <xf numFmtId="0" fontId="7" fillId="0" borderId="52" xfId="0" applyFont="1" applyBorder="1" applyAlignment="1">
      <alignment horizontal="center"/>
    </xf>
    <xf numFmtId="0" fontId="7" fillId="0" borderId="52" xfId="0" applyFont="1" applyFill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52" xfId="0" applyFont="1" applyBorder="1"/>
    <xf numFmtId="0" fontId="8" fillId="0" borderId="52" xfId="0" applyFont="1" applyBorder="1" applyAlignment="1">
      <alignment horizontal="center"/>
    </xf>
    <xf numFmtId="0" fontId="7" fillId="0" borderId="55" xfId="0" applyFont="1" applyBorder="1" applyAlignment="1">
      <alignment horizontal="center"/>
    </xf>
    <xf numFmtId="0" fontId="8" fillId="0" borderId="52" xfId="0" applyFont="1" applyBorder="1"/>
    <xf numFmtId="0" fontId="8" fillId="0" borderId="52" xfId="0" applyFont="1" applyBorder="1" applyAlignment="1">
      <alignment horizontal="center" vertical="center" textRotation="90"/>
    </xf>
    <xf numFmtId="0" fontId="7" fillId="0" borderId="31" xfId="0" applyFont="1" applyFill="1" applyBorder="1" applyAlignment="1">
      <alignment horizontal="center"/>
    </xf>
    <xf numFmtId="0" fontId="7" fillId="0" borderId="20" xfId="0" applyFont="1" applyBorder="1"/>
    <xf numFmtId="0" fontId="8" fillId="0" borderId="32" xfId="0" applyFont="1" applyBorder="1"/>
    <xf numFmtId="0" fontId="7" fillId="0" borderId="30" xfId="0" applyFont="1" applyBorder="1" applyAlignment="1">
      <alignment horizontal="center"/>
    </xf>
    <xf numFmtId="0" fontId="7" fillId="0" borderId="3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 vertical="top" wrapText="1"/>
    </xf>
    <xf numFmtId="0" fontId="6" fillId="0" borderId="5" xfId="1" applyFont="1" applyFill="1" applyBorder="1" applyAlignment="1">
      <alignment horizontal="center" vertical="center" wrapText="1"/>
    </xf>
    <xf numFmtId="0" fontId="6" fillId="0" borderId="7" xfId="1" applyFont="1" applyFill="1" applyBorder="1" applyAlignment="1">
      <alignment horizontal="center" vertical="center" wrapText="1"/>
    </xf>
    <xf numFmtId="0" fontId="28" fillId="0" borderId="0" xfId="0" applyFont="1" applyBorder="1" applyAlignment="1">
      <alignment vertical="center"/>
    </xf>
    <xf numFmtId="0" fontId="77" fillId="12" borderId="5" xfId="0" applyFont="1" applyFill="1" applyBorder="1" applyAlignment="1">
      <alignment horizontal="center" vertical="top" wrapText="1"/>
    </xf>
    <xf numFmtId="0" fontId="77" fillId="12" borderId="3" xfId="0" applyFont="1" applyFill="1" applyBorder="1"/>
    <xf numFmtId="0" fontId="77" fillId="12" borderId="7" xfId="0" applyFont="1" applyFill="1" applyBorder="1" applyAlignment="1">
      <alignment horizontal="center" vertical="top" wrapText="1"/>
    </xf>
    <xf numFmtId="0" fontId="8" fillId="12" borderId="6" xfId="0" applyFont="1" applyFill="1" applyBorder="1" applyAlignment="1">
      <alignment horizontal="center" vertical="top" wrapText="1"/>
    </xf>
    <xf numFmtId="0" fontId="8" fillId="12" borderId="0" xfId="0" applyFont="1" applyFill="1" applyBorder="1"/>
    <xf numFmtId="0" fontId="8" fillId="12" borderId="7" xfId="0" applyFont="1" applyFill="1" applyBorder="1" applyAlignment="1">
      <alignment horizontal="center" vertical="top" wrapText="1"/>
    </xf>
    <xf numFmtId="0" fontId="8" fillId="12" borderId="5" xfId="0" applyFont="1" applyFill="1" applyBorder="1" applyAlignment="1">
      <alignment horizontal="center" vertical="top" wrapText="1"/>
    </xf>
    <xf numFmtId="0" fontId="8" fillId="12" borderId="3" xfId="0" applyFont="1" applyFill="1" applyBorder="1"/>
    <xf numFmtId="0" fontId="8" fillId="12" borderId="0" xfId="0" applyFont="1" applyFill="1" applyBorder="1" applyAlignment="1">
      <alignment horizontal="center"/>
    </xf>
    <xf numFmtId="0" fontId="8" fillId="12" borderId="26" xfId="0" applyFont="1" applyFill="1" applyBorder="1" applyAlignment="1">
      <alignment horizontal="center" vertical="top" wrapText="1"/>
    </xf>
    <xf numFmtId="0" fontId="52" fillId="12" borderId="5" xfId="0" applyFont="1" applyFill="1" applyBorder="1" applyAlignment="1">
      <alignment horizontal="center" vertical="top" wrapText="1"/>
    </xf>
    <xf numFmtId="0" fontId="7" fillId="12" borderId="3" xfId="0" applyFont="1" applyFill="1" applyBorder="1" applyAlignment="1">
      <alignment horizontal="center" vertical="top" wrapText="1"/>
    </xf>
    <xf numFmtId="0" fontId="58" fillId="12" borderId="7" xfId="0" applyFont="1" applyFill="1" applyBorder="1" applyAlignment="1">
      <alignment horizontal="center" vertical="top" wrapText="1"/>
    </xf>
    <xf numFmtId="0" fontId="7" fillId="12" borderId="6" xfId="0" applyFont="1" applyFill="1" applyBorder="1" applyAlignment="1">
      <alignment horizontal="center" vertical="top" wrapText="1"/>
    </xf>
    <xf numFmtId="0" fontId="7" fillId="12" borderId="0" xfId="0" applyFont="1" applyFill="1" applyBorder="1" applyAlignment="1">
      <alignment horizontal="center" vertical="top" wrapText="1"/>
    </xf>
    <xf numFmtId="0" fontId="58" fillId="12" borderId="26" xfId="0" applyFont="1" applyFill="1" applyBorder="1" applyAlignment="1">
      <alignment horizontal="center" vertical="top" wrapText="1"/>
    </xf>
    <xf numFmtId="0" fontId="7" fillId="12" borderId="5" xfId="0" applyFont="1" applyFill="1" applyBorder="1" applyAlignment="1">
      <alignment horizontal="center" vertical="top" wrapText="1"/>
    </xf>
    <xf numFmtId="0" fontId="37" fillId="12" borderId="7" xfId="0" applyFont="1" applyFill="1" applyBorder="1" applyAlignment="1">
      <alignment horizontal="center" vertical="top" wrapText="1"/>
    </xf>
    <xf numFmtId="0" fontId="7" fillId="12" borderId="38" xfId="0" applyFont="1" applyFill="1" applyBorder="1" applyAlignment="1">
      <alignment horizontal="center" vertical="top" wrapText="1"/>
    </xf>
    <xf numFmtId="0" fontId="7" fillId="12" borderId="8" xfId="0" applyFont="1" applyFill="1" applyBorder="1" applyAlignment="1">
      <alignment horizontal="center" vertical="top" wrapText="1"/>
    </xf>
    <xf numFmtId="0" fontId="7" fillId="12" borderId="12" xfId="0" applyFont="1" applyFill="1" applyBorder="1" applyAlignment="1">
      <alignment horizontal="center" vertical="top" wrapText="1"/>
    </xf>
    <xf numFmtId="0" fontId="8" fillId="12" borderId="3" xfId="0" applyFont="1" applyFill="1" applyBorder="1" applyAlignment="1">
      <alignment horizontal="center" vertical="top" wrapText="1"/>
    </xf>
    <xf numFmtId="0" fontId="8" fillId="12" borderId="27" xfId="0" applyFont="1" applyFill="1" applyBorder="1" applyAlignment="1">
      <alignment horizontal="center" vertical="top" wrapText="1"/>
    </xf>
    <xf numFmtId="0" fontId="8" fillId="12" borderId="2" xfId="0" applyFont="1" applyFill="1" applyBorder="1" applyAlignment="1">
      <alignment horizontal="center" vertical="top" wrapText="1"/>
    </xf>
    <xf numFmtId="0" fontId="8" fillId="12" borderId="22" xfId="0" applyFont="1" applyFill="1" applyBorder="1" applyAlignment="1">
      <alignment horizontal="center" vertical="top" wrapText="1"/>
    </xf>
    <xf numFmtId="0" fontId="7" fillId="12" borderId="27" xfId="0" applyFont="1" applyFill="1" applyBorder="1" applyAlignment="1">
      <alignment horizontal="center" vertical="top" wrapText="1"/>
    </xf>
    <xf numFmtId="0" fontId="7" fillId="12" borderId="2" xfId="0" applyFont="1" applyFill="1" applyBorder="1" applyAlignment="1">
      <alignment horizontal="center" vertical="top" wrapText="1"/>
    </xf>
    <xf numFmtId="0" fontId="7" fillId="12" borderId="22" xfId="0" applyFont="1" applyFill="1" applyBorder="1" applyAlignment="1">
      <alignment horizontal="center" vertical="top" wrapText="1"/>
    </xf>
    <xf numFmtId="0" fontId="7" fillId="12" borderId="7" xfId="0" applyFont="1" applyFill="1" applyBorder="1" applyAlignment="1">
      <alignment horizontal="center" vertical="top" wrapText="1"/>
    </xf>
    <xf numFmtId="0" fontId="7" fillId="12" borderId="24" xfId="0" applyFont="1" applyFill="1" applyBorder="1" applyAlignment="1">
      <alignment horizontal="center" vertical="top" wrapText="1"/>
    </xf>
    <xf numFmtId="0" fontId="7" fillId="12" borderId="37" xfId="0" applyFont="1" applyFill="1" applyBorder="1" applyAlignment="1">
      <alignment horizontal="center" vertical="top" wrapText="1"/>
    </xf>
    <xf numFmtId="0" fontId="26" fillId="0" borderId="5" xfId="0" applyFont="1" applyBorder="1" applyAlignment="1">
      <alignment horizontal="right"/>
    </xf>
    <xf numFmtId="0" fontId="26" fillId="0" borderId="21" xfId="0" applyFont="1" applyBorder="1" applyAlignment="1">
      <alignment horizontal="right"/>
    </xf>
    <xf numFmtId="0" fontId="64" fillId="0" borderId="7" xfId="0" applyFont="1" applyFill="1" applyBorder="1" applyAlignment="1">
      <alignment vertical="center"/>
    </xf>
    <xf numFmtId="0" fontId="7" fillId="0" borderId="3" xfId="0" applyFont="1" applyFill="1" applyBorder="1" applyAlignment="1">
      <alignment vertical="center"/>
    </xf>
    <xf numFmtId="0" fontId="7" fillId="0" borderId="28" xfId="0" applyFont="1" applyBorder="1" applyAlignment="1">
      <alignment horizontal="center" vertical="center"/>
    </xf>
    <xf numFmtId="0" fontId="8" fillId="0" borderId="27" xfId="0" applyFont="1" applyBorder="1" applyAlignment="1">
      <alignment vertical="center"/>
    </xf>
    <xf numFmtId="0" fontId="0" fillId="0" borderId="22" xfId="0" applyFont="1" applyBorder="1" applyAlignment="1">
      <alignment vertical="center"/>
    </xf>
    <xf numFmtId="0" fontId="0" fillId="0" borderId="15" xfId="0" applyFont="1" applyBorder="1" applyAlignment="1">
      <alignment vertical="center"/>
    </xf>
    <xf numFmtId="0" fontId="19" fillId="0" borderId="6" xfId="1" applyFont="1" applyBorder="1" applyAlignment="1">
      <alignment horizontal="left" vertical="center" wrapText="1"/>
    </xf>
    <xf numFmtId="0" fontId="19" fillId="0" borderId="26" xfId="1" applyFont="1" applyBorder="1" applyAlignment="1">
      <alignment horizontal="left" vertical="center" wrapText="1"/>
    </xf>
    <xf numFmtId="0" fontId="3" fillId="0" borderId="5" xfId="1" applyFont="1" applyFill="1" applyBorder="1" applyAlignment="1">
      <alignment horizontal="left" vertical="center" wrapText="1"/>
    </xf>
    <xf numFmtId="0" fontId="3" fillId="0" borderId="7" xfId="1" applyFont="1" applyFill="1" applyBorder="1" applyAlignment="1">
      <alignment horizontal="left" vertical="center" wrapText="1"/>
    </xf>
    <xf numFmtId="0" fontId="8" fillId="0" borderId="4" xfId="0" applyFont="1" applyBorder="1" applyAlignment="1">
      <alignment vertical="center"/>
    </xf>
    <xf numFmtId="0" fontId="16" fillId="0" borderId="4" xfId="1" applyFont="1" applyBorder="1" applyAlignment="1">
      <alignment vertical="center" wrapText="1"/>
    </xf>
    <xf numFmtId="0" fontId="16" fillId="0" borderId="4" xfId="1" applyFont="1" applyFill="1" applyBorder="1" applyAlignment="1">
      <alignment vertical="center" wrapText="1"/>
    </xf>
    <xf numFmtId="0" fontId="16" fillId="0" borderId="4" xfId="1" applyFont="1" applyFill="1" applyBorder="1" applyAlignment="1">
      <alignment horizontal="center" vertical="center" wrapText="1"/>
    </xf>
    <xf numFmtId="0" fontId="8" fillId="0" borderId="4" xfId="1" applyFont="1" applyBorder="1" applyAlignment="1">
      <alignment vertical="center" wrapText="1"/>
    </xf>
    <xf numFmtId="0" fontId="3" fillId="0" borderId="6" xfId="1" applyFont="1" applyFill="1" applyBorder="1" applyAlignment="1">
      <alignment horizontal="left" vertical="center" wrapText="1"/>
    </xf>
    <xf numFmtId="0" fontId="3" fillId="0" borderId="26" xfId="1" applyFont="1" applyFill="1" applyBorder="1" applyAlignment="1">
      <alignment horizontal="left" vertical="center" wrapText="1"/>
    </xf>
    <xf numFmtId="0" fontId="8" fillId="0" borderId="5" xfId="1" applyFont="1" applyFill="1" applyBorder="1" applyAlignment="1">
      <alignment horizontal="left" vertical="center" wrapText="1"/>
    </xf>
    <xf numFmtId="0" fontId="8" fillId="0" borderId="7" xfId="1" applyFont="1" applyFill="1" applyBorder="1" applyAlignment="1">
      <alignment horizontal="left" vertical="center" wrapText="1"/>
    </xf>
    <xf numFmtId="0" fontId="21" fillId="0" borderId="6" xfId="1" applyFont="1" applyFill="1" applyBorder="1" applyAlignment="1">
      <alignment horizontal="left" vertical="center" wrapText="1"/>
    </xf>
    <xf numFmtId="0" fontId="21" fillId="0" borderId="26" xfId="1" applyFont="1" applyFill="1" applyBorder="1" applyAlignment="1">
      <alignment horizontal="left" vertical="center" wrapText="1"/>
    </xf>
    <xf numFmtId="0" fontId="21" fillId="0" borderId="0" xfId="1" applyFont="1" applyFill="1" applyBorder="1" applyAlignment="1">
      <alignment horizontal="left" vertical="center" wrapText="1"/>
    </xf>
    <xf numFmtId="0" fontId="3" fillId="0" borderId="15" xfId="1" applyFont="1" applyBorder="1" applyAlignment="1">
      <alignment horizontal="center" vertical="center" wrapText="1"/>
    </xf>
    <xf numFmtId="0" fontId="8" fillId="0" borderId="15" xfId="1" applyFont="1" applyFill="1" applyBorder="1" applyAlignment="1">
      <alignment horizontal="left" vertical="center"/>
    </xf>
    <xf numFmtId="0" fontId="21" fillId="0" borderId="15" xfId="1" applyFont="1" applyFill="1" applyBorder="1" applyAlignment="1">
      <alignment horizontal="left" vertical="center" wrapText="1"/>
    </xf>
    <xf numFmtId="0" fontId="19" fillId="0" borderId="0" xfId="1" applyFont="1" applyFill="1" applyBorder="1" applyAlignment="1">
      <alignment horizontal="left" vertical="center" wrapText="1"/>
    </xf>
    <xf numFmtId="0" fontId="19" fillId="0" borderId="0" xfId="1" applyFont="1" applyFill="1" applyBorder="1" applyAlignment="1">
      <alignment horizontal="center" vertical="center" wrapText="1"/>
    </xf>
    <xf numFmtId="0" fontId="19" fillId="0" borderId="39" xfId="1" applyFont="1" applyBorder="1" applyAlignment="1">
      <alignment vertical="center" wrapText="1"/>
    </xf>
    <xf numFmtId="0" fontId="0" fillId="0" borderId="26" xfId="0" applyFont="1" applyFill="1" applyBorder="1" applyAlignment="1">
      <alignment vertical="center"/>
    </xf>
    <xf numFmtId="0" fontId="19" fillId="0" borderId="39" xfId="1" applyFont="1" applyFill="1" applyBorder="1" applyAlignment="1">
      <alignment horizontal="left" vertical="center" wrapText="1"/>
    </xf>
    <xf numFmtId="0" fontId="19" fillId="0" borderId="34" xfId="1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/>
    </xf>
    <xf numFmtId="0" fontId="21" fillId="12" borderId="4" xfId="1" applyFont="1" applyFill="1" applyBorder="1" applyAlignment="1">
      <alignment vertical="center" wrapText="1"/>
    </xf>
    <xf numFmtId="0" fontId="3" fillId="12" borderId="4" xfId="1" applyFont="1" applyFill="1" applyBorder="1" applyAlignment="1">
      <alignment horizontal="center" vertical="center" wrapText="1"/>
    </xf>
    <xf numFmtId="0" fontId="8" fillId="12" borderId="4" xfId="1" applyFont="1" applyFill="1" applyBorder="1" applyAlignment="1">
      <alignment horizontal="left" vertical="center"/>
    </xf>
    <xf numFmtId="0" fontId="3" fillId="12" borderId="4" xfId="1" applyFont="1" applyFill="1" applyBorder="1" applyAlignment="1">
      <alignment vertical="center" wrapText="1"/>
    </xf>
    <xf numFmtId="0" fontId="8" fillId="0" borderId="1" xfId="1" applyFont="1" applyFill="1" applyBorder="1" applyAlignment="1">
      <alignment horizontal="left" vertical="center"/>
    </xf>
    <xf numFmtId="0" fontId="8" fillId="12" borderId="1" xfId="1" applyFont="1" applyFill="1" applyBorder="1" applyAlignment="1">
      <alignment horizontal="left" vertical="center"/>
    </xf>
    <xf numFmtId="0" fontId="6" fillId="12" borderId="15" xfId="1" applyFont="1" applyFill="1" applyBorder="1" applyAlignment="1">
      <alignment vertical="center" wrapText="1"/>
    </xf>
    <xf numFmtId="0" fontId="3" fillId="12" borderId="15" xfId="1" applyFont="1" applyFill="1" applyBorder="1" applyAlignment="1">
      <alignment horizontal="center" vertical="center" wrapText="1"/>
    </xf>
    <xf numFmtId="0" fontId="19" fillId="0" borderId="27" xfId="1" applyFont="1" applyFill="1" applyBorder="1" applyAlignment="1">
      <alignment vertical="center" wrapText="1"/>
    </xf>
    <xf numFmtId="0" fontId="19" fillId="0" borderId="22" xfId="1" applyFont="1" applyFill="1" applyBorder="1" applyAlignment="1">
      <alignment vertical="center" wrapText="1"/>
    </xf>
    <xf numFmtId="0" fontId="19" fillId="0" borderId="15" xfId="1" applyFont="1" applyFill="1" applyBorder="1" applyAlignment="1">
      <alignment vertical="center" wrapText="1"/>
    </xf>
    <xf numFmtId="0" fontId="19" fillId="0" borderId="15" xfId="1" applyFont="1" applyFill="1" applyBorder="1" applyAlignment="1">
      <alignment horizontal="center" vertical="center" wrapText="1"/>
    </xf>
    <xf numFmtId="1" fontId="6" fillId="0" borderId="4" xfId="1" applyNumberFormat="1" applyFont="1" applyFill="1" applyBorder="1" applyAlignment="1">
      <alignment horizontal="center" vertical="center" wrapText="1"/>
    </xf>
    <xf numFmtId="0" fontId="16" fillId="0" borderId="1" xfId="1" applyFont="1" applyBorder="1" applyAlignment="1">
      <alignment vertical="center" wrapText="1"/>
    </xf>
    <xf numFmtId="0" fontId="16" fillId="0" borderId="6" xfId="1" applyFont="1" applyFill="1" applyBorder="1" applyAlignment="1">
      <alignment horizontal="left" vertical="center" wrapText="1"/>
    </xf>
    <xf numFmtId="0" fontId="16" fillId="0" borderId="26" xfId="1" applyFont="1" applyFill="1" applyBorder="1" applyAlignment="1">
      <alignment horizontal="left" vertical="center" wrapText="1"/>
    </xf>
    <xf numFmtId="0" fontId="16" fillId="0" borderId="1" xfId="1" applyFont="1" applyFill="1" applyBorder="1" applyAlignment="1">
      <alignment vertical="center" wrapText="1"/>
    </xf>
    <xf numFmtId="0" fontId="16" fillId="0" borderId="1" xfId="1" applyFont="1" applyFill="1" applyBorder="1" applyAlignment="1">
      <alignment horizontal="center" vertical="center" wrapText="1"/>
    </xf>
    <xf numFmtId="0" fontId="6" fillId="0" borderId="4" xfId="1" applyNumberFormat="1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21" fillId="0" borderId="5" xfId="1" applyFont="1" applyFill="1" applyBorder="1" applyAlignment="1">
      <alignment horizontal="left" vertical="center" wrapText="1"/>
    </xf>
    <xf numFmtId="0" fontId="21" fillId="0" borderId="7" xfId="1" applyFont="1" applyFill="1" applyBorder="1" applyAlignment="1">
      <alignment horizontal="left" vertical="center" wrapText="1"/>
    </xf>
    <xf numFmtId="1" fontId="2" fillId="0" borderId="4" xfId="1" applyNumberFormat="1" applyFont="1" applyFill="1" applyBorder="1" applyAlignment="1">
      <alignment horizontal="center" vertical="center" wrapText="1"/>
    </xf>
    <xf numFmtId="1" fontId="19" fillId="0" borderId="4" xfId="1" applyNumberFormat="1" applyFont="1" applyBorder="1" applyAlignment="1">
      <alignment horizontal="center" vertical="center" wrapText="1"/>
    </xf>
    <xf numFmtId="1" fontId="3" fillId="0" borderId="4" xfId="1" applyNumberFormat="1" applyFont="1" applyBorder="1" applyAlignment="1">
      <alignment horizontal="center" vertical="center" wrapText="1"/>
    </xf>
    <xf numFmtId="1" fontId="3" fillId="0" borderId="34" xfId="1" applyNumberFormat="1" applyFont="1" applyBorder="1" applyAlignment="1">
      <alignment horizontal="center" vertical="center" wrapText="1"/>
    </xf>
    <xf numFmtId="1" fontId="8" fillId="0" borderId="4" xfId="1" applyNumberFormat="1" applyFont="1" applyBorder="1" applyAlignment="1">
      <alignment horizontal="center" vertical="center" wrapText="1"/>
    </xf>
    <xf numFmtId="1" fontId="16" fillId="0" borderId="4" xfId="1" applyNumberFormat="1" applyFont="1" applyBorder="1" applyAlignment="1">
      <alignment horizontal="center" vertical="center" wrapText="1"/>
    </xf>
    <xf numFmtId="1" fontId="0" fillId="0" borderId="4" xfId="1" applyNumberFormat="1" applyFont="1" applyBorder="1" applyAlignment="1">
      <alignment vertical="center"/>
    </xf>
    <xf numFmtId="1" fontId="0" fillId="0" borderId="1" xfId="1" applyNumberFormat="1" applyFont="1" applyBorder="1" applyAlignment="1">
      <alignment vertical="center"/>
    </xf>
    <xf numFmtId="1" fontId="0" fillId="0" borderId="15" xfId="1" applyNumberFormat="1" applyFont="1" applyBorder="1" applyAlignment="1">
      <alignment vertical="center"/>
    </xf>
    <xf numFmtId="1" fontId="2" fillId="0" borderId="15" xfId="1" applyNumberFormat="1" applyFont="1" applyFill="1" applyBorder="1" applyAlignment="1">
      <alignment horizontal="center" vertical="center" wrapText="1"/>
    </xf>
    <xf numFmtId="1" fontId="20" fillId="0" borderId="4" xfId="1" applyNumberFormat="1" applyFont="1" applyFill="1" applyBorder="1" applyAlignment="1">
      <alignment horizontal="center" vertical="center" wrapText="1"/>
    </xf>
    <xf numFmtId="1" fontId="3" fillId="0" borderId="4" xfId="1" applyNumberFormat="1" applyFont="1" applyFill="1" applyBorder="1" applyAlignment="1">
      <alignment horizontal="center" vertical="center" wrapText="1"/>
    </xf>
    <xf numFmtId="1" fontId="8" fillId="0" borderId="4" xfId="1" applyNumberFormat="1" applyFont="1" applyFill="1" applyBorder="1" applyAlignment="1">
      <alignment horizontal="center" vertical="center" wrapText="1"/>
    </xf>
    <xf numFmtId="1" fontId="21" fillId="0" borderId="4" xfId="1" applyNumberFormat="1" applyFont="1" applyFill="1" applyBorder="1" applyAlignment="1">
      <alignment horizontal="center" vertical="center" wrapText="1"/>
    </xf>
    <xf numFmtId="1" fontId="8" fillId="0" borderId="4" xfId="0" applyNumberFormat="1" applyFont="1" applyBorder="1" applyAlignment="1">
      <alignment horizontal="center" vertical="center"/>
    </xf>
    <xf numFmtId="1" fontId="16" fillId="0" borderId="4" xfId="1" applyNumberFormat="1" applyFont="1" applyFill="1" applyBorder="1" applyAlignment="1">
      <alignment horizontal="center" vertical="center" wrapText="1"/>
    </xf>
    <xf numFmtId="1" fontId="19" fillId="0" borderId="4" xfId="1" applyNumberFormat="1" applyFont="1" applyFill="1" applyBorder="1" applyAlignment="1">
      <alignment horizontal="center" vertical="center" wrapText="1"/>
    </xf>
    <xf numFmtId="1" fontId="21" fillId="0" borderId="15" xfId="1" applyNumberFormat="1" applyFont="1" applyFill="1" applyBorder="1" applyAlignment="1">
      <alignment horizontal="center" vertical="center" wrapText="1"/>
    </xf>
    <xf numFmtId="1" fontId="3" fillId="0" borderId="1" xfId="1" applyNumberFormat="1" applyFont="1" applyFill="1" applyBorder="1" applyAlignment="1">
      <alignment horizontal="center" vertical="center" wrapText="1"/>
    </xf>
    <xf numFmtId="1" fontId="3" fillId="12" borderId="4" xfId="1" applyNumberFormat="1" applyFont="1" applyFill="1" applyBorder="1" applyAlignment="1">
      <alignment horizontal="center" vertical="center" wrapText="1"/>
    </xf>
    <xf numFmtId="1" fontId="21" fillId="12" borderId="4" xfId="1" applyNumberFormat="1" applyFont="1" applyFill="1" applyBorder="1" applyAlignment="1">
      <alignment horizontal="center" vertical="center" wrapText="1"/>
    </xf>
    <xf numFmtId="1" fontId="6" fillId="0" borderId="34" xfId="1" applyNumberFormat="1" applyFont="1" applyFill="1" applyBorder="1" applyAlignment="1">
      <alignment horizontal="center" vertical="center" wrapText="1"/>
    </xf>
    <xf numFmtId="1" fontId="19" fillId="0" borderId="34" xfId="1" applyNumberFormat="1" applyFont="1" applyFill="1" applyBorder="1" applyAlignment="1">
      <alignment horizontal="center" vertical="center" wrapText="1"/>
    </xf>
    <xf numFmtId="1" fontId="6" fillId="12" borderId="15" xfId="1" applyNumberFormat="1" applyFont="1" applyFill="1" applyBorder="1" applyAlignment="1">
      <alignment horizontal="center" vertical="center" wrapText="1"/>
    </xf>
    <xf numFmtId="0" fontId="30" fillId="0" borderId="14" xfId="0" applyNumberFormat="1" applyFont="1" applyBorder="1" applyAlignment="1">
      <alignment horizontal="center" vertical="center"/>
    </xf>
    <xf numFmtId="0" fontId="30" fillId="0" borderId="29" xfId="0" applyFont="1" applyBorder="1" applyAlignment="1">
      <alignment horizontal="center" vertical="center"/>
    </xf>
    <xf numFmtId="0" fontId="34" fillId="0" borderId="56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21" fillId="0" borderId="7" xfId="0" applyFont="1" applyFill="1" applyBorder="1" applyAlignment="1">
      <alignment horizontal="center"/>
    </xf>
    <xf numFmtId="0" fontId="21" fillId="0" borderId="44" xfId="0" applyFont="1" applyFill="1" applyBorder="1" applyAlignment="1">
      <alignment horizontal="center"/>
    </xf>
    <xf numFmtId="0" fontId="21" fillId="0" borderId="23" xfId="0" applyFont="1" applyFill="1" applyBorder="1" applyAlignment="1">
      <alignment horizontal="center"/>
    </xf>
    <xf numFmtId="0" fontId="21" fillId="0" borderId="10" xfId="0" applyFont="1" applyFill="1" applyBorder="1" applyAlignment="1">
      <alignment horizontal="center"/>
    </xf>
    <xf numFmtId="0" fontId="21" fillId="0" borderId="33" xfId="0" applyFont="1" applyFill="1" applyBorder="1" applyAlignment="1">
      <alignment horizontal="center"/>
    </xf>
    <xf numFmtId="0" fontId="14" fillId="0" borderId="3" xfId="0" applyFont="1" applyBorder="1" applyAlignment="1">
      <alignment horizontal="left"/>
    </xf>
    <xf numFmtId="0" fontId="26" fillId="0" borderId="3" xfId="0" applyFont="1" applyBorder="1" applyAlignment="1">
      <alignment horizontal="left" vertical="center"/>
    </xf>
    <xf numFmtId="0" fontId="67" fillId="0" borderId="0" xfId="0" applyFont="1" applyBorder="1" applyAlignment="1">
      <alignment vertical="center"/>
    </xf>
    <xf numFmtId="0" fontId="19" fillId="0" borderId="0" xfId="1" applyFont="1" applyBorder="1" applyAlignment="1">
      <alignment vertical="center" wrapText="1"/>
    </xf>
    <xf numFmtId="0" fontId="16" fillId="0" borderId="0" xfId="1" applyFont="1" applyBorder="1" applyAlignment="1">
      <alignment horizontal="center" vertical="center" wrapText="1"/>
    </xf>
    <xf numFmtId="0" fontId="3" fillId="0" borderId="0" xfId="1" applyFont="1" applyBorder="1" applyAlignment="1">
      <alignment horizontal="center" vertical="center" wrapText="1"/>
    </xf>
    <xf numFmtId="0" fontId="6" fillId="0" borderId="0" xfId="1" applyFont="1" applyBorder="1" applyAlignment="1">
      <alignment vertical="center" wrapText="1"/>
    </xf>
    <xf numFmtId="0" fontId="8" fillId="0" borderId="0" xfId="1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49" fontId="3" fillId="0" borderId="0" xfId="0" applyNumberFormat="1" applyFont="1" applyBorder="1" applyAlignment="1">
      <alignment vertical="center" wrapText="1"/>
    </xf>
    <xf numFmtId="0" fontId="0" fillId="0" borderId="0" xfId="0"/>
    <xf numFmtId="0" fontId="0" fillId="0" borderId="0" xfId="0"/>
    <xf numFmtId="0" fontId="1" fillId="0" borderId="0" xfId="1"/>
    <xf numFmtId="0" fontId="1" fillId="0" borderId="0" xfId="2"/>
    <xf numFmtId="0" fontId="76" fillId="0" borderId="0" xfId="5"/>
    <xf numFmtId="0" fontId="0" fillId="0" borderId="0" xfId="0"/>
    <xf numFmtId="0" fontId="0" fillId="0" borderId="0" xfId="0"/>
    <xf numFmtId="0" fontId="0" fillId="0" borderId="0" xfId="0"/>
    <xf numFmtId="0" fontId="108" fillId="0" borderId="49" xfId="0" applyFont="1" applyBorder="1" applyAlignment="1">
      <alignment horizontal="center" vertical="center" wrapText="1"/>
    </xf>
    <xf numFmtId="0" fontId="108" fillId="0" borderId="36" xfId="0" applyFont="1" applyBorder="1" applyAlignment="1">
      <alignment horizontal="center" vertical="center" wrapText="1"/>
    </xf>
    <xf numFmtId="0" fontId="108" fillId="0" borderId="50" xfId="0" applyFont="1" applyBorder="1" applyAlignment="1">
      <alignment horizontal="center" vertical="center" wrapText="1"/>
    </xf>
    <xf numFmtId="0" fontId="108" fillId="0" borderId="6" xfId="0" applyFont="1" applyBorder="1" applyAlignment="1">
      <alignment horizontal="center" vertical="center" wrapText="1"/>
    </xf>
    <xf numFmtId="0" fontId="108" fillId="0" borderId="0" xfId="0" applyFont="1" applyBorder="1" applyAlignment="1">
      <alignment horizontal="center" vertical="center" wrapText="1"/>
    </xf>
    <xf numFmtId="0" fontId="108" fillId="0" borderId="26" xfId="0" applyFont="1" applyBorder="1" applyAlignment="1">
      <alignment horizontal="center" vertical="center" wrapText="1"/>
    </xf>
    <xf numFmtId="0" fontId="108" fillId="0" borderId="27" xfId="0" applyFont="1" applyBorder="1" applyAlignment="1">
      <alignment horizontal="center" vertical="center" wrapText="1"/>
    </xf>
    <xf numFmtId="0" fontId="108" fillId="0" borderId="2" xfId="0" applyFont="1" applyBorder="1" applyAlignment="1">
      <alignment horizontal="center" vertical="center" wrapText="1"/>
    </xf>
    <xf numFmtId="0" fontId="108" fillId="0" borderId="22" xfId="0" applyFont="1" applyBorder="1" applyAlignment="1">
      <alignment horizontal="center" vertical="center" wrapText="1"/>
    </xf>
    <xf numFmtId="0" fontId="98" fillId="0" borderId="49" xfId="0" applyFont="1" applyBorder="1" applyAlignment="1">
      <alignment horizontal="center" vertical="center" wrapText="1"/>
    </xf>
    <xf numFmtId="0" fontId="98" fillId="0" borderId="36" xfId="0" applyFont="1" applyBorder="1" applyAlignment="1">
      <alignment horizontal="center" vertical="center" wrapText="1"/>
    </xf>
    <xf numFmtId="0" fontId="98" fillId="0" borderId="50" xfId="0" applyFont="1" applyBorder="1" applyAlignment="1">
      <alignment horizontal="center" vertical="center" wrapText="1"/>
    </xf>
    <xf numFmtId="0" fontId="98" fillId="0" borderId="6" xfId="0" applyFont="1" applyBorder="1" applyAlignment="1">
      <alignment horizontal="center" vertical="center" wrapText="1"/>
    </xf>
    <xf numFmtId="0" fontId="98" fillId="0" borderId="0" xfId="0" applyFont="1" applyBorder="1" applyAlignment="1">
      <alignment horizontal="center" vertical="center" wrapText="1"/>
    </xf>
    <xf numFmtId="0" fontId="98" fillId="0" borderId="26" xfId="0" applyFont="1" applyBorder="1" applyAlignment="1">
      <alignment horizontal="center" vertical="center" wrapText="1"/>
    </xf>
    <xf numFmtId="0" fontId="98" fillId="0" borderId="27" xfId="0" applyFont="1" applyBorder="1" applyAlignment="1">
      <alignment horizontal="center" vertical="center" wrapText="1"/>
    </xf>
    <xf numFmtId="0" fontId="98" fillId="0" borderId="2" xfId="0" applyFont="1" applyBorder="1" applyAlignment="1">
      <alignment horizontal="center" vertical="center" wrapText="1"/>
    </xf>
    <xf numFmtId="0" fontId="98" fillId="0" borderId="22" xfId="0" applyFont="1" applyBorder="1" applyAlignment="1">
      <alignment horizontal="center" vertical="center" wrapText="1"/>
    </xf>
    <xf numFmtId="0" fontId="95" fillId="0" borderId="49" xfId="0" applyFont="1" applyBorder="1" applyAlignment="1">
      <alignment horizontal="center" vertical="center" wrapText="1"/>
    </xf>
    <xf numFmtId="0" fontId="95" fillId="0" borderId="36" xfId="0" applyFont="1" applyBorder="1" applyAlignment="1">
      <alignment horizontal="center" vertical="center" wrapText="1"/>
    </xf>
    <xf numFmtId="0" fontId="95" fillId="0" borderId="50" xfId="0" applyFont="1" applyBorder="1" applyAlignment="1">
      <alignment horizontal="center" vertical="center" wrapText="1"/>
    </xf>
    <xf numFmtId="0" fontId="95" fillId="0" borderId="6" xfId="0" applyFont="1" applyBorder="1" applyAlignment="1">
      <alignment horizontal="center" vertical="center" wrapText="1"/>
    </xf>
    <xf numFmtId="0" fontId="95" fillId="0" borderId="0" xfId="0" applyFont="1" applyBorder="1" applyAlignment="1">
      <alignment horizontal="center" vertical="center" wrapText="1"/>
    </xf>
    <xf numFmtId="0" fontId="95" fillId="0" borderId="26" xfId="0" applyFont="1" applyBorder="1" applyAlignment="1">
      <alignment horizontal="center" vertical="center" wrapText="1"/>
    </xf>
    <xf numFmtId="0" fontId="95" fillId="0" borderId="27" xfId="0" applyFont="1" applyBorder="1" applyAlignment="1">
      <alignment horizontal="center" vertical="center" wrapText="1"/>
    </xf>
    <xf numFmtId="0" fontId="95" fillId="0" borderId="2" xfId="0" applyFont="1" applyBorder="1" applyAlignment="1">
      <alignment horizontal="center" vertical="center" wrapText="1"/>
    </xf>
    <xf numFmtId="0" fontId="95" fillId="0" borderId="22" xfId="0" applyFont="1" applyBorder="1" applyAlignment="1">
      <alignment horizontal="center" vertical="center" wrapText="1"/>
    </xf>
    <xf numFmtId="0" fontId="8" fillId="12" borderId="46" xfId="0" applyFont="1" applyFill="1" applyBorder="1" applyAlignment="1">
      <alignment horizontal="left" vertical="top" wrapText="1"/>
    </xf>
    <xf numFmtId="0" fontId="8" fillId="12" borderId="47" xfId="0" applyFont="1" applyFill="1" applyBorder="1" applyAlignment="1">
      <alignment horizontal="left" vertical="top" wrapText="1"/>
    </xf>
    <xf numFmtId="0" fontId="8" fillId="12" borderId="48" xfId="0" applyFont="1" applyFill="1" applyBorder="1" applyAlignment="1">
      <alignment horizontal="left" vertical="top" wrapText="1"/>
    </xf>
    <xf numFmtId="0" fontId="8" fillId="12" borderId="6" xfId="0" applyFont="1" applyFill="1" applyBorder="1" applyAlignment="1">
      <alignment horizontal="left" vertical="top" wrapText="1"/>
    </xf>
    <xf numFmtId="0" fontId="8" fillId="12" borderId="0" xfId="0" applyFont="1" applyFill="1" applyBorder="1" applyAlignment="1">
      <alignment horizontal="left" vertical="top" wrapText="1"/>
    </xf>
    <xf numFmtId="0" fontId="8" fillId="12" borderId="26" xfId="0" applyFont="1" applyFill="1" applyBorder="1" applyAlignment="1">
      <alignment horizontal="left" vertical="top" wrapText="1"/>
    </xf>
    <xf numFmtId="0" fontId="8" fillId="12" borderId="27" xfId="0" applyFont="1" applyFill="1" applyBorder="1" applyAlignment="1">
      <alignment horizontal="left" vertical="top" wrapText="1"/>
    </xf>
    <xf numFmtId="0" fontId="8" fillId="12" borderId="2" xfId="0" applyFont="1" applyFill="1" applyBorder="1" applyAlignment="1">
      <alignment horizontal="left" vertical="top" wrapText="1"/>
    </xf>
    <xf numFmtId="0" fontId="8" fillId="12" borderId="22" xfId="0" applyFont="1" applyFill="1" applyBorder="1" applyAlignment="1">
      <alignment horizontal="left" vertical="top" wrapText="1"/>
    </xf>
    <xf numFmtId="0" fontId="97" fillId="0" borderId="49" xfId="0" applyFont="1" applyBorder="1" applyAlignment="1">
      <alignment horizontal="center" vertical="center" wrapText="1"/>
    </xf>
    <xf numFmtId="0" fontId="97" fillId="0" borderId="36" xfId="0" applyFont="1" applyBorder="1" applyAlignment="1">
      <alignment horizontal="center" vertical="center" wrapText="1"/>
    </xf>
    <xf numFmtId="0" fontId="97" fillId="0" borderId="50" xfId="0" applyFont="1" applyBorder="1" applyAlignment="1">
      <alignment horizontal="center" vertical="center" wrapText="1"/>
    </xf>
    <xf numFmtId="0" fontId="97" fillId="0" borderId="6" xfId="0" applyFont="1" applyBorder="1" applyAlignment="1">
      <alignment horizontal="center" vertical="center" wrapText="1"/>
    </xf>
    <xf numFmtId="0" fontId="97" fillId="0" borderId="0" xfId="0" applyFont="1" applyBorder="1" applyAlignment="1">
      <alignment horizontal="center" vertical="center" wrapText="1"/>
    </xf>
    <xf numFmtId="0" fontId="97" fillId="0" borderId="26" xfId="0" applyFont="1" applyBorder="1" applyAlignment="1">
      <alignment horizontal="center" vertical="center" wrapText="1"/>
    </xf>
    <xf numFmtId="0" fontId="97" fillId="0" borderId="27" xfId="0" applyFont="1" applyBorder="1" applyAlignment="1">
      <alignment horizontal="center" vertical="center" wrapText="1"/>
    </xf>
    <xf numFmtId="0" fontId="97" fillId="0" borderId="2" xfId="0" applyFont="1" applyBorder="1" applyAlignment="1">
      <alignment horizontal="center" vertical="center" wrapText="1"/>
    </xf>
    <xf numFmtId="0" fontId="97" fillId="0" borderId="22" xfId="0" applyFont="1" applyBorder="1" applyAlignment="1">
      <alignment horizontal="center" vertical="center" wrapText="1"/>
    </xf>
    <xf numFmtId="0" fontId="0" fillId="0" borderId="36" xfId="0" applyBorder="1"/>
    <xf numFmtId="0" fontId="0" fillId="0" borderId="50" xfId="0" applyBorder="1"/>
    <xf numFmtId="0" fontId="0" fillId="0" borderId="6" xfId="0" applyBorder="1"/>
    <xf numFmtId="0" fontId="0" fillId="0" borderId="0" xfId="0"/>
    <xf numFmtId="0" fontId="0" fillId="0" borderId="26" xfId="0" applyBorder="1"/>
    <xf numFmtId="0" fontId="0" fillId="0" borderId="27" xfId="0" applyBorder="1"/>
    <xf numFmtId="0" fontId="0" fillId="0" borderId="2" xfId="0" applyBorder="1"/>
    <xf numFmtId="0" fontId="0" fillId="0" borderId="22" xfId="0" applyBorder="1"/>
    <xf numFmtId="0" fontId="55" fillId="0" borderId="49" xfId="0" applyFont="1" applyBorder="1" applyAlignment="1">
      <alignment horizontal="center" vertical="center" wrapText="1"/>
    </xf>
    <xf numFmtId="0" fontId="105" fillId="0" borderId="49" xfId="0" applyFont="1" applyBorder="1" applyAlignment="1">
      <alignment horizontal="center" vertical="top" wrapText="1"/>
    </xf>
    <xf numFmtId="0" fontId="96" fillId="0" borderId="36" xfId="0" applyFont="1" applyBorder="1" applyAlignment="1">
      <alignment horizontal="center" vertical="top" wrapText="1"/>
    </xf>
    <xf numFmtId="0" fontId="96" fillId="0" borderId="50" xfId="0" applyFont="1" applyBorder="1" applyAlignment="1">
      <alignment horizontal="center" vertical="top" wrapText="1"/>
    </xf>
    <xf numFmtId="0" fontId="96" fillId="0" borderId="6" xfId="0" applyFont="1" applyBorder="1" applyAlignment="1">
      <alignment horizontal="center" vertical="top" wrapText="1"/>
    </xf>
    <xf numFmtId="0" fontId="96" fillId="0" borderId="0" xfId="0" applyFont="1" applyBorder="1" applyAlignment="1">
      <alignment horizontal="center" vertical="top" wrapText="1"/>
    </xf>
    <xf numFmtId="0" fontId="96" fillId="0" borderId="26" xfId="0" applyFont="1" applyBorder="1" applyAlignment="1">
      <alignment horizontal="center" vertical="top" wrapText="1"/>
    </xf>
    <xf numFmtId="0" fontId="96" fillId="0" borderId="27" xfId="0" applyFont="1" applyBorder="1" applyAlignment="1">
      <alignment horizontal="center" vertical="top" wrapText="1"/>
    </xf>
    <xf numFmtId="0" fontId="96" fillId="0" borderId="2" xfId="0" applyFont="1" applyBorder="1" applyAlignment="1">
      <alignment horizontal="center" vertical="top" wrapText="1"/>
    </xf>
    <xf numFmtId="0" fontId="96" fillId="0" borderId="22" xfId="0" applyFont="1" applyBorder="1" applyAlignment="1">
      <alignment horizontal="center" vertical="top" wrapText="1"/>
    </xf>
    <xf numFmtId="0" fontId="98" fillId="0" borderId="49" xfId="0" applyFont="1" applyBorder="1" applyAlignment="1">
      <alignment horizontal="center" vertical="top" wrapText="1"/>
    </xf>
    <xf numFmtId="0" fontId="98" fillId="0" borderId="36" xfId="0" applyFont="1" applyBorder="1" applyAlignment="1">
      <alignment horizontal="center" vertical="top" wrapText="1"/>
    </xf>
    <xf numFmtId="0" fontId="98" fillId="0" borderId="50" xfId="0" applyFont="1" applyBorder="1" applyAlignment="1">
      <alignment horizontal="center" vertical="top" wrapText="1"/>
    </xf>
    <xf numFmtId="0" fontId="98" fillId="0" borderId="6" xfId="0" applyFont="1" applyBorder="1" applyAlignment="1">
      <alignment horizontal="center" vertical="top" wrapText="1"/>
    </xf>
    <xf numFmtId="0" fontId="98" fillId="0" borderId="0" xfId="0" applyFont="1" applyBorder="1" applyAlignment="1">
      <alignment horizontal="center" vertical="top" wrapText="1"/>
    </xf>
    <xf numFmtId="0" fontId="98" fillId="0" borderId="26" xfId="0" applyFont="1" applyBorder="1" applyAlignment="1">
      <alignment horizontal="center" vertical="top" wrapText="1"/>
    </xf>
    <xf numFmtId="0" fontId="98" fillId="0" borderId="27" xfId="0" applyFont="1" applyBorder="1" applyAlignment="1">
      <alignment horizontal="center" vertical="top" wrapText="1"/>
    </xf>
    <xf numFmtId="0" fontId="98" fillId="0" borderId="2" xfId="0" applyFont="1" applyBorder="1" applyAlignment="1">
      <alignment horizontal="center" vertical="top" wrapText="1"/>
    </xf>
    <xf numFmtId="0" fontId="98" fillId="0" borderId="22" xfId="0" applyFont="1" applyBorder="1" applyAlignment="1">
      <alignment horizontal="center" vertical="top" wrapText="1"/>
    </xf>
    <xf numFmtId="0" fontId="105" fillId="0" borderId="36" xfId="0" applyFont="1" applyBorder="1" applyAlignment="1">
      <alignment horizontal="center" vertical="top" wrapText="1"/>
    </xf>
    <xf numFmtId="0" fontId="105" fillId="0" borderId="50" xfId="0" applyFont="1" applyBorder="1" applyAlignment="1">
      <alignment horizontal="center" vertical="top" wrapText="1"/>
    </xf>
    <xf numFmtId="0" fontId="105" fillId="0" borderId="6" xfId="0" applyFont="1" applyBorder="1" applyAlignment="1">
      <alignment horizontal="center" vertical="top" wrapText="1"/>
    </xf>
    <xf numFmtId="0" fontId="105" fillId="0" borderId="0" xfId="0" applyFont="1" applyBorder="1" applyAlignment="1">
      <alignment horizontal="center" vertical="top" wrapText="1"/>
    </xf>
    <xf numFmtId="0" fontId="105" fillId="0" borderId="26" xfId="0" applyFont="1" applyBorder="1" applyAlignment="1">
      <alignment horizontal="center" vertical="top" wrapText="1"/>
    </xf>
    <xf numFmtId="0" fontId="105" fillId="0" borderId="27" xfId="0" applyFont="1" applyBorder="1" applyAlignment="1">
      <alignment horizontal="center" vertical="top" wrapText="1"/>
    </xf>
    <xf numFmtId="0" fontId="105" fillId="0" borderId="2" xfId="0" applyFont="1" applyBorder="1" applyAlignment="1">
      <alignment horizontal="center" vertical="top" wrapText="1"/>
    </xf>
    <xf numFmtId="0" fontId="105" fillId="0" borderId="22" xfId="0" applyFont="1" applyBorder="1" applyAlignment="1">
      <alignment horizontal="center" vertical="top" wrapText="1"/>
    </xf>
    <xf numFmtId="0" fontId="96" fillId="0" borderId="49" xfId="0" applyFont="1" applyBorder="1" applyAlignment="1">
      <alignment horizontal="center" vertical="top" wrapText="1"/>
    </xf>
    <xf numFmtId="0" fontId="96" fillId="0" borderId="49" xfId="0" applyFont="1" applyBorder="1" applyAlignment="1">
      <alignment horizontal="center" vertical="center" wrapText="1"/>
    </xf>
    <xf numFmtId="0" fontId="96" fillId="0" borderId="36" xfId="0" applyFont="1" applyBorder="1" applyAlignment="1">
      <alignment horizontal="center" vertical="center" wrapText="1"/>
    </xf>
    <xf numFmtId="0" fontId="96" fillId="0" borderId="50" xfId="0" applyFont="1" applyBorder="1" applyAlignment="1">
      <alignment horizontal="center" vertical="center" wrapText="1"/>
    </xf>
    <xf numFmtId="0" fontId="96" fillId="0" borderId="6" xfId="0" applyFont="1" applyBorder="1" applyAlignment="1">
      <alignment horizontal="center" vertical="center" wrapText="1"/>
    </xf>
    <xf numFmtId="0" fontId="96" fillId="0" borderId="0" xfId="0" applyFont="1" applyBorder="1" applyAlignment="1">
      <alignment horizontal="center" vertical="center" wrapText="1"/>
    </xf>
    <xf numFmtId="0" fontId="96" fillId="0" borderId="26" xfId="0" applyFont="1" applyBorder="1" applyAlignment="1">
      <alignment horizontal="center" vertical="center" wrapText="1"/>
    </xf>
    <xf numFmtId="0" fontId="96" fillId="0" borderId="27" xfId="0" applyFont="1" applyBorder="1" applyAlignment="1">
      <alignment horizontal="center" vertical="center" wrapText="1"/>
    </xf>
    <xf numFmtId="0" fontId="96" fillId="0" borderId="2" xfId="0" applyFont="1" applyBorder="1" applyAlignment="1">
      <alignment horizontal="center" vertical="center" wrapText="1"/>
    </xf>
    <xf numFmtId="0" fontId="96" fillId="0" borderId="22" xfId="0" applyFont="1" applyBorder="1" applyAlignment="1">
      <alignment horizontal="center" vertical="center" wrapText="1"/>
    </xf>
    <xf numFmtId="0" fontId="60" fillId="0" borderId="0" xfId="0" applyFont="1" applyBorder="1" applyAlignment="1">
      <alignment horizontal="center" vertical="center"/>
    </xf>
    <xf numFmtId="0" fontId="17" fillId="12" borderId="0" xfId="0" applyFont="1" applyFill="1" applyBorder="1" applyAlignment="1">
      <alignment horizontal="left" vertical="center"/>
    </xf>
    <xf numFmtId="14" fontId="3" fillId="0" borderId="0" xfId="0" applyNumberFormat="1" applyFont="1" applyBorder="1" applyAlignment="1">
      <alignment horizontal="right" vertical="center"/>
    </xf>
    <xf numFmtId="14" fontId="25" fillId="0" borderId="0" xfId="0" applyNumberFormat="1" applyFont="1" applyFill="1" applyBorder="1" applyAlignment="1">
      <alignment horizontal="center"/>
    </xf>
    <xf numFmtId="0" fontId="28" fillId="0" borderId="0" xfId="0" applyFont="1" applyBorder="1" applyAlignment="1">
      <alignment horizontal="center"/>
    </xf>
    <xf numFmtId="0" fontId="3" fillId="12" borderId="0" xfId="0" applyFont="1" applyFill="1" applyBorder="1" applyAlignment="1">
      <alignment horizontal="center" vertical="center"/>
    </xf>
    <xf numFmtId="0" fontId="8" fillId="12" borderId="49" xfId="0" applyFont="1" applyFill="1" applyBorder="1" applyAlignment="1">
      <alignment horizontal="center" vertical="center" wrapText="1"/>
    </xf>
    <xf numFmtId="0" fontId="8" fillId="12" borderId="36" xfId="0" applyFont="1" applyFill="1" applyBorder="1" applyAlignment="1">
      <alignment horizontal="center" vertical="center" wrapText="1"/>
    </xf>
    <xf numFmtId="0" fontId="8" fillId="12" borderId="50" xfId="0" applyFont="1" applyFill="1" applyBorder="1" applyAlignment="1">
      <alignment horizontal="center" vertical="center" wrapText="1"/>
    </xf>
    <xf numFmtId="0" fontId="8" fillId="12" borderId="6" xfId="0" applyFont="1" applyFill="1" applyBorder="1" applyAlignment="1">
      <alignment horizontal="center" vertical="center" wrapText="1"/>
    </xf>
    <xf numFmtId="0" fontId="8" fillId="12" borderId="0" xfId="0" applyFont="1" applyFill="1" applyBorder="1" applyAlignment="1">
      <alignment horizontal="center" vertical="center" wrapText="1"/>
    </xf>
    <xf numFmtId="0" fontId="8" fillId="12" borderId="26" xfId="0" applyFont="1" applyFill="1" applyBorder="1" applyAlignment="1">
      <alignment horizontal="center" vertical="center" wrapText="1"/>
    </xf>
    <xf numFmtId="0" fontId="8" fillId="12" borderId="27" xfId="0" applyFont="1" applyFill="1" applyBorder="1" applyAlignment="1">
      <alignment horizontal="center" vertical="center" wrapText="1"/>
    </xf>
    <xf numFmtId="0" fontId="8" fillId="12" borderId="2" xfId="0" applyFont="1" applyFill="1" applyBorder="1" applyAlignment="1">
      <alignment horizontal="center" vertical="center" wrapText="1"/>
    </xf>
    <xf numFmtId="0" fontId="8" fillId="12" borderId="22" xfId="0" applyFont="1" applyFill="1" applyBorder="1" applyAlignment="1">
      <alignment horizontal="center" vertical="center" wrapText="1"/>
    </xf>
    <xf numFmtId="0" fontId="85" fillId="0" borderId="49" xfId="0" applyFont="1" applyBorder="1" applyAlignment="1">
      <alignment horizontal="center" vertical="center" wrapText="1"/>
    </xf>
    <xf numFmtId="0" fontId="100" fillId="0" borderId="36" xfId="0" applyFont="1" applyBorder="1" applyAlignment="1">
      <alignment horizontal="center" vertical="center" wrapText="1"/>
    </xf>
    <xf numFmtId="0" fontId="100" fillId="0" borderId="50" xfId="0" applyFont="1" applyBorder="1" applyAlignment="1">
      <alignment horizontal="center" vertical="center" wrapText="1"/>
    </xf>
    <xf numFmtId="0" fontId="100" fillId="0" borderId="6" xfId="0" applyFont="1" applyBorder="1" applyAlignment="1">
      <alignment horizontal="center" vertical="center" wrapText="1"/>
    </xf>
    <xf numFmtId="0" fontId="100" fillId="0" borderId="0" xfId="0" applyFont="1" applyBorder="1" applyAlignment="1">
      <alignment horizontal="center" vertical="center" wrapText="1"/>
    </xf>
    <xf numFmtId="0" fontId="100" fillId="0" borderId="26" xfId="0" applyFont="1" applyBorder="1" applyAlignment="1">
      <alignment horizontal="center" vertical="center" wrapText="1"/>
    </xf>
    <xf numFmtId="0" fontId="100" fillId="0" borderId="27" xfId="0" applyFont="1" applyBorder="1" applyAlignment="1">
      <alignment horizontal="center" vertical="center" wrapText="1"/>
    </xf>
    <xf numFmtId="0" fontId="100" fillId="0" borderId="2" xfId="0" applyFont="1" applyBorder="1" applyAlignment="1">
      <alignment horizontal="center" vertical="center" wrapText="1"/>
    </xf>
    <xf numFmtId="0" fontId="100" fillId="0" borderId="22" xfId="0" applyFont="1" applyBorder="1" applyAlignment="1">
      <alignment horizontal="center" vertical="center" wrapText="1"/>
    </xf>
    <xf numFmtId="0" fontId="100" fillId="0" borderId="49" xfId="0" applyFont="1" applyBorder="1" applyAlignment="1">
      <alignment horizontal="center" vertical="center" wrapText="1"/>
    </xf>
    <xf numFmtId="0" fontId="107" fillId="0" borderId="49" xfId="0" applyFont="1" applyBorder="1" applyAlignment="1">
      <alignment horizontal="center" vertical="center" wrapText="1"/>
    </xf>
    <xf numFmtId="0" fontId="85" fillId="0" borderId="36" xfId="0" applyFont="1" applyBorder="1" applyAlignment="1">
      <alignment horizontal="center" vertical="center" wrapText="1"/>
    </xf>
    <xf numFmtId="0" fontId="85" fillId="0" borderId="50" xfId="0" applyFont="1" applyBorder="1" applyAlignment="1">
      <alignment horizontal="center" vertical="center" wrapText="1"/>
    </xf>
    <xf numFmtId="0" fontId="85" fillId="0" borderId="6" xfId="0" applyFont="1" applyBorder="1" applyAlignment="1">
      <alignment horizontal="center" vertical="center" wrapText="1"/>
    </xf>
    <xf numFmtId="0" fontId="85" fillId="0" borderId="0" xfId="0" applyFont="1" applyBorder="1" applyAlignment="1">
      <alignment horizontal="center" vertical="center" wrapText="1"/>
    </xf>
    <xf numFmtId="0" fontId="85" fillId="0" borderId="26" xfId="0" applyFont="1" applyBorder="1" applyAlignment="1">
      <alignment horizontal="center" vertical="center" wrapText="1"/>
    </xf>
    <xf numFmtId="0" fontId="85" fillId="0" borderId="27" xfId="0" applyFont="1" applyBorder="1" applyAlignment="1">
      <alignment horizontal="center" vertical="center" wrapText="1"/>
    </xf>
    <xf numFmtId="0" fontId="85" fillId="0" borderId="2" xfId="0" applyFont="1" applyBorder="1" applyAlignment="1">
      <alignment horizontal="center" vertical="center" wrapText="1"/>
    </xf>
    <xf numFmtId="0" fontId="85" fillId="0" borderId="22" xfId="0" applyFont="1" applyBorder="1" applyAlignment="1">
      <alignment horizontal="center" vertical="center" wrapText="1"/>
    </xf>
    <xf numFmtId="0" fontId="79" fillId="0" borderId="36" xfId="0" applyFont="1" applyBorder="1" applyAlignment="1">
      <alignment horizontal="center" vertical="center" wrapText="1"/>
    </xf>
    <xf numFmtId="0" fontId="79" fillId="0" borderId="50" xfId="0" applyFont="1" applyBorder="1" applyAlignment="1">
      <alignment horizontal="center" vertical="center" wrapText="1"/>
    </xf>
    <xf numFmtId="0" fontId="79" fillId="0" borderId="6" xfId="0" applyFont="1" applyBorder="1" applyAlignment="1">
      <alignment horizontal="center" vertical="center" wrapText="1"/>
    </xf>
    <xf numFmtId="0" fontId="79" fillId="0" borderId="0" xfId="0" applyFont="1" applyBorder="1" applyAlignment="1">
      <alignment horizontal="center" vertical="center" wrapText="1"/>
    </xf>
    <xf numFmtId="0" fontId="79" fillId="0" borderId="26" xfId="0" applyFont="1" applyBorder="1" applyAlignment="1">
      <alignment horizontal="center" vertical="center" wrapText="1"/>
    </xf>
    <xf numFmtId="0" fontId="79" fillId="0" borderId="27" xfId="0" applyFont="1" applyBorder="1" applyAlignment="1">
      <alignment horizontal="center" vertical="center" wrapText="1"/>
    </xf>
    <xf numFmtId="0" fontId="79" fillId="0" borderId="2" xfId="0" applyFont="1" applyBorder="1" applyAlignment="1">
      <alignment horizontal="center" vertical="center" wrapText="1"/>
    </xf>
    <xf numFmtId="0" fontId="79" fillId="0" borderId="22" xfId="0" applyFont="1" applyBorder="1" applyAlignment="1">
      <alignment horizontal="center" vertical="center" wrapText="1"/>
    </xf>
    <xf numFmtId="0" fontId="106" fillId="0" borderId="49" xfId="0" applyFont="1" applyBorder="1" applyAlignment="1">
      <alignment horizontal="center" vertical="center" wrapText="1"/>
    </xf>
    <xf numFmtId="0" fontId="86" fillId="0" borderId="36" xfId="0" applyFont="1" applyBorder="1" applyAlignment="1">
      <alignment horizontal="center" vertical="center" wrapText="1"/>
    </xf>
    <xf numFmtId="0" fontId="86" fillId="0" borderId="50" xfId="0" applyFont="1" applyBorder="1" applyAlignment="1">
      <alignment horizontal="center" vertical="center" wrapText="1"/>
    </xf>
    <xf numFmtId="0" fontId="86" fillId="0" borderId="6" xfId="0" applyFont="1" applyBorder="1" applyAlignment="1">
      <alignment horizontal="center" vertical="center" wrapText="1"/>
    </xf>
    <xf numFmtId="0" fontId="86" fillId="0" borderId="0" xfId="0" applyFont="1" applyBorder="1" applyAlignment="1">
      <alignment horizontal="center" vertical="center" wrapText="1"/>
    </xf>
    <xf numFmtId="0" fontId="86" fillId="0" borderId="26" xfId="0" applyFont="1" applyBorder="1" applyAlignment="1">
      <alignment horizontal="center" vertical="center" wrapText="1"/>
    </xf>
    <xf numFmtId="0" fontId="86" fillId="0" borderId="27" xfId="0" applyFont="1" applyBorder="1" applyAlignment="1">
      <alignment horizontal="center" vertical="center" wrapText="1"/>
    </xf>
    <xf numFmtId="0" fontId="86" fillId="0" borderId="2" xfId="0" applyFont="1" applyBorder="1" applyAlignment="1">
      <alignment horizontal="center" vertical="center" wrapText="1"/>
    </xf>
    <xf numFmtId="0" fontId="86" fillId="0" borderId="22" xfId="0" applyFont="1" applyBorder="1" applyAlignment="1">
      <alignment horizontal="center" vertical="center" wrapText="1"/>
    </xf>
    <xf numFmtId="0" fontId="99" fillId="0" borderId="49" xfId="0" applyFont="1" applyBorder="1" applyAlignment="1">
      <alignment horizontal="center" vertical="center" wrapText="1"/>
    </xf>
    <xf numFmtId="0" fontId="99" fillId="0" borderId="50" xfId="0" applyFont="1" applyBorder="1" applyAlignment="1">
      <alignment horizontal="center" vertical="center" wrapText="1"/>
    </xf>
    <xf numFmtId="0" fontId="99" fillId="0" borderId="6" xfId="0" applyFont="1" applyBorder="1" applyAlignment="1">
      <alignment horizontal="center" vertical="center" wrapText="1"/>
    </xf>
    <xf numFmtId="0" fontId="99" fillId="0" borderId="26" xfId="0" applyFont="1" applyBorder="1" applyAlignment="1">
      <alignment horizontal="center" vertical="center" wrapText="1"/>
    </xf>
    <xf numFmtId="0" fontId="99" fillId="0" borderId="27" xfId="0" applyFont="1" applyBorder="1" applyAlignment="1">
      <alignment horizontal="center" vertical="center" wrapText="1"/>
    </xf>
    <xf numFmtId="0" fontId="99" fillId="0" borderId="22" xfId="0" applyFont="1" applyBorder="1" applyAlignment="1">
      <alignment horizontal="center" vertical="center" wrapText="1"/>
    </xf>
    <xf numFmtId="0" fontId="100" fillId="0" borderId="49" xfId="0" applyFont="1" applyBorder="1" applyAlignment="1">
      <alignment horizontal="center" vertical="top" wrapText="1"/>
    </xf>
    <xf numFmtId="0" fontId="100" fillId="0" borderId="36" xfId="0" applyFont="1" applyBorder="1" applyAlignment="1">
      <alignment horizontal="center" vertical="top" wrapText="1"/>
    </xf>
    <xf numFmtId="0" fontId="100" fillId="0" borderId="50" xfId="0" applyFont="1" applyBorder="1" applyAlignment="1">
      <alignment horizontal="center" vertical="top" wrapText="1"/>
    </xf>
    <xf numFmtId="0" fontId="100" fillId="0" borderId="6" xfId="0" applyFont="1" applyBorder="1" applyAlignment="1">
      <alignment horizontal="center" vertical="top" wrapText="1"/>
    </xf>
    <xf numFmtId="0" fontId="100" fillId="0" borderId="0" xfId="0" applyFont="1" applyBorder="1" applyAlignment="1">
      <alignment horizontal="center" vertical="top" wrapText="1"/>
    </xf>
    <xf numFmtId="0" fontId="100" fillId="0" borderId="26" xfId="0" applyFont="1" applyBorder="1" applyAlignment="1">
      <alignment horizontal="center" vertical="top" wrapText="1"/>
    </xf>
    <xf numFmtId="0" fontId="100" fillId="0" borderId="27" xfId="0" applyFont="1" applyBorder="1" applyAlignment="1">
      <alignment horizontal="center" vertical="top" wrapText="1"/>
    </xf>
    <xf numFmtId="0" fontId="100" fillId="0" borderId="2" xfId="0" applyFont="1" applyBorder="1" applyAlignment="1">
      <alignment horizontal="center" vertical="top" wrapText="1"/>
    </xf>
    <xf numFmtId="0" fontId="100" fillId="0" borderId="22" xfId="0" applyFont="1" applyBorder="1" applyAlignment="1">
      <alignment horizontal="center" vertical="top" wrapText="1"/>
    </xf>
    <xf numFmtId="0" fontId="85" fillId="0" borderId="36" xfId="0" applyFont="1" applyBorder="1" applyAlignment="1">
      <alignment horizontal="center" vertical="top" wrapText="1"/>
    </xf>
    <xf numFmtId="0" fontId="85" fillId="0" borderId="50" xfId="0" applyFont="1" applyBorder="1" applyAlignment="1">
      <alignment horizontal="center" vertical="top" wrapText="1"/>
    </xf>
    <xf numFmtId="0" fontId="85" fillId="0" borderId="6" xfId="0" applyFont="1" applyBorder="1" applyAlignment="1">
      <alignment horizontal="center" vertical="top" wrapText="1"/>
    </xf>
    <xf numFmtId="0" fontId="85" fillId="0" borderId="0" xfId="0" applyFont="1" applyBorder="1" applyAlignment="1">
      <alignment horizontal="center" vertical="top" wrapText="1"/>
    </xf>
    <xf numFmtId="0" fontId="85" fillId="0" borderId="26" xfId="0" applyFont="1" applyBorder="1" applyAlignment="1">
      <alignment horizontal="center" vertical="top" wrapText="1"/>
    </xf>
    <xf numFmtId="0" fontId="85" fillId="0" borderId="27" xfId="0" applyFont="1" applyBorder="1" applyAlignment="1">
      <alignment horizontal="center" vertical="top" wrapText="1"/>
    </xf>
    <xf numFmtId="0" fontId="85" fillId="0" borderId="2" xfId="0" applyFont="1" applyBorder="1" applyAlignment="1">
      <alignment horizontal="center" vertical="top" wrapText="1"/>
    </xf>
    <xf numFmtId="0" fontId="85" fillId="0" borderId="22" xfId="0" applyFont="1" applyBorder="1" applyAlignment="1">
      <alignment horizontal="center" vertical="top" wrapText="1"/>
    </xf>
    <xf numFmtId="0" fontId="99" fillId="0" borderId="36" xfId="0" applyFont="1" applyBorder="1" applyAlignment="1">
      <alignment horizontal="center" vertical="center" wrapText="1"/>
    </xf>
    <xf numFmtId="0" fontId="99" fillId="0" borderId="0" xfId="0" applyFont="1" applyBorder="1" applyAlignment="1">
      <alignment horizontal="center" vertical="center" wrapText="1"/>
    </xf>
    <xf numFmtId="0" fontId="99" fillId="0" borderId="2" xfId="0" applyFont="1" applyBorder="1" applyAlignment="1">
      <alignment horizontal="center" vertical="center" wrapText="1"/>
    </xf>
    <xf numFmtId="0" fontId="101" fillId="0" borderId="49" xfId="0" applyFont="1" applyBorder="1" applyAlignment="1">
      <alignment horizontal="center" vertical="center" wrapText="1"/>
    </xf>
    <xf numFmtId="0" fontId="101" fillId="0" borderId="36" xfId="0" applyFont="1" applyBorder="1" applyAlignment="1">
      <alignment horizontal="center" vertical="center" wrapText="1"/>
    </xf>
    <xf numFmtId="0" fontId="101" fillId="0" borderId="50" xfId="0" applyFont="1" applyBorder="1" applyAlignment="1">
      <alignment horizontal="center" vertical="center" wrapText="1"/>
    </xf>
    <xf numFmtId="0" fontId="101" fillId="0" borderId="6" xfId="0" applyFont="1" applyBorder="1" applyAlignment="1">
      <alignment horizontal="center" vertical="center" wrapText="1"/>
    </xf>
    <xf numFmtId="0" fontId="101" fillId="0" borderId="0" xfId="0" applyFont="1" applyBorder="1" applyAlignment="1">
      <alignment horizontal="center" vertical="center" wrapText="1"/>
    </xf>
    <xf numFmtId="0" fontId="101" fillId="0" borderId="26" xfId="0" applyFont="1" applyBorder="1" applyAlignment="1">
      <alignment horizontal="center" vertical="center" wrapText="1"/>
    </xf>
    <xf numFmtId="0" fontId="101" fillId="0" borderId="27" xfId="0" applyFont="1" applyBorder="1" applyAlignment="1">
      <alignment horizontal="center" vertical="center" wrapText="1"/>
    </xf>
    <xf numFmtId="0" fontId="101" fillId="0" borderId="2" xfId="0" applyFont="1" applyBorder="1" applyAlignment="1">
      <alignment horizontal="center" vertical="center" wrapText="1"/>
    </xf>
    <xf numFmtId="0" fontId="101" fillId="0" borderId="22" xfId="0" applyFont="1" applyBorder="1" applyAlignment="1">
      <alignment horizontal="center" vertical="center" wrapText="1"/>
    </xf>
    <xf numFmtId="0" fontId="51" fillId="0" borderId="49" xfId="0" applyFont="1" applyFill="1" applyBorder="1" applyAlignment="1">
      <alignment horizontal="center" vertical="top" wrapText="1"/>
    </xf>
    <xf numFmtId="0" fontId="51" fillId="0" borderId="50" xfId="0" applyFont="1" applyFill="1" applyBorder="1" applyAlignment="1">
      <alignment horizontal="center" vertical="top" wrapText="1"/>
    </xf>
    <xf numFmtId="0" fontId="51" fillId="0" borderId="6" xfId="0" applyFont="1" applyFill="1" applyBorder="1" applyAlignment="1">
      <alignment horizontal="center" vertical="top" wrapText="1"/>
    </xf>
    <xf numFmtId="0" fontId="51" fillId="0" borderId="26" xfId="0" applyFont="1" applyFill="1" applyBorder="1" applyAlignment="1">
      <alignment horizontal="center" vertical="top" wrapText="1"/>
    </xf>
    <xf numFmtId="0" fontId="51" fillId="0" borderId="27" xfId="0" applyFont="1" applyFill="1" applyBorder="1" applyAlignment="1">
      <alignment horizontal="center" vertical="top" wrapText="1"/>
    </xf>
    <xf numFmtId="0" fontId="51" fillId="0" borderId="22" xfId="0" applyFont="1" applyFill="1" applyBorder="1" applyAlignment="1">
      <alignment horizontal="center" vertical="top" wrapText="1"/>
    </xf>
    <xf numFmtId="0" fontId="28" fillId="0" borderId="5" xfId="1" applyFont="1" applyBorder="1" applyAlignment="1">
      <alignment horizontal="center" vertical="center"/>
    </xf>
    <xf numFmtId="0" fontId="25" fillId="0" borderId="7" xfId="0" applyFont="1" applyBorder="1" applyAlignment="1">
      <alignment vertical="center"/>
    </xf>
    <xf numFmtId="0" fontId="14" fillId="0" borderId="4" xfId="0" applyFont="1" applyBorder="1" applyAlignment="1">
      <alignment horizontal="center" vertical="center"/>
    </xf>
    <xf numFmtId="0" fontId="51" fillId="0" borderId="25" xfId="0" applyFont="1" applyBorder="1" applyAlignment="1">
      <alignment horizontal="center" vertical="top" wrapText="1"/>
    </xf>
    <xf numFmtId="0" fontId="51" fillId="0" borderId="1" xfId="0" applyFont="1" applyBorder="1" applyAlignment="1">
      <alignment horizontal="center" vertical="top" wrapText="1"/>
    </xf>
    <xf numFmtId="0" fontId="51" fillId="0" borderId="15" xfId="0" applyFont="1" applyBorder="1" applyAlignment="1">
      <alignment horizontal="center" vertical="top" wrapText="1"/>
    </xf>
    <xf numFmtId="0" fontId="26" fillId="0" borderId="5" xfId="0" applyFont="1" applyBorder="1" applyAlignment="1">
      <alignment horizontal="right" vertical="center"/>
    </xf>
    <xf numFmtId="0" fontId="26" fillId="0" borderId="21" xfId="0" applyFont="1" applyBorder="1" applyAlignment="1">
      <alignment horizontal="right" vertical="center"/>
    </xf>
    <xf numFmtId="0" fontId="26" fillId="0" borderId="5" xfId="0" applyFont="1" applyBorder="1" applyAlignment="1">
      <alignment horizontal="right"/>
    </xf>
    <xf numFmtId="0" fontId="26" fillId="0" borderId="21" xfId="0" applyFont="1" applyBorder="1" applyAlignment="1">
      <alignment horizontal="right"/>
    </xf>
    <xf numFmtId="0" fontId="82" fillId="0" borderId="49" xfId="0" applyFont="1" applyBorder="1" applyAlignment="1">
      <alignment horizontal="center" vertical="center" wrapText="1"/>
    </xf>
    <xf numFmtId="0" fontId="82" fillId="0" borderId="36" xfId="0" applyFont="1" applyBorder="1" applyAlignment="1">
      <alignment horizontal="center" vertical="center" wrapText="1"/>
    </xf>
    <xf numFmtId="0" fontId="82" fillId="0" borderId="50" xfId="0" applyFont="1" applyBorder="1" applyAlignment="1">
      <alignment horizontal="center" vertical="center" wrapText="1"/>
    </xf>
    <xf numFmtId="0" fontId="82" fillId="0" borderId="6" xfId="0" applyFont="1" applyBorder="1" applyAlignment="1">
      <alignment horizontal="center" vertical="center" wrapText="1"/>
    </xf>
    <xf numFmtId="0" fontId="82" fillId="0" borderId="0" xfId="0" applyFont="1" applyBorder="1" applyAlignment="1">
      <alignment horizontal="center" vertical="center" wrapText="1"/>
    </xf>
    <xf numFmtId="0" fontId="82" fillId="0" borderId="26" xfId="0" applyFont="1" applyBorder="1" applyAlignment="1">
      <alignment horizontal="center" vertical="center" wrapText="1"/>
    </xf>
    <xf numFmtId="0" fontId="82" fillId="0" borderId="27" xfId="0" applyFont="1" applyBorder="1" applyAlignment="1">
      <alignment horizontal="center" vertical="center" wrapText="1"/>
    </xf>
    <xf numFmtId="0" fontId="82" fillId="0" borderId="2" xfId="0" applyFont="1" applyBorder="1" applyAlignment="1">
      <alignment horizontal="center" vertical="center" wrapText="1"/>
    </xf>
    <xf numFmtId="0" fontId="82" fillId="0" borderId="22" xfId="0" applyFont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/>
    </xf>
    <xf numFmtId="0" fontId="31" fillId="0" borderId="7" xfId="0" applyFont="1" applyBorder="1" applyAlignment="1">
      <alignment horizontal="center" vertical="center"/>
    </xf>
    <xf numFmtId="0" fontId="51" fillId="0" borderId="49" xfId="0" applyFont="1" applyBorder="1" applyAlignment="1">
      <alignment horizontal="center" vertical="center" wrapText="1"/>
    </xf>
    <xf numFmtId="0" fontId="51" fillId="0" borderId="50" xfId="0" applyFont="1" applyBorder="1" applyAlignment="1">
      <alignment horizontal="center" vertical="center" wrapText="1"/>
    </xf>
    <xf numFmtId="0" fontId="51" fillId="0" borderId="6" xfId="0" applyFont="1" applyBorder="1" applyAlignment="1">
      <alignment horizontal="center" vertical="center" wrapText="1"/>
    </xf>
    <xf numFmtId="0" fontId="51" fillId="0" borderId="26" xfId="0" applyFont="1" applyBorder="1" applyAlignment="1">
      <alignment horizontal="center" vertical="center" wrapText="1"/>
    </xf>
    <xf numFmtId="0" fontId="106" fillId="0" borderId="36" xfId="0" applyFont="1" applyBorder="1" applyAlignment="1">
      <alignment horizontal="center" vertical="center" wrapText="1"/>
    </xf>
    <xf numFmtId="0" fontId="106" fillId="0" borderId="50" xfId="0" applyFont="1" applyBorder="1" applyAlignment="1">
      <alignment horizontal="center" vertical="center" wrapText="1"/>
    </xf>
    <xf numFmtId="0" fontId="106" fillId="0" borderId="6" xfId="0" applyFont="1" applyBorder="1" applyAlignment="1">
      <alignment horizontal="center" vertical="center" wrapText="1"/>
    </xf>
    <xf numFmtId="0" fontId="106" fillId="0" borderId="0" xfId="0" applyFont="1" applyBorder="1" applyAlignment="1">
      <alignment horizontal="center" vertical="center" wrapText="1"/>
    </xf>
    <xf numFmtId="0" fontId="106" fillId="0" borderId="26" xfId="0" applyFont="1" applyBorder="1" applyAlignment="1">
      <alignment horizontal="center" vertical="center" wrapText="1"/>
    </xf>
    <xf numFmtId="0" fontId="106" fillId="0" borderId="27" xfId="0" applyFont="1" applyBorder="1" applyAlignment="1">
      <alignment horizontal="center" vertical="center" wrapText="1"/>
    </xf>
    <xf numFmtId="0" fontId="106" fillId="0" borderId="2" xfId="0" applyFont="1" applyBorder="1" applyAlignment="1">
      <alignment horizontal="center" vertical="center" wrapText="1"/>
    </xf>
    <xf numFmtId="0" fontId="106" fillId="0" borderId="22" xfId="0" applyFont="1" applyBorder="1" applyAlignment="1">
      <alignment horizontal="center" vertical="center" wrapText="1"/>
    </xf>
    <xf numFmtId="0" fontId="83" fillId="0" borderId="36" xfId="0" applyFont="1" applyBorder="1" applyAlignment="1">
      <alignment horizontal="center" vertical="center" wrapText="1"/>
    </xf>
    <xf numFmtId="0" fontId="83" fillId="0" borderId="50" xfId="0" applyFont="1" applyBorder="1" applyAlignment="1">
      <alignment horizontal="center" vertical="center" wrapText="1"/>
    </xf>
    <xf numFmtId="0" fontId="83" fillId="0" borderId="6" xfId="0" applyFont="1" applyBorder="1" applyAlignment="1">
      <alignment horizontal="center" vertical="center" wrapText="1"/>
    </xf>
    <xf numFmtId="0" fontId="83" fillId="0" borderId="0" xfId="0" applyFont="1" applyBorder="1" applyAlignment="1">
      <alignment horizontal="center" vertical="center" wrapText="1"/>
    </xf>
    <xf numFmtId="0" fontId="83" fillId="0" borderId="26" xfId="0" applyFont="1" applyBorder="1" applyAlignment="1">
      <alignment horizontal="center" vertical="center" wrapText="1"/>
    </xf>
    <xf numFmtId="0" fontId="83" fillId="0" borderId="27" xfId="0" applyFont="1" applyBorder="1" applyAlignment="1">
      <alignment horizontal="center" vertical="center" wrapText="1"/>
    </xf>
    <xf numFmtId="0" fontId="83" fillId="0" borderId="2" xfId="0" applyFont="1" applyBorder="1" applyAlignment="1">
      <alignment horizontal="center" vertical="center" wrapText="1"/>
    </xf>
    <xf numFmtId="0" fontId="83" fillId="0" borderId="22" xfId="0" applyFont="1" applyBorder="1" applyAlignment="1">
      <alignment horizontal="center" vertical="center" wrapText="1"/>
    </xf>
    <xf numFmtId="0" fontId="26" fillId="0" borderId="24" xfId="1" applyFont="1" applyBorder="1" applyAlignment="1">
      <alignment horizontal="center" vertical="center"/>
    </xf>
    <xf numFmtId="0" fontId="26" fillId="0" borderId="37" xfId="1" applyFont="1" applyBorder="1" applyAlignment="1">
      <alignment horizontal="center" vertical="center"/>
    </xf>
    <xf numFmtId="0" fontId="26" fillId="0" borderId="27" xfId="1" applyFont="1" applyBorder="1" applyAlignment="1">
      <alignment horizontal="center" vertical="center"/>
    </xf>
    <xf numFmtId="0" fontId="26" fillId="0" borderId="2" xfId="1" applyFont="1" applyBorder="1" applyAlignment="1">
      <alignment horizontal="center" vertical="center"/>
    </xf>
    <xf numFmtId="0" fontId="14" fillId="3" borderId="5" xfId="0" applyFont="1" applyFill="1" applyBorder="1" applyAlignment="1">
      <alignment horizontal="right"/>
    </xf>
    <xf numFmtId="0" fontId="14" fillId="3" borderId="21" xfId="0" applyFont="1" applyFill="1" applyBorder="1" applyAlignment="1">
      <alignment horizontal="right"/>
    </xf>
    <xf numFmtId="0" fontId="26" fillId="0" borderId="0" xfId="0" applyFont="1" applyAlignment="1">
      <alignment horizontal="left"/>
    </xf>
    <xf numFmtId="0" fontId="26" fillId="0" borderId="5" xfId="0" applyFont="1" applyFill="1" applyBorder="1" applyAlignment="1">
      <alignment horizontal="center" vertical="center"/>
    </xf>
    <xf numFmtId="0" fontId="26" fillId="0" borderId="7" xfId="0" applyFont="1" applyFill="1" applyBorder="1" applyAlignment="1">
      <alignment horizontal="center" vertical="center"/>
    </xf>
    <xf numFmtId="0" fontId="32" fillId="0" borderId="9" xfId="0" applyFont="1" applyBorder="1" applyAlignment="1">
      <alignment vertical="center"/>
    </xf>
    <xf numFmtId="0" fontId="32" fillId="0" borderId="10" xfId="0" applyFont="1" applyBorder="1" applyAlignment="1">
      <alignment vertical="center"/>
    </xf>
    <xf numFmtId="0" fontId="31" fillId="0" borderId="5" xfId="0" applyNumberFormat="1" applyFont="1" applyBorder="1" applyAlignment="1">
      <alignment horizontal="center" vertical="center"/>
    </xf>
    <xf numFmtId="0" fontId="31" fillId="0" borderId="7" xfId="0" applyNumberFormat="1" applyFont="1" applyBorder="1" applyAlignment="1">
      <alignment horizontal="center" vertical="center"/>
    </xf>
    <xf numFmtId="0" fontId="30" fillId="0" borderId="27" xfId="1" applyFont="1" applyFill="1" applyBorder="1" applyAlignment="1">
      <alignment horizontal="center" vertical="center" wrapText="1"/>
    </xf>
    <xf numFmtId="0" fontId="35" fillId="0" borderId="22" xfId="0" applyFont="1" applyBorder="1" applyAlignment="1">
      <alignment horizontal="center" vertical="center"/>
    </xf>
    <xf numFmtId="0" fontId="28" fillId="0" borderId="27" xfId="1" applyFont="1" applyFill="1" applyBorder="1" applyAlignment="1">
      <alignment horizontal="center" vertical="center" wrapText="1"/>
    </xf>
    <xf numFmtId="0" fontId="25" fillId="0" borderId="22" xfId="0" applyFont="1" applyBorder="1" applyAlignment="1">
      <alignment horizontal="center" vertical="center"/>
    </xf>
    <xf numFmtId="0" fontId="30" fillId="0" borderId="27" xfId="1" applyNumberFormat="1" applyFont="1" applyFill="1" applyBorder="1" applyAlignment="1">
      <alignment horizontal="center" vertical="center"/>
    </xf>
    <xf numFmtId="0" fontId="35" fillId="0" borderId="22" xfId="0" applyNumberFormat="1" applyFont="1" applyBorder="1" applyAlignment="1">
      <alignment horizontal="center" vertical="center"/>
    </xf>
    <xf numFmtId="0" fontId="28" fillId="0" borderId="27" xfId="1" applyNumberFormat="1" applyFont="1" applyFill="1" applyBorder="1" applyAlignment="1">
      <alignment horizontal="center" vertical="center"/>
    </xf>
    <xf numFmtId="0" fontId="25" fillId="0" borderId="22" xfId="0" applyNumberFormat="1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 textRotation="90"/>
    </xf>
    <xf numFmtId="0" fontId="8" fillId="0" borderId="1" xfId="0" applyFont="1" applyBorder="1" applyAlignment="1">
      <alignment horizontal="center" vertical="center" textRotation="90"/>
    </xf>
    <xf numFmtId="0" fontId="9" fillId="0" borderId="0" xfId="0" applyFont="1" applyBorder="1" applyAlignment="1">
      <alignment horizontal="right" vertical="top" wrapText="1"/>
    </xf>
    <xf numFmtId="0" fontId="9" fillId="0" borderId="26" xfId="0" applyFont="1" applyBorder="1" applyAlignment="1">
      <alignment horizontal="right" vertical="top" wrapText="1"/>
    </xf>
    <xf numFmtId="0" fontId="12" fillId="0" borderId="49" xfId="0" applyFont="1" applyFill="1" applyBorder="1" applyAlignment="1">
      <alignment horizontal="center" vertical="top" wrapText="1"/>
    </xf>
    <xf numFmtId="0" fontId="12" fillId="0" borderId="51" xfId="0" applyFont="1" applyFill="1" applyBorder="1" applyAlignment="1">
      <alignment horizontal="center" vertical="top" wrapText="1"/>
    </xf>
    <xf numFmtId="0" fontId="12" fillId="0" borderId="6" xfId="0" applyFont="1" applyFill="1" applyBorder="1" applyAlignment="1">
      <alignment horizontal="center" vertical="top" wrapText="1"/>
    </xf>
    <xf numFmtId="0" fontId="12" fillId="0" borderId="52" xfId="0" applyFont="1" applyFill="1" applyBorder="1" applyAlignment="1">
      <alignment horizontal="center" vertical="top" wrapText="1"/>
    </xf>
    <xf numFmtId="0" fontId="12" fillId="0" borderId="27" xfId="0" applyFont="1" applyFill="1" applyBorder="1" applyAlignment="1">
      <alignment horizontal="center" vertical="top" wrapText="1"/>
    </xf>
    <xf numFmtId="0" fontId="12" fillId="0" borderId="53" xfId="0" applyFont="1" applyFill="1" applyBorder="1" applyAlignment="1">
      <alignment horizontal="center" vertical="top" wrapText="1"/>
    </xf>
    <xf numFmtId="0" fontId="49" fillId="0" borderId="5" xfId="0" applyFont="1" applyFill="1" applyBorder="1" applyAlignment="1">
      <alignment horizontal="center"/>
    </xf>
    <xf numFmtId="0" fontId="49" fillId="0" borderId="3" xfId="0" applyFont="1" applyFill="1" applyBorder="1" applyAlignment="1">
      <alignment horizontal="center"/>
    </xf>
    <xf numFmtId="0" fontId="49" fillId="0" borderId="7" xfId="0" applyFont="1" applyFill="1" applyBorder="1" applyAlignment="1">
      <alignment horizontal="center"/>
    </xf>
    <xf numFmtId="0" fontId="31" fillId="0" borderId="5" xfId="0" applyFont="1" applyFill="1" applyBorder="1" applyAlignment="1">
      <alignment horizontal="center" vertical="center"/>
    </xf>
    <xf numFmtId="0" fontId="31" fillId="0" borderId="7" xfId="0" applyFont="1" applyFill="1" applyBorder="1" applyAlignment="1">
      <alignment horizontal="center" vertical="center"/>
    </xf>
    <xf numFmtId="0" fontId="26" fillId="0" borderId="39" xfId="1" applyFont="1" applyBorder="1" applyAlignment="1">
      <alignment horizontal="center" vertical="center"/>
    </xf>
    <xf numFmtId="0" fontId="26" fillId="0" borderId="22" xfId="1" applyFont="1" applyBorder="1" applyAlignment="1">
      <alignment horizontal="center" vertical="center"/>
    </xf>
    <xf numFmtId="0" fontId="55" fillId="0" borderId="36" xfId="0" applyFont="1" applyBorder="1" applyAlignment="1">
      <alignment horizontal="center" vertical="center" wrapText="1"/>
    </xf>
    <xf numFmtId="0" fontId="55" fillId="0" borderId="50" xfId="0" applyFont="1" applyBorder="1" applyAlignment="1">
      <alignment horizontal="center" vertical="center" wrapText="1"/>
    </xf>
    <xf numFmtId="0" fontId="55" fillId="0" borderId="6" xfId="0" applyFont="1" applyBorder="1" applyAlignment="1">
      <alignment horizontal="center" vertical="center" wrapText="1"/>
    </xf>
    <xf numFmtId="0" fontId="55" fillId="0" borderId="0" xfId="0" applyFont="1" applyBorder="1" applyAlignment="1">
      <alignment horizontal="center" vertical="center" wrapText="1"/>
    </xf>
    <xf numFmtId="0" fontId="55" fillId="0" borderId="26" xfId="0" applyFont="1" applyBorder="1" applyAlignment="1">
      <alignment horizontal="center" vertical="center" wrapText="1"/>
    </xf>
    <xf numFmtId="0" fontId="55" fillId="0" borderId="27" xfId="0" applyFont="1" applyBorder="1" applyAlignment="1">
      <alignment horizontal="center" vertical="center" wrapText="1"/>
    </xf>
    <xf numFmtId="0" fontId="55" fillId="0" borderId="2" xfId="0" applyFont="1" applyBorder="1" applyAlignment="1">
      <alignment horizontal="center" vertical="center" wrapText="1"/>
    </xf>
    <xf numFmtId="0" fontId="55" fillId="0" borderId="22" xfId="0" applyFont="1" applyBorder="1" applyAlignment="1">
      <alignment horizontal="center" vertical="center" wrapText="1"/>
    </xf>
    <xf numFmtId="1" fontId="54" fillId="5" borderId="2" xfId="1" applyNumberFormat="1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10" fontId="34" fillId="0" borderId="27" xfId="1" applyNumberFormat="1" applyFont="1" applyBorder="1" applyAlignment="1">
      <alignment horizontal="center" vertical="center" wrapText="1"/>
    </xf>
    <xf numFmtId="10" fontId="34" fillId="0" borderId="22" xfId="0" applyNumberFormat="1" applyFont="1" applyBorder="1" applyAlignment="1">
      <alignment vertical="center"/>
    </xf>
    <xf numFmtId="10" fontId="34" fillId="0" borderId="27" xfId="1" applyNumberFormat="1" applyFont="1" applyBorder="1" applyAlignment="1">
      <alignment horizontal="center" vertical="center"/>
    </xf>
    <xf numFmtId="0" fontId="34" fillId="0" borderId="22" xfId="0" applyFont="1" applyBorder="1" applyAlignment="1">
      <alignment horizontal="center" vertical="center"/>
    </xf>
    <xf numFmtId="0" fontId="34" fillId="0" borderId="5" xfId="1" applyFont="1" applyBorder="1" applyAlignment="1">
      <alignment vertical="center" wrapText="1"/>
    </xf>
    <xf numFmtId="0" fontId="34" fillId="0" borderId="3" xfId="0" applyFont="1" applyBorder="1" applyAlignment="1">
      <alignment vertical="center"/>
    </xf>
    <xf numFmtId="0" fontId="32" fillId="0" borderId="5" xfId="0" applyFont="1" applyBorder="1" applyAlignment="1">
      <alignment horizontal="right" vertical="center"/>
    </xf>
    <xf numFmtId="0" fontId="32" fillId="0" borderId="7" xfId="0" applyFont="1" applyBorder="1" applyAlignment="1">
      <alignment horizontal="right" vertical="center"/>
    </xf>
    <xf numFmtId="0" fontId="26" fillId="0" borderId="4" xfId="1" applyFont="1" applyBorder="1" applyAlignment="1">
      <alignment horizontal="center" vertical="center"/>
    </xf>
    <xf numFmtId="0" fontId="26" fillId="0" borderId="5" xfId="1" applyFont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/>
    </xf>
    <xf numFmtId="9" fontId="26" fillId="0" borderId="5" xfId="7" applyFont="1" applyBorder="1" applyAlignment="1">
      <alignment horizontal="center" vertical="center" wrapText="1"/>
    </xf>
    <xf numFmtId="9" fontId="26" fillId="0" borderId="7" xfId="7" applyFont="1" applyBorder="1" applyAlignment="1">
      <alignment horizontal="center" vertical="center"/>
    </xf>
    <xf numFmtId="10" fontId="24" fillId="0" borderId="5" xfId="0" applyNumberFormat="1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109" fillId="0" borderId="5" xfId="0" applyFont="1" applyFill="1" applyBorder="1" applyAlignment="1">
      <alignment horizontal="center" vertical="center"/>
    </xf>
    <xf numFmtId="0" fontId="109" fillId="0" borderId="7" xfId="0" applyFont="1" applyFill="1" applyBorder="1" applyAlignment="1">
      <alignment horizontal="center" vertical="center"/>
    </xf>
    <xf numFmtId="0" fontId="30" fillId="0" borderId="38" xfId="0" applyFont="1" applyBorder="1" applyAlignment="1">
      <alignment horizontal="center" vertical="center"/>
    </xf>
    <xf numFmtId="0" fontId="30" fillId="0" borderId="12" xfId="0" applyFont="1" applyBorder="1" applyAlignment="1">
      <alignment horizontal="center" vertical="center"/>
    </xf>
    <xf numFmtId="0" fontId="30" fillId="0" borderId="45" xfId="0" applyFont="1" applyBorder="1" applyAlignment="1">
      <alignment horizontal="center" vertical="center"/>
    </xf>
    <xf numFmtId="0" fontId="30" fillId="0" borderId="54" xfId="0" applyFont="1" applyBorder="1" applyAlignment="1">
      <alignment horizontal="center" vertical="center"/>
    </xf>
    <xf numFmtId="0" fontId="28" fillId="0" borderId="45" xfId="0" applyFont="1" applyBorder="1" applyAlignment="1">
      <alignment horizontal="center" vertical="center"/>
    </xf>
    <xf numFmtId="0" fontId="28" fillId="0" borderId="54" xfId="0" applyFont="1" applyBorder="1" applyAlignment="1">
      <alignment horizontal="center" vertical="center"/>
    </xf>
    <xf numFmtId="0" fontId="30" fillId="3" borderId="45" xfId="0" applyFont="1" applyFill="1" applyBorder="1" applyAlignment="1">
      <alignment horizontal="center" vertical="center"/>
    </xf>
    <xf numFmtId="0" fontId="30" fillId="3" borderId="54" xfId="0" applyFont="1" applyFill="1" applyBorder="1" applyAlignment="1">
      <alignment horizontal="center" vertical="center"/>
    </xf>
    <xf numFmtId="0" fontId="28" fillId="3" borderId="45" xfId="0" applyFont="1" applyFill="1" applyBorder="1" applyAlignment="1">
      <alignment horizontal="center" vertical="center"/>
    </xf>
    <xf numFmtId="0" fontId="28" fillId="3" borderId="54" xfId="0" applyFont="1" applyFill="1" applyBorder="1" applyAlignment="1">
      <alignment horizontal="center" vertical="center"/>
    </xf>
    <xf numFmtId="0" fontId="26" fillId="0" borderId="27" xfId="0" applyFont="1" applyBorder="1" applyAlignment="1">
      <alignment horizontal="center" vertical="center"/>
    </xf>
    <xf numFmtId="0" fontId="26" fillId="0" borderId="22" xfId="0" applyFont="1" applyBorder="1" applyAlignment="1">
      <alignment vertical="center"/>
    </xf>
    <xf numFmtId="0" fontId="86" fillId="0" borderId="49" xfId="0" applyFont="1" applyBorder="1" applyAlignment="1">
      <alignment horizontal="center" vertical="center" wrapText="1"/>
    </xf>
    <xf numFmtId="0" fontId="34" fillId="0" borderId="27" xfId="0" applyFont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86" fillId="0" borderId="36" xfId="0" applyFont="1" applyBorder="1" applyAlignment="1">
      <alignment horizontal="center" vertical="center"/>
    </xf>
    <xf numFmtId="0" fontId="86" fillId="0" borderId="50" xfId="0" applyFont="1" applyBorder="1" applyAlignment="1">
      <alignment horizontal="center" vertical="center"/>
    </xf>
    <xf numFmtId="0" fontId="86" fillId="0" borderId="0" xfId="0" applyFont="1" applyBorder="1" applyAlignment="1">
      <alignment horizontal="center" vertical="center"/>
    </xf>
    <xf numFmtId="0" fontId="86" fillId="0" borderId="26" xfId="0" applyFont="1" applyBorder="1" applyAlignment="1">
      <alignment horizontal="center" vertical="center"/>
    </xf>
    <xf numFmtId="0" fontId="86" fillId="0" borderId="2" xfId="0" applyFont="1" applyBorder="1" applyAlignment="1">
      <alignment horizontal="center" vertical="center"/>
    </xf>
    <xf numFmtId="0" fontId="86" fillId="0" borderId="22" xfId="0" applyFont="1" applyBorder="1" applyAlignment="1">
      <alignment horizontal="center" vertical="center"/>
    </xf>
    <xf numFmtId="0" fontId="83" fillId="0" borderId="49" xfId="0" applyFont="1" applyBorder="1" applyAlignment="1">
      <alignment horizontal="center" vertical="center" wrapText="1"/>
    </xf>
    <xf numFmtId="0" fontId="32" fillId="0" borderId="9" xfId="0" applyFont="1" applyBorder="1" applyAlignment="1">
      <alignment horizontal="right" vertical="center"/>
    </xf>
    <xf numFmtId="0" fontId="32" fillId="0" borderId="10" xfId="0" applyFont="1" applyBorder="1" applyAlignment="1">
      <alignment horizontal="right" vertical="center"/>
    </xf>
    <xf numFmtId="0" fontId="39" fillId="0" borderId="0" xfId="0" applyFont="1" applyAlignment="1">
      <alignment horizontal="right" vertical="center" wrapText="1"/>
    </xf>
    <xf numFmtId="0" fontId="102" fillId="0" borderId="5" xfId="0" applyFont="1" applyBorder="1" applyAlignment="1">
      <alignment horizontal="center" vertical="center" wrapText="1"/>
    </xf>
    <xf numFmtId="0" fontId="102" fillId="0" borderId="7" xfId="0" applyFont="1" applyBorder="1" applyAlignment="1">
      <alignment horizontal="center" vertical="center" wrapText="1"/>
    </xf>
    <xf numFmtId="0" fontId="103" fillId="0" borderId="5" xfId="0" applyFont="1" applyBorder="1" applyAlignment="1">
      <alignment horizontal="center" vertical="center" wrapText="1"/>
    </xf>
    <xf numFmtId="0" fontId="103" fillId="0" borderId="7" xfId="0" applyFont="1" applyBorder="1" applyAlignment="1">
      <alignment horizontal="center" vertical="center" wrapText="1"/>
    </xf>
    <xf numFmtId="0" fontId="81" fillId="0" borderId="5" xfId="0" applyFont="1" applyBorder="1" applyAlignment="1">
      <alignment horizontal="center" vertical="center" wrapText="1"/>
    </xf>
    <xf numFmtId="0" fontId="81" fillId="0" borderId="7" xfId="0" applyFont="1" applyBorder="1" applyAlignment="1">
      <alignment horizontal="center" vertical="center" wrapText="1"/>
    </xf>
    <xf numFmtId="0" fontId="49" fillId="0" borderId="4" xfId="0" applyFont="1" applyBorder="1" applyAlignment="1">
      <alignment horizontal="center" vertical="center"/>
    </xf>
    <xf numFmtId="0" fontId="57" fillId="0" borderId="4" xfId="0" applyFont="1" applyBorder="1" applyAlignment="1">
      <alignment horizontal="center" vertical="center"/>
    </xf>
    <xf numFmtId="0" fontId="21" fillId="0" borderId="34" xfId="1" applyFont="1" applyFill="1" applyBorder="1" applyAlignment="1">
      <alignment horizontal="left" vertical="center" wrapText="1"/>
    </xf>
    <xf numFmtId="0" fontId="21" fillId="0" borderId="15" xfId="1" applyFont="1" applyFill="1" applyBorder="1" applyAlignment="1">
      <alignment horizontal="left" vertical="center" wrapText="1"/>
    </xf>
    <xf numFmtId="1" fontId="21" fillId="0" borderId="34" xfId="1" applyNumberFormat="1" applyFont="1" applyFill="1" applyBorder="1" applyAlignment="1">
      <alignment horizontal="center" vertical="center" wrapText="1"/>
    </xf>
    <xf numFmtId="1" fontId="21" fillId="0" borderId="15" xfId="1" applyNumberFormat="1" applyFont="1" applyFill="1" applyBorder="1" applyAlignment="1">
      <alignment horizontal="center" vertical="center" wrapText="1"/>
    </xf>
    <xf numFmtId="0" fontId="3" fillId="0" borderId="34" xfId="1" applyFont="1" applyBorder="1" applyAlignment="1">
      <alignment horizontal="center" vertical="center" wrapText="1"/>
    </xf>
    <xf numFmtId="0" fontId="3" fillId="0" borderId="15" xfId="1" applyFont="1" applyBorder="1" applyAlignment="1">
      <alignment horizontal="center" vertical="center" wrapText="1"/>
    </xf>
    <xf numFmtId="0" fontId="8" fillId="0" borderId="34" xfId="1" applyFont="1" applyFill="1" applyBorder="1" applyAlignment="1">
      <alignment horizontal="left" vertical="center"/>
    </xf>
    <xf numFmtId="0" fontId="8" fillId="0" borderId="15" xfId="1" applyFont="1" applyFill="1" applyBorder="1" applyAlignment="1">
      <alignment horizontal="left" vertical="center"/>
    </xf>
    <xf numFmtId="0" fontId="21" fillId="0" borderId="4" xfId="1" applyFont="1" applyFill="1" applyBorder="1" applyAlignment="1">
      <alignment horizontal="left" vertical="center" wrapText="1"/>
    </xf>
    <xf numFmtId="0" fontId="21" fillId="0" borderId="24" xfId="1" applyFont="1" applyFill="1" applyBorder="1" applyAlignment="1">
      <alignment horizontal="left" vertical="center" wrapText="1"/>
    </xf>
    <xf numFmtId="0" fontId="21" fillId="0" borderId="39" xfId="1" applyFont="1" applyFill="1" applyBorder="1" applyAlignment="1">
      <alignment horizontal="left" vertical="center" wrapText="1"/>
    </xf>
    <xf numFmtId="0" fontId="21" fillId="0" borderId="5" xfId="1" applyFont="1" applyFill="1" applyBorder="1" applyAlignment="1">
      <alignment horizontal="left" vertical="center" wrapText="1"/>
    </xf>
    <xf numFmtId="0" fontId="21" fillId="0" borderId="7" xfId="1" applyFont="1" applyFill="1" applyBorder="1" applyAlignment="1">
      <alignment horizontal="left" vertical="center" wrapText="1"/>
    </xf>
    <xf numFmtId="0" fontId="21" fillId="0" borderId="5" xfId="1" applyFont="1" applyFill="1" applyBorder="1" applyAlignment="1">
      <alignment horizontal="center" vertical="center" wrapText="1"/>
    </xf>
    <xf numFmtId="0" fontId="21" fillId="0" borderId="7" xfId="1" applyFont="1" applyFill="1" applyBorder="1" applyAlignment="1">
      <alignment horizontal="center" vertical="center" wrapText="1"/>
    </xf>
    <xf numFmtId="0" fontId="6" fillId="0" borderId="5" xfId="1" applyFont="1" applyFill="1" applyBorder="1" applyAlignment="1">
      <alignment horizontal="left" vertical="center" wrapText="1"/>
    </xf>
    <xf numFmtId="0" fontId="6" fillId="0" borderId="7" xfId="1" applyFont="1" applyFill="1" applyBorder="1" applyAlignment="1">
      <alignment horizontal="left" vertical="center" wrapText="1"/>
    </xf>
    <xf numFmtId="0" fontId="19" fillId="0" borderId="5" xfId="1" applyFont="1" applyBorder="1" applyAlignment="1">
      <alignment horizontal="left" vertical="center" wrapText="1"/>
    </xf>
    <xf numFmtId="0" fontId="19" fillId="0" borderId="7" xfId="1" applyFont="1" applyBorder="1" applyAlignment="1">
      <alignment horizontal="left" vertical="center" wrapText="1"/>
    </xf>
    <xf numFmtId="0" fontId="6" fillId="0" borderId="5" xfId="1" applyFont="1" applyFill="1" applyBorder="1" applyAlignment="1">
      <alignment horizontal="center" vertical="center" wrapText="1"/>
    </xf>
    <xf numFmtId="0" fontId="6" fillId="0" borderId="7" xfId="1" applyFont="1" applyFill="1" applyBorder="1" applyAlignment="1">
      <alignment horizontal="center" vertical="center" wrapText="1"/>
    </xf>
    <xf numFmtId="0" fontId="19" fillId="0" borderId="5" xfId="1" applyFont="1" applyFill="1" applyBorder="1" applyAlignment="1">
      <alignment horizontal="left" vertical="center" wrapText="1"/>
    </xf>
    <xf numFmtId="0" fontId="19" fillId="0" borderId="7" xfId="1" applyFont="1" applyFill="1" applyBorder="1" applyAlignment="1">
      <alignment horizontal="left" vertical="center" wrapText="1"/>
    </xf>
    <xf numFmtId="0" fontId="21" fillId="0" borderId="6" xfId="1" applyFont="1" applyFill="1" applyBorder="1" applyAlignment="1">
      <alignment horizontal="center" vertical="center" wrapText="1"/>
    </xf>
    <xf numFmtId="0" fontId="21" fillId="0" borderId="26" xfId="1" applyFont="1" applyFill="1" applyBorder="1" applyAlignment="1">
      <alignment horizontal="center" vertical="center" wrapText="1"/>
    </xf>
    <xf numFmtId="0" fontId="17" fillId="0" borderId="0" xfId="0" applyFont="1" applyBorder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16" fillId="0" borderId="5" xfId="1" applyFont="1" applyFill="1" applyBorder="1" applyAlignment="1">
      <alignment horizontal="left" vertical="center" wrapText="1"/>
    </xf>
    <xf numFmtId="0" fontId="16" fillId="0" borderId="7" xfId="1" applyFont="1" applyFill="1" applyBorder="1" applyAlignment="1">
      <alignment horizontal="left" vertical="center" wrapText="1"/>
    </xf>
    <xf numFmtId="0" fontId="2" fillId="0" borderId="5" xfId="1" applyFont="1" applyFill="1" applyBorder="1" applyAlignment="1">
      <alignment horizontal="left" vertical="center" wrapText="1"/>
    </xf>
    <xf numFmtId="0" fontId="2" fillId="0" borderId="7" xfId="1" applyFont="1" applyFill="1" applyBorder="1" applyAlignment="1">
      <alignment horizontal="left" vertical="center" wrapText="1"/>
    </xf>
    <xf numFmtId="0" fontId="8" fillId="0" borderId="5" xfId="1" applyFont="1" applyFill="1" applyBorder="1" applyAlignment="1">
      <alignment horizontal="center" vertical="center" wrapText="1"/>
    </xf>
    <xf numFmtId="0" fontId="8" fillId="0" borderId="7" xfId="1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8" fillId="0" borderId="7" xfId="1" applyFont="1" applyFill="1" applyBorder="1" applyAlignment="1">
      <alignment horizontal="center" vertical="center" wrapText="1"/>
    </xf>
    <xf numFmtId="0" fontId="3" fillId="0" borderId="27" xfId="1" applyFont="1" applyFill="1" applyBorder="1" applyAlignment="1">
      <alignment horizontal="left" vertical="center" wrapText="1"/>
    </xf>
    <xf numFmtId="0" fontId="3" fillId="0" borderId="22" xfId="1" applyFont="1" applyFill="1" applyBorder="1" applyAlignment="1">
      <alignment horizontal="left" vertical="center" wrapText="1"/>
    </xf>
    <xf numFmtId="0" fontId="3" fillId="0" borderId="5" xfId="1" applyFont="1" applyBorder="1" applyAlignment="1">
      <alignment horizontal="left" vertical="center" wrapText="1"/>
    </xf>
    <xf numFmtId="0" fontId="3" fillId="0" borderId="7" xfId="1" applyFont="1" applyBorder="1" applyAlignment="1">
      <alignment horizontal="left" vertical="center" wrapText="1"/>
    </xf>
    <xf numFmtId="0" fontId="3" fillId="0" borderId="24" xfId="1" applyFont="1" applyFill="1" applyBorder="1" applyAlignment="1">
      <alignment horizontal="left" vertical="center" wrapText="1"/>
    </xf>
    <xf numFmtId="0" fontId="3" fillId="0" borderId="39" xfId="1" applyFont="1" applyFill="1" applyBorder="1" applyAlignment="1">
      <alignment horizontal="left" vertical="center" wrapText="1"/>
    </xf>
    <xf numFmtId="0" fontId="3" fillId="0" borderId="5" xfId="1" applyFont="1" applyFill="1" applyBorder="1" applyAlignment="1">
      <alignment horizontal="left" vertical="center" wrapText="1"/>
    </xf>
    <xf numFmtId="0" fontId="3" fillId="0" borderId="7" xfId="1" applyFont="1" applyFill="1" applyBorder="1" applyAlignment="1">
      <alignment horizontal="left" vertical="center" wrapText="1"/>
    </xf>
    <xf numFmtId="0" fontId="20" fillId="0" borderId="5" xfId="1" applyFont="1" applyBorder="1" applyAlignment="1">
      <alignment horizontal="left" vertical="center" wrapText="1"/>
    </xf>
    <xf numFmtId="0" fontId="20" fillId="0" borderId="7" xfId="1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/>
    </xf>
    <xf numFmtId="0" fontId="8" fillId="0" borderId="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4" xfId="1" applyFont="1" applyFill="1" applyBorder="1" applyAlignment="1">
      <alignment horizontal="left" vertical="center" wrapText="1"/>
    </xf>
    <xf numFmtId="0" fontId="8" fillId="0" borderId="0" xfId="0" applyFont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89" fillId="0" borderId="5" xfId="1" applyFont="1" applyFill="1" applyBorder="1" applyAlignment="1">
      <alignment horizontal="left" vertical="center" wrapText="1"/>
    </xf>
    <xf numFmtId="0" fontId="89" fillId="0" borderId="7" xfId="1" applyFont="1" applyFill="1" applyBorder="1" applyAlignment="1">
      <alignment horizontal="left" vertical="center" wrapText="1"/>
    </xf>
    <xf numFmtId="0" fontId="88" fillId="0" borderId="5" xfId="1" applyFont="1" applyFill="1" applyBorder="1" applyAlignment="1">
      <alignment horizontal="left" vertical="center" wrapText="1"/>
    </xf>
    <xf numFmtId="0" fontId="88" fillId="0" borderId="7" xfId="1" applyFont="1" applyFill="1" applyBorder="1" applyAlignment="1">
      <alignment horizontal="left" vertical="center" wrapText="1"/>
    </xf>
    <xf numFmtId="0" fontId="90" fillId="0" borderId="5" xfId="1" applyFont="1" applyFill="1" applyBorder="1" applyAlignment="1">
      <alignment horizontal="left" vertical="center" wrapText="1"/>
    </xf>
    <xf numFmtId="0" fontId="90" fillId="0" borderId="7" xfId="1" applyFont="1" applyFill="1" applyBorder="1" applyAlignment="1">
      <alignment horizontal="left" vertical="center" wrapText="1"/>
    </xf>
    <xf numFmtId="0" fontId="3" fillId="0" borderId="5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center" vertical="center" wrapText="1"/>
    </xf>
    <xf numFmtId="1" fontId="72" fillId="0" borderId="5" xfId="2" applyNumberFormat="1" applyFont="1" applyBorder="1" applyAlignment="1">
      <alignment horizontal="center"/>
    </xf>
    <xf numFmtId="1" fontId="72" fillId="0" borderId="3" xfId="2" applyNumberFormat="1" applyFont="1" applyBorder="1" applyAlignment="1">
      <alignment horizontal="center"/>
    </xf>
    <xf numFmtId="1" fontId="72" fillId="0" borderId="7" xfId="2" applyNumberFormat="1" applyFont="1" applyBorder="1" applyAlignment="1">
      <alignment horizontal="center"/>
    </xf>
    <xf numFmtId="0" fontId="3" fillId="0" borderId="0" xfId="1" applyFont="1" applyFill="1" applyAlignment="1">
      <alignment horizontal="center" vertical="top" wrapText="1"/>
    </xf>
    <xf numFmtId="167" fontId="72" fillId="0" borderId="5" xfId="2" applyNumberFormat="1" applyFont="1" applyBorder="1" applyAlignment="1">
      <alignment horizontal="center"/>
    </xf>
    <xf numFmtId="167" fontId="72" fillId="0" borderId="3" xfId="2" applyNumberFormat="1" applyFont="1" applyBorder="1" applyAlignment="1">
      <alignment horizontal="center"/>
    </xf>
    <xf numFmtId="167" fontId="72" fillId="0" borderId="7" xfId="2" applyNumberFormat="1" applyFont="1" applyBorder="1" applyAlignment="1">
      <alignment horizontal="center"/>
    </xf>
    <xf numFmtId="1" fontId="72" fillId="0" borderId="4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56" fillId="0" borderId="5" xfId="0" applyFont="1" applyFill="1" applyBorder="1" applyAlignment="1">
      <alignment horizontal="center" vertical="center"/>
    </xf>
    <xf numFmtId="0" fontId="56" fillId="0" borderId="3" xfId="0" applyFont="1" applyFill="1" applyBorder="1" applyAlignment="1">
      <alignment horizontal="center" vertical="center"/>
    </xf>
    <xf numFmtId="0" fontId="56" fillId="0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6" fillId="0" borderId="4" xfId="0" applyFont="1" applyFill="1" applyBorder="1" applyAlignment="1">
      <alignment horizontal="center" vertical="center"/>
    </xf>
    <xf numFmtId="0" fontId="56" fillId="0" borderId="5" xfId="0" applyFont="1" applyFill="1" applyBorder="1" applyAlignment="1">
      <alignment horizontal="center" vertical="center" wrapText="1"/>
    </xf>
    <xf numFmtId="0" fontId="56" fillId="0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22" fillId="0" borderId="0" xfId="0" applyFont="1" applyAlignment="1">
      <alignment horizontal="center"/>
    </xf>
    <xf numFmtId="0" fontId="45" fillId="0" borderId="34" xfId="0" applyFont="1" applyBorder="1" applyAlignment="1">
      <alignment horizontal="center" vertical="center" textRotation="90" wrapText="1"/>
    </xf>
    <xf numFmtId="0" fontId="45" fillId="0" borderId="15" xfId="0" applyFont="1" applyBorder="1" applyAlignment="1">
      <alignment horizontal="center" vertical="center" textRotation="90" wrapText="1"/>
    </xf>
    <xf numFmtId="0" fontId="56" fillId="0" borderId="3" xfId="0" applyFont="1" applyFill="1" applyBorder="1" applyAlignment="1">
      <alignment horizontal="center" vertical="center" wrapText="1"/>
    </xf>
    <xf numFmtId="0" fontId="56" fillId="0" borderId="4" xfId="0" applyFont="1" applyFill="1" applyBorder="1" applyAlignment="1">
      <alignment horizontal="center" vertical="center" wrapText="1"/>
    </xf>
  </cellXfs>
  <cellStyles count="8">
    <cellStyle name="Обычный" xfId="0" builtinId="0"/>
    <cellStyle name="Обычный 2" xfId="1"/>
    <cellStyle name="Обычный 2 2" xfId="2"/>
    <cellStyle name="Обычный 3" xfId="3"/>
    <cellStyle name="Обычный 3 2" xfId="4"/>
    <cellStyle name="Обычный 4" xfId="5"/>
    <cellStyle name="Обычный 4 2" xfId="6"/>
    <cellStyle name="Процентный" xfId="7" builtinId="5"/>
  </cellStyles>
  <dxfs count="0"/>
  <tableStyles count="0" defaultTableStyle="TableStyleMedium9" defaultPivotStyle="PivotStyleLight16"/>
  <colors>
    <mruColors>
      <color rgb="FF0033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0;&#1057;&#1054;&#1048;&#1059;,&#1040;&#1055;&#1059;/&#1059;&#1055;_230400_&#1040;&#1057;&#1054;&#1048;&#1059;_09.0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9;&#1095;&#1077;&#1073;&#1085;&#1099;&#1077;%20&#1087;&#1083;&#1072;&#1085;&#1099;%20&#1087;&#1086;%20&#1060;&#1043;&#1054;&#1057;-3/&#1054;&#1095;&#1085;&#1086;&#1077;%20&#1086;&#1073;&#1091;&#1095;&#1077;&#1085;&#1080;&#1077;/&#1041;&#1072;&#1082;&#1072;&#1083;&#1072;&#1074;&#1088;&#1099;/FEL/&#1060;&#1069;&#1051;_122_&#1069;&#1055;&#1059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60;&#1050;&#1058;&#1048;_131_&#1057;&#1040;&#1055;&#1056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Шахм"/>
      <sheetName val="Прил.Шахм."/>
      <sheetName val="ТС_ППС"/>
      <sheetName val="ТС_РО"/>
    </sheetNames>
    <sheetDataSet>
      <sheetData sheetId="0">
        <row r="4">
          <cell r="AD4" t="str">
            <v>АСОИУ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Шахм"/>
      <sheetName val="ПрилШахм"/>
      <sheetName val="ТС_ППС"/>
      <sheetName val="ТС"/>
      <sheetName val="Прил3"/>
      <sheetName val="UP122"/>
      <sheetName val="ТитЛист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AC4" t="str">
            <v>УТВЕРЖДАЮ</v>
          </cell>
        </row>
        <row r="5">
          <cell r="AC5" t="str">
            <v>Проректор по учебной работе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Шахм"/>
      <sheetName val="ПрилШахм"/>
      <sheetName val="ТС_ППС"/>
      <sheetName val="ТС"/>
      <sheetName val="UP131"/>
      <sheetName val="ТитЛист"/>
    </sheetNames>
    <sheetDataSet>
      <sheetData sheetId="0"/>
      <sheetData sheetId="1"/>
      <sheetData sheetId="2"/>
      <sheetData sheetId="3"/>
      <sheetData sheetId="4"/>
      <sheetData sheetId="5">
        <row r="8">
          <cell r="AC8" t="str">
            <v>_____________ Н. В. Лысенко</v>
          </cell>
        </row>
        <row r="9">
          <cell r="AC9" t="str">
            <v xml:space="preserve">  01   марта  2011 г.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AJ217"/>
  <sheetViews>
    <sheetView view="pageBreakPreview" topLeftCell="A121" zoomScale="80" zoomScaleNormal="90" zoomScaleSheetLayoutView="80" zoomScalePageLayoutView="90" workbookViewId="0">
      <selection activeCell="X20" sqref="X20:AB22"/>
    </sheetView>
  </sheetViews>
  <sheetFormatPr defaultRowHeight="12.75"/>
  <cols>
    <col min="1" max="1" width="8" style="4" customWidth="1"/>
    <col min="2" max="2" width="7.140625" style="4" customWidth="1"/>
    <col min="3" max="17" width="5.7109375" style="4" customWidth="1"/>
    <col min="18" max="18" width="6" style="4" customWidth="1"/>
    <col min="19" max="21" width="5.28515625" style="4" customWidth="1"/>
    <col min="22" max="22" width="6.85546875" style="4" customWidth="1"/>
    <col min="23" max="28" width="5.28515625" style="4" customWidth="1"/>
    <col min="29" max="29" width="4.42578125" style="4" customWidth="1"/>
    <col min="30" max="30" width="5.28515625" style="4" customWidth="1"/>
    <col min="31" max="31" width="6.7109375" style="4" customWidth="1"/>
    <col min="32" max="32" width="5.28515625" style="4" customWidth="1"/>
    <col min="33" max="33" width="5.28515625" style="3" customWidth="1"/>
    <col min="34" max="34" width="5.85546875" style="4" customWidth="1"/>
    <col min="35" max="16384" width="9.140625" style="4"/>
  </cols>
  <sheetData>
    <row r="1" spans="1:34" s="119" customFormat="1" ht="19.5" customHeight="1">
      <c r="A1" s="263" t="s">
        <v>562</v>
      </c>
      <c r="B1" s="116"/>
      <c r="C1" s="116"/>
      <c r="D1" s="116"/>
      <c r="E1" s="117"/>
      <c r="F1" s="118"/>
      <c r="G1" s="118"/>
      <c r="H1" s="118"/>
      <c r="I1" s="118"/>
      <c r="J1" s="118"/>
      <c r="M1" s="118"/>
      <c r="N1" s="118"/>
      <c r="O1" s="118"/>
      <c r="Q1" s="243" t="s">
        <v>197</v>
      </c>
      <c r="R1" s="1003"/>
      <c r="S1" s="1003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21"/>
      <c r="AH1" s="121"/>
    </row>
    <row r="2" spans="1:34" s="124" customFormat="1" ht="11.25" customHeight="1">
      <c r="A2" s="120"/>
      <c r="B2" s="120"/>
      <c r="C2" s="120"/>
      <c r="D2" s="120"/>
      <c r="E2" s="120"/>
      <c r="F2" s="121"/>
      <c r="G2" s="121"/>
      <c r="H2" s="121"/>
      <c r="I2" s="121"/>
      <c r="J2" s="121"/>
      <c r="K2" s="122"/>
      <c r="L2" s="123"/>
      <c r="M2" s="121"/>
      <c r="N2" s="121"/>
      <c r="O2" s="121"/>
      <c r="P2" s="121"/>
      <c r="Q2" s="121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1"/>
      <c r="AH2" s="121"/>
    </row>
    <row r="3" spans="1:34" s="126" customFormat="1" ht="14.25" customHeight="1">
      <c r="A3" s="130"/>
      <c r="B3" s="125"/>
      <c r="C3" s="125"/>
      <c r="D3" s="125"/>
      <c r="F3" s="127"/>
      <c r="G3" s="127"/>
      <c r="J3" s="127"/>
      <c r="K3" s="127"/>
      <c r="L3" s="127"/>
      <c r="M3" s="244" t="s">
        <v>198</v>
      </c>
      <c r="N3" s="1004" t="s">
        <v>563</v>
      </c>
      <c r="O3" s="1004"/>
      <c r="P3" s="1004"/>
      <c r="Q3" s="1004"/>
      <c r="R3" s="1004"/>
      <c r="S3" s="1004"/>
      <c r="T3" s="1004"/>
      <c r="U3" s="1004"/>
      <c r="V3" s="1004"/>
      <c r="W3" s="1004"/>
      <c r="X3" s="1004"/>
      <c r="Y3" s="129"/>
      <c r="Z3" s="129"/>
      <c r="AA3" s="128"/>
      <c r="AB3" s="245"/>
      <c r="AC3" s="1007"/>
      <c r="AD3" s="1007"/>
      <c r="AG3" s="183"/>
      <c r="AH3" s="1157" t="s">
        <v>57</v>
      </c>
    </row>
    <row r="4" spans="1:34" s="126" customFormat="1" ht="17.25" customHeight="1">
      <c r="A4" s="121"/>
      <c r="B4" s="248" t="s">
        <v>564</v>
      </c>
      <c r="C4" s="248"/>
      <c r="D4" s="248"/>
      <c r="E4" s="772"/>
      <c r="F4" s="248" t="s">
        <v>565</v>
      </c>
      <c r="G4" s="248"/>
      <c r="H4" s="248"/>
      <c r="I4" s="248"/>
      <c r="J4" s="248"/>
      <c r="K4" s="248"/>
      <c r="L4" s="248"/>
      <c r="M4" s="248"/>
      <c r="N4" s="248"/>
      <c r="O4" s="248"/>
      <c r="P4" s="248"/>
      <c r="Q4" s="248"/>
      <c r="R4" s="248"/>
      <c r="S4" s="248"/>
      <c r="T4" s="248"/>
      <c r="U4" s="248"/>
      <c r="V4" s="127"/>
      <c r="W4" s="129"/>
      <c r="X4" s="129"/>
      <c r="Y4" s="129"/>
      <c r="Z4" s="129"/>
      <c r="AA4" s="128"/>
      <c r="AB4" s="245" t="s">
        <v>199</v>
      </c>
      <c r="AC4" s="1007" t="s">
        <v>219</v>
      </c>
      <c r="AD4" s="1007"/>
      <c r="AG4" s="183"/>
      <c r="AH4" s="1158"/>
    </row>
    <row r="5" spans="1:34" s="5" customFormat="1" ht="17.25" customHeight="1">
      <c r="A5" s="130"/>
      <c r="B5" s="75" t="s">
        <v>0</v>
      </c>
      <c r="C5" s="1006">
        <f ca="1">TODAY()</f>
        <v>40805</v>
      </c>
      <c r="D5" s="1006"/>
      <c r="E5" s="1006"/>
      <c r="F5" s="1005" t="s">
        <v>1</v>
      </c>
      <c r="G5" s="1005"/>
      <c r="H5" s="1005"/>
      <c r="I5" s="1005"/>
      <c r="J5" s="637" t="s">
        <v>567</v>
      </c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3"/>
      <c r="AA5" s="1008" t="s">
        <v>566</v>
      </c>
      <c r="AB5" s="1008"/>
      <c r="AC5" s="1008"/>
      <c r="AD5" s="1008"/>
      <c r="AE5" s="1008"/>
      <c r="AF5" s="134"/>
      <c r="AG5" s="736">
        <v>36</v>
      </c>
      <c r="AH5" s="1158"/>
    </row>
    <row r="6" spans="1:34" ht="14.25" customHeight="1">
      <c r="A6" s="130"/>
      <c r="B6" s="135"/>
      <c r="C6" s="135"/>
      <c r="D6" s="135"/>
      <c r="E6" s="136"/>
      <c r="F6" s="136"/>
      <c r="G6" s="75"/>
      <c r="H6" s="137"/>
      <c r="I6" s="137"/>
      <c r="J6" s="7"/>
      <c r="K6" s="132"/>
      <c r="L6" s="131"/>
      <c r="M6" s="131"/>
      <c r="N6" s="131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5"/>
      <c r="AE6" s="52"/>
      <c r="AF6" s="51" t="s">
        <v>40</v>
      </c>
      <c r="AG6" s="191">
        <v>34</v>
      </c>
      <c r="AH6" s="1158"/>
    </row>
    <row r="7" spans="1:34" s="6" customFormat="1" ht="15" customHeight="1">
      <c r="A7" s="264"/>
      <c r="B7" s="1167" t="s">
        <v>49</v>
      </c>
      <c r="C7" s="1168"/>
      <c r="D7" s="1168"/>
      <c r="E7" s="1168"/>
      <c r="F7" s="1168"/>
      <c r="G7" s="1168"/>
      <c r="H7" s="1168"/>
      <c r="I7" s="1168"/>
      <c r="J7" s="1168"/>
      <c r="K7" s="1168"/>
      <c r="L7" s="1168"/>
      <c r="M7" s="1168"/>
      <c r="N7" s="1168"/>
      <c r="O7" s="1168"/>
      <c r="P7" s="1168"/>
      <c r="Q7" s="1168"/>
      <c r="R7" s="1168"/>
      <c r="S7" s="1168"/>
      <c r="T7" s="1168"/>
      <c r="U7" s="1168"/>
      <c r="V7" s="1168"/>
      <c r="W7" s="1168"/>
      <c r="X7" s="1168"/>
      <c r="Y7" s="1168"/>
      <c r="Z7" s="1168"/>
      <c r="AA7" s="1168"/>
      <c r="AB7" s="1168"/>
      <c r="AC7" s="1168"/>
      <c r="AD7" s="1168"/>
      <c r="AE7" s="1169"/>
      <c r="AF7" s="138"/>
      <c r="AG7" s="192"/>
      <c r="AH7" s="1158"/>
    </row>
    <row r="8" spans="1:34" ht="13.5" thickBot="1">
      <c r="A8" s="265" t="s">
        <v>32</v>
      </c>
      <c r="B8" s="499">
        <v>1</v>
      </c>
      <c r="C8" s="499">
        <v>2</v>
      </c>
      <c r="D8" s="499">
        <v>3</v>
      </c>
      <c r="E8" s="499">
        <v>4</v>
      </c>
      <c r="F8" s="499">
        <v>5</v>
      </c>
      <c r="G8" s="499">
        <v>6</v>
      </c>
      <c r="H8" s="499">
        <v>7</v>
      </c>
      <c r="I8" s="499">
        <v>8</v>
      </c>
      <c r="J8" s="499">
        <v>9</v>
      </c>
      <c r="K8" s="499">
        <v>10</v>
      </c>
      <c r="L8" s="499">
        <v>11</v>
      </c>
      <c r="M8" s="499">
        <v>12</v>
      </c>
      <c r="N8" s="499">
        <v>13</v>
      </c>
      <c r="O8" s="499">
        <v>14</v>
      </c>
      <c r="P8" s="499">
        <v>15</v>
      </c>
      <c r="Q8" s="499">
        <v>16</v>
      </c>
      <c r="R8" s="499">
        <v>17</v>
      </c>
      <c r="S8" s="499">
        <v>18</v>
      </c>
      <c r="T8" s="499">
        <v>19</v>
      </c>
      <c r="U8" s="499">
        <v>20</v>
      </c>
      <c r="V8" s="499">
        <v>21</v>
      </c>
      <c r="W8" s="499">
        <v>22</v>
      </c>
      <c r="X8" s="499">
        <v>23</v>
      </c>
      <c r="Y8" s="499">
        <v>24</v>
      </c>
      <c r="Z8" s="499">
        <v>25</v>
      </c>
      <c r="AA8" s="499">
        <v>26</v>
      </c>
      <c r="AB8" s="499">
        <v>27</v>
      </c>
      <c r="AC8" s="499">
        <v>28</v>
      </c>
      <c r="AD8" s="499">
        <v>29</v>
      </c>
      <c r="AE8" s="499">
        <v>30</v>
      </c>
      <c r="AF8" s="1159" t="s">
        <v>2</v>
      </c>
      <c r="AG8" s="1160"/>
      <c r="AH8" s="1158"/>
    </row>
    <row r="9" spans="1:34" ht="12.75" customHeight="1">
      <c r="A9" s="288" t="s">
        <v>561</v>
      </c>
      <c r="B9" s="949" t="s">
        <v>576</v>
      </c>
      <c r="C9" s="950"/>
      <c r="D9" s="950"/>
      <c r="E9" s="951"/>
      <c r="F9" s="922" t="s">
        <v>577</v>
      </c>
      <c r="G9" s="923"/>
      <c r="H9" s="923"/>
      <c r="I9" s="923"/>
      <c r="J9" s="924"/>
      <c r="K9" s="922" t="s">
        <v>578</v>
      </c>
      <c r="L9" s="923"/>
      <c r="M9" s="923"/>
      <c r="N9" s="923"/>
      <c r="O9" s="924"/>
      <c r="P9" s="922" t="s">
        <v>579</v>
      </c>
      <c r="Q9" s="923"/>
      <c r="R9" s="923"/>
      <c r="S9" s="923"/>
      <c r="T9" s="924"/>
      <c r="U9" s="931" t="s">
        <v>580</v>
      </c>
      <c r="V9" s="932"/>
      <c r="W9" s="932"/>
      <c r="X9" s="932"/>
      <c r="Y9" s="933"/>
      <c r="Z9" s="931" t="s">
        <v>581</v>
      </c>
      <c r="AA9" s="932"/>
      <c r="AB9" s="933"/>
      <c r="AC9" s="966" t="s">
        <v>582</v>
      </c>
      <c r="AD9" s="1174"/>
      <c r="AE9" s="1175"/>
      <c r="AF9" s="214"/>
      <c r="AG9" s="189"/>
      <c r="AH9" s="765"/>
    </row>
    <row r="10" spans="1:34">
      <c r="A10" s="275">
        <v>18</v>
      </c>
      <c r="B10" s="952"/>
      <c r="C10" s="953"/>
      <c r="D10" s="953"/>
      <c r="E10" s="954"/>
      <c r="F10" s="925"/>
      <c r="G10" s="926"/>
      <c r="H10" s="926"/>
      <c r="I10" s="926"/>
      <c r="J10" s="927"/>
      <c r="K10" s="925"/>
      <c r="L10" s="926"/>
      <c r="M10" s="926"/>
      <c r="N10" s="926"/>
      <c r="O10" s="927"/>
      <c r="P10" s="925"/>
      <c r="Q10" s="926"/>
      <c r="R10" s="926"/>
      <c r="S10" s="926"/>
      <c r="T10" s="927"/>
      <c r="U10" s="934"/>
      <c r="V10" s="935"/>
      <c r="W10" s="935"/>
      <c r="X10" s="935"/>
      <c r="Y10" s="936"/>
      <c r="Z10" s="934"/>
      <c r="AA10" s="935"/>
      <c r="AB10" s="936"/>
      <c r="AC10" s="1176"/>
      <c r="AD10" s="1177"/>
      <c r="AE10" s="1178"/>
      <c r="AF10" s="139"/>
      <c r="AG10" s="184"/>
      <c r="AH10" s="752"/>
    </row>
    <row r="11" spans="1:34">
      <c r="A11" s="276" t="s">
        <v>33</v>
      </c>
      <c r="B11" s="955"/>
      <c r="C11" s="956"/>
      <c r="D11" s="956"/>
      <c r="E11" s="957"/>
      <c r="F11" s="928"/>
      <c r="G11" s="929"/>
      <c r="H11" s="929"/>
      <c r="I11" s="929"/>
      <c r="J11" s="930"/>
      <c r="K11" s="928"/>
      <c r="L11" s="929"/>
      <c r="M11" s="929"/>
      <c r="N11" s="929"/>
      <c r="O11" s="930"/>
      <c r="P11" s="928"/>
      <c r="Q11" s="929"/>
      <c r="R11" s="929"/>
      <c r="S11" s="929"/>
      <c r="T11" s="930"/>
      <c r="U11" s="937"/>
      <c r="V11" s="938"/>
      <c r="W11" s="938"/>
      <c r="X11" s="938"/>
      <c r="Y11" s="939"/>
      <c r="Z11" s="937"/>
      <c r="AA11" s="938"/>
      <c r="AB11" s="939"/>
      <c r="AC11" s="1179"/>
      <c r="AD11" s="1180"/>
      <c r="AE11" s="1181"/>
      <c r="AF11" s="139"/>
      <c r="AG11" s="186"/>
      <c r="AH11" s="752"/>
    </row>
    <row r="12" spans="1:34">
      <c r="A12" s="236" t="s">
        <v>32</v>
      </c>
      <c r="B12" s="378"/>
      <c r="C12" s="375"/>
      <c r="D12" s="400"/>
      <c r="E12" s="349">
        <v>4</v>
      </c>
      <c r="F12" s="350"/>
      <c r="G12" s="350"/>
      <c r="H12" s="350"/>
      <c r="I12" s="465"/>
      <c r="J12" s="349">
        <v>5</v>
      </c>
      <c r="K12" s="400"/>
      <c r="L12" s="400"/>
      <c r="M12" s="400"/>
      <c r="N12" s="400"/>
      <c r="O12" s="349">
        <v>5</v>
      </c>
      <c r="P12" s="400"/>
      <c r="Q12" s="400"/>
      <c r="R12" s="400"/>
      <c r="S12" s="351"/>
      <c r="T12" s="349">
        <v>5</v>
      </c>
      <c r="U12" s="400"/>
      <c r="V12" s="400"/>
      <c r="W12" s="400"/>
      <c r="X12" s="400"/>
      <c r="Y12" s="377">
        <v>5</v>
      </c>
      <c r="Z12" s="400"/>
      <c r="AA12" s="400"/>
      <c r="AB12" s="377">
        <v>3</v>
      </c>
      <c r="AC12" s="400"/>
      <c r="AD12" s="400"/>
      <c r="AE12" s="377">
        <v>3</v>
      </c>
      <c r="AF12" s="139"/>
      <c r="AG12" s="239">
        <f>SUM(B12:AE12)</f>
        <v>30</v>
      </c>
      <c r="AH12" s="208"/>
    </row>
    <row r="13" spans="1:34">
      <c r="A13" s="277" t="s">
        <v>5</v>
      </c>
      <c r="B13" s="354"/>
      <c r="C13" s="766"/>
      <c r="D13" s="385"/>
      <c r="E13" s="386">
        <f>E12*$AG$6</f>
        <v>136</v>
      </c>
      <c r="F13" s="322"/>
      <c r="G13" s="322"/>
      <c r="H13" s="322"/>
      <c r="I13" s="387"/>
      <c r="J13" s="386">
        <f>J12*$AG$6</f>
        <v>170</v>
      </c>
      <c r="K13" s="385"/>
      <c r="L13" s="385"/>
      <c r="M13" s="385"/>
      <c r="N13" s="385"/>
      <c r="O13" s="386">
        <f>O12*$AG$6</f>
        <v>170</v>
      </c>
      <c r="P13" s="385"/>
      <c r="Q13" s="385"/>
      <c r="R13" s="385"/>
      <c r="S13" s="387"/>
      <c r="T13" s="386">
        <f>T12*$AG$6</f>
        <v>170</v>
      </c>
      <c r="U13" s="221"/>
      <c r="V13" s="385"/>
      <c r="W13" s="387"/>
      <c r="X13" s="385"/>
      <c r="Y13" s="386">
        <f>Y12*$AG$6</f>
        <v>170</v>
      </c>
      <c r="Z13" s="221"/>
      <c r="AA13" s="385"/>
      <c r="AB13" s="386">
        <f>AB12*$AG$6</f>
        <v>102</v>
      </c>
      <c r="AC13" s="221"/>
      <c r="AD13" s="385"/>
      <c r="AE13" s="386">
        <f>AE12*$AG$5</f>
        <v>108</v>
      </c>
      <c r="AF13" s="140"/>
      <c r="AG13" s="195">
        <f t="shared" ref="AG13:AG19" si="0">SUM(B13:AE13)</f>
        <v>1026</v>
      </c>
      <c r="AH13" s="209">
        <f>SUM(B13:AE13)</f>
        <v>1026</v>
      </c>
    </row>
    <row r="14" spans="1:34">
      <c r="A14" s="278" t="s">
        <v>4</v>
      </c>
      <c r="B14" s="355"/>
      <c r="C14" s="767"/>
      <c r="D14" s="390"/>
      <c r="E14" s="388">
        <f>E13-E15</f>
        <v>64</v>
      </c>
      <c r="F14" s="318"/>
      <c r="G14" s="318"/>
      <c r="H14" s="318"/>
      <c r="I14" s="260"/>
      <c r="J14" s="388">
        <f>J13-J15</f>
        <v>80</v>
      </c>
      <c r="K14" s="390"/>
      <c r="L14" s="390"/>
      <c r="M14" s="390"/>
      <c r="N14" s="390"/>
      <c r="O14" s="388">
        <f>O13-O15</f>
        <v>80</v>
      </c>
      <c r="P14" s="390"/>
      <c r="Q14" s="390"/>
      <c r="R14" s="390"/>
      <c r="S14" s="260"/>
      <c r="T14" s="388">
        <f>T13-T15</f>
        <v>80</v>
      </c>
      <c r="U14" s="221"/>
      <c r="V14" s="385"/>
      <c r="W14" s="260"/>
      <c r="X14" s="390"/>
      <c r="Y14" s="388">
        <f>Y13-Y15</f>
        <v>80</v>
      </c>
      <c r="Z14" s="221"/>
      <c r="AA14" s="385"/>
      <c r="AB14" s="388">
        <f>AB13-AB15</f>
        <v>30</v>
      </c>
      <c r="AC14" s="221"/>
      <c r="AD14" s="385"/>
      <c r="AE14" s="388">
        <f>AE13-AE15</f>
        <v>108</v>
      </c>
      <c r="AF14" s="14"/>
      <c r="AG14" s="193">
        <f t="shared" si="0"/>
        <v>522</v>
      </c>
      <c r="AH14" s="209">
        <f>SUM(B14:AE14)</f>
        <v>522</v>
      </c>
    </row>
    <row r="15" spans="1:34">
      <c r="A15" s="279" t="s">
        <v>3</v>
      </c>
      <c r="B15" s="380"/>
      <c r="C15" s="768"/>
      <c r="D15" s="322"/>
      <c r="E15" s="321">
        <f>B19*A10</f>
        <v>72</v>
      </c>
      <c r="F15" s="322"/>
      <c r="G15" s="322"/>
      <c r="H15" s="322"/>
      <c r="I15" s="488"/>
      <c r="J15" s="321">
        <f>F19*A10</f>
        <v>90</v>
      </c>
      <c r="K15" s="322"/>
      <c r="L15" s="322"/>
      <c r="M15" s="322"/>
      <c r="N15" s="322"/>
      <c r="O15" s="321">
        <f>K19*A10</f>
        <v>90</v>
      </c>
      <c r="P15" s="322"/>
      <c r="Q15" s="322"/>
      <c r="R15" s="322"/>
      <c r="S15" s="489"/>
      <c r="T15" s="321">
        <f>P19*A10</f>
        <v>90</v>
      </c>
      <c r="U15" s="490"/>
      <c r="V15" s="322"/>
      <c r="W15" s="489"/>
      <c r="X15" s="322"/>
      <c r="Y15" s="321">
        <f>U19*A10</f>
        <v>90</v>
      </c>
      <c r="Z15" s="490"/>
      <c r="AA15" s="322"/>
      <c r="AB15" s="321">
        <f>Z19*A10</f>
        <v>72</v>
      </c>
      <c r="AC15" s="490"/>
      <c r="AD15" s="322"/>
      <c r="AE15" s="321"/>
      <c r="AF15" s="14"/>
      <c r="AG15" s="187">
        <f t="shared" si="0"/>
        <v>504</v>
      </c>
      <c r="AH15" s="212"/>
    </row>
    <row r="16" spans="1:34">
      <c r="A16" s="280" t="s">
        <v>42</v>
      </c>
      <c r="B16" s="319">
        <v>3</v>
      </c>
      <c r="C16" s="322"/>
      <c r="D16" s="356"/>
      <c r="E16" s="357"/>
      <c r="F16" s="319">
        <v>3</v>
      </c>
      <c r="G16" s="318"/>
      <c r="H16" s="360"/>
      <c r="I16" s="358"/>
      <c r="J16" s="359"/>
      <c r="K16" s="319">
        <v>3</v>
      </c>
      <c r="L16" s="360"/>
      <c r="M16" s="360"/>
      <c r="N16" s="360"/>
      <c r="O16" s="359"/>
      <c r="P16" s="319">
        <v>3</v>
      </c>
      <c r="Q16" s="322"/>
      <c r="R16" s="322"/>
      <c r="S16" s="358"/>
      <c r="T16" s="357"/>
      <c r="U16" s="319">
        <v>3</v>
      </c>
      <c r="V16" s="480"/>
      <c r="W16" s="363"/>
      <c r="X16" s="360"/>
      <c r="Y16" s="382"/>
      <c r="Z16" s="319">
        <v>2</v>
      </c>
      <c r="AA16" s="480"/>
      <c r="AB16" s="382"/>
      <c r="AC16" s="319"/>
      <c r="AD16" s="480"/>
      <c r="AE16" s="382"/>
      <c r="AF16" s="140"/>
      <c r="AG16" s="187">
        <f t="shared" si="0"/>
        <v>17</v>
      </c>
      <c r="AH16" s="209">
        <f>AG16*A10</f>
        <v>306</v>
      </c>
    </row>
    <row r="17" spans="1:34">
      <c r="A17" s="280" t="s">
        <v>43</v>
      </c>
      <c r="B17" s="319"/>
      <c r="C17" s="318"/>
      <c r="D17" s="360"/>
      <c r="E17" s="359"/>
      <c r="F17" s="319">
        <v>1</v>
      </c>
      <c r="G17" s="318"/>
      <c r="H17" s="360"/>
      <c r="I17" s="402"/>
      <c r="J17" s="359"/>
      <c r="K17" s="319">
        <v>1</v>
      </c>
      <c r="L17" s="360"/>
      <c r="M17" s="360"/>
      <c r="N17" s="360"/>
      <c r="O17" s="359"/>
      <c r="P17" s="319">
        <v>1</v>
      </c>
      <c r="Q17" s="318"/>
      <c r="R17" s="318"/>
      <c r="S17" s="363"/>
      <c r="T17" s="359"/>
      <c r="U17" s="319">
        <v>1</v>
      </c>
      <c r="V17" s="481"/>
      <c r="W17" s="363"/>
      <c r="X17" s="360"/>
      <c r="Y17" s="359"/>
      <c r="Z17" s="319">
        <v>1</v>
      </c>
      <c r="AA17" s="481"/>
      <c r="AB17" s="359"/>
      <c r="AC17" s="319"/>
      <c r="AD17" s="481"/>
      <c r="AE17" s="359"/>
      <c r="AF17" s="140"/>
      <c r="AG17" s="187">
        <f t="shared" si="0"/>
        <v>5</v>
      </c>
      <c r="AH17" s="212"/>
    </row>
    <row r="18" spans="1:34">
      <c r="A18" s="281" t="s">
        <v>44</v>
      </c>
      <c r="B18" s="319">
        <v>1</v>
      </c>
      <c r="C18" s="322"/>
      <c r="D18" s="356"/>
      <c r="E18" s="357"/>
      <c r="F18" s="319">
        <v>1</v>
      </c>
      <c r="G18" s="322"/>
      <c r="H18" s="356"/>
      <c r="I18" s="358"/>
      <c r="J18" s="357"/>
      <c r="K18" s="319">
        <v>1</v>
      </c>
      <c r="L18" s="356"/>
      <c r="M18" s="356"/>
      <c r="N18" s="356"/>
      <c r="O18" s="357"/>
      <c r="P18" s="319">
        <v>1</v>
      </c>
      <c r="Q18" s="322"/>
      <c r="R18" s="322"/>
      <c r="S18" s="358"/>
      <c r="T18" s="357"/>
      <c r="U18" s="319">
        <v>1</v>
      </c>
      <c r="V18" s="481"/>
      <c r="W18" s="358"/>
      <c r="X18" s="356"/>
      <c r="Y18" s="381"/>
      <c r="Z18" s="319">
        <v>1</v>
      </c>
      <c r="AA18" s="481"/>
      <c r="AB18" s="381"/>
      <c r="AC18" s="319"/>
      <c r="AD18" s="481"/>
      <c r="AE18" s="381"/>
      <c r="AF18" s="14"/>
      <c r="AG18" s="187">
        <f t="shared" si="0"/>
        <v>6</v>
      </c>
      <c r="AH18" s="218"/>
    </row>
    <row r="19" spans="1:34" ht="13.5" thickBot="1">
      <c r="A19" s="282" t="s">
        <v>56</v>
      </c>
      <c r="B19" s="740">
        <f>SUM(B16:B18)</f>
        <v>4</v>
      </c>
      <c r="C19" s="742"/>
      <c r="D19" s="482"/>
      <c r="E19" s="741"/>
      <c r="F19" s="740">
        <f>SUM(F16:F18)</f>
        <v>5</v>
      </c>
      <c r="G19" s="742"/>
      <c r="H19" s="482"/>
      <c r="I19" s="743"/>
      <c r="J19" s="741"/>
      <c r="K19" s="740">
        <f>SUM(K16:K18)</f>
        <v>5</v>
      </c>
      <c r="L19" s="482"/>
      <c r="M19" s="482"/>
      <c r="N19" s="482"/>
      <c r="O19" s="741"/>
      <c r="P19" s="740">
        <f>SUM(P16:P18)</f>
        <v>5</v>
      </c>
      <c r="Q19" s="742"/>
      <c r="R19" s="742"/>
      <c r="S19" s="743"/>
      <c r="T19" s="741"/>
      <c r="U19" s="740">
        <f>SUM(U16:U18)</f>
        <v>5</v>
      </c>
      <c r="V19" s="744"/>
      <c r="W19" s="743"/>
      <c r="X19" s="482"/>
      <c r="Y19" s="745"/>
      <c r="Z19" s="740">
        <f>SUM(Z16:Z18)</f>
        <v>4</v>
      </c>
      <c r="AA19" s="744"/>
      <c r="AB19" s="745"/>
      <c r="AC19" s="740">
        <f>SUM(AC16:AC18)</f>
        <v>0</v>
      </c>
      <c r="AD19" s="744"/>
      <c r="AE19" s="745"/>
      <c r="AF19" s="14"/>
      <c r="AG19" s="187">
        <f t="shared" si="0"/>
        <v>28</v>
      </c>
      <c r="AH19" s="213">
        <f>SUM(B19:AB19)</f>
        <v>28</v>
      </c>
    </row>
    <row r="20" spans="1:34" ht="12.75" customHeight="1">
      <c r="A20" s="288" t="s">
        <v>560</v>
      </c>
      <c r="B20" s="949" t="s">
        <v>575</v>
      </c>
      <c r="C20" s="950"/>
      <c r="D20" s="950"/>
      <c r="E20" s="950"/>
      <c r="F20" s="950"/>
      <c r="G20" s="951"/>
      <c r="H20" s="922" t="s">
        <v>573</v>
      </c>
      <c r="I20" s="923"/>
      <c r="J20" s="923"/>
      <c r="K20" s="923"/>
      <c r="L20" s="924"/>
      <c r="M20" s="922" t="s">
        <v>678</v>
      </c>
      <c r="N20" s="923"/>
      <c r="O20" s="923"/>
      <c r="P20" s="923"/>
      <c r="Q20" s="924"/>
      <c r="R20" s="922" t="s">
        <v>574</v>
      </c>
      <c r="S20" s="923"/>
      <c r="T20" s="923"/>
      <c r="U20" s="923"/>
      <c r="V20" s="923"/>
      <c r="W20" s="924"/>
      <c r="X20" s="931" t="s">
        <v>692</v>
      </c>
      <c r="Y20" s="923"/>
      <c r="Z20" s="923"/>
      <c r="AA20" s="923"/>
      <c r="AB20" s="924"/>
      <c r="AC20" s="966" t="s">
        <v>583</v>
      </c>
      <c r="AD20" s="958"/>
      <c r="AE20" s="959"/>
      <c r="AF20" s="214"/>
      <c r="AG20" s="189"/>
      <c r="AH20" s="765"/>
    </row>
    <row r="21" spans="1:34">
      <c r="A21" s="275">
        <v>18</v>
      </c>
      <c r="B21" s="952"/>
      <c r="C21" s="953"/>
      <c r="D21" s="953"/>
      <c r="E21" s="953"/>
      <c r="F21" s="953"/>
      <c r="G21" s="954"/>
      <c r="H21" s="925"/>
      <c r="I21" s="926"/>
      <c r="J21" s="926"/>
      <c r="K21" s="926"/>
      <c r="L21" s="927"/>
      <c r="M21" s="925"/>
      <c r="N21" s="926"/>
      <c r="O21" s="926"/>
      <c r="P21" s="926"/>
      <c r="Q21" s="927"/>
      <c r="R21" s="925"/>
      <c r="S21" s="926"/>
      <c r="T21" s="926"/>
      <c r="U21" s="926"/>
      <c r="V21" s="926"/>
      <c r="W21" s="927"/>
      <c r="X21" s="925"/>
      <c r="Y21" s="926"/>
      <c r="Z21" s="926"/>
      <c r="AA21" s="926"/>
      <c r="AB21" s="927"/>
      <c r="AC21" s="960"/>
      <c r="AD21" s="961"/>
      <c r="AE21" s="962"/>
      <c r="AF21" s="139"/>
      <c r="AG21" s="184"/>
      <c r="AH21" s="752"/>
    </row>
    <row r="22" spans="1:34">
      <c r="A22" s="276" t="s">
        <v>33</v>
      </c>
      <c r="B22" s="955"/>
      <c r="C22" s="956"/>
      <c r="D22" s="956"/>
      <c r="E22" s="956"/>
      <c r="F22" s="956"/>
      <c r="G22" s="957"/>
      <c r="H22" s="928"/>
      <c r="I22" s="929"/>
      <c r="J22" s="929"/>
      <c r="K22" s="929"/>
      <c r="L22" s="930"/>
      <c r="M22" s="928"/>
      <c r="N22" s="929"/>
      <c r="O22" s="929"/>
      <c r="P22" s="929"/>
      <c r="Q22" s="930"/>
      <c r="R22" s="928"/>
      <c r="S22" s="929"/>
      <c r="T22" s="929"/>
      <c r="U22" s="929"/>
      <c r="V22" s="929"/>
      <c r="W22" s="930"/>
      <c r="X22" s="928"/>
      <c r="Y22" s="929"/>
      <c r="Z22" s="929"/>
      <c r="AA22" s="929"/>
      <c r="AB22" s="930"/>
      <c r="AC22" s="963"/>
      <c r="AD22" s="964"/>
      <c r="AE22" s="965"/>
      <c r="AF22" s="139"/>
      <c r="AG22" s="186"/>
      <c r="AH22" s="752"/>
    </row>
    <row r="23" spans="1:34">
      <c r="A23" s="236" t="s">
        <v>32</v>
      </c>
      <c r="B23" s="378"/>
      <c r="C23" s="375"/>
      <c r="D23" s="375"/>
      <c r="E23" s="375"/>
      <c r="F23" s="400"/>
      <c r="G23" s="349">
        <v>6</v>
      </c>
      <c r="H23" s="350"/>
      <c r="I23" s="350"/>
      <c r="J23" s="350"/>
      <c r="K23" s="465"/>
      <c r="L23" s="349">
        <v>5</v>
      </c>
      <c r="M23" s="400"/>
      <c r="N23" s="400"/>
      <c r="O23" s="400"/>
      <c r="P23" s="400"/>
      <c r="Q23" s="349">
        <v>5</v>
      </c>
      <c r="R23" s="400"/>
      <c r="S23" s="400"/>
      <c r="T23" s="400"/>
      <c r="U23" s="400"/>
      <c r="V23" s="351"/>
      <c r="W23" s="349">
        <v>6</v>
      </c>
      <c r="X23" s="400"/>
      <c r="Y23" s="400"/>
      <c r="Z23" s="400"/>
      <c r="AA23" s="400"/>
      <c r="AB23" s="377">
        <v>5</v>
      </c>
      <c r="AC23" s="400"/>
      <c r="AD23" s="400"/>
      <c r="AE23" s="377">
        <v>3</v>
      </c>
      <c r="AF23" s="139"/>
      <c r="AG23" s="239">
        <f>SUM(B23:AF23)</f>
        <v>30</v>
      </c>
      <c r="AH23" s="208"/>
    </row>
    <row r="24" spans="1:34">
      <c r="A24" s="277" t="s">
        <v>5</v>
      </c>
      <c r="B24" s="354"/>
      <c r="C24" s="766"/>
      <c r="D24" s="766"/>
      <c r="E24" s="766"/>
      <c r="F24" s="385"/>
      <c r="G24" s="386">
        <f>G23*$AG$6</f>
        <v>204</v>
      </c>
      <c r="H24" s="322"/>
      <c r="I24" s="322"/>
      <c r="J24" s="322"/>
      <c r="K24" s="387"/>
      <c r="L24" s="386">
        <f>L23*$AG$6</f>
        <v>170</v>
      </c>
      <c r="M24" s="385"/>
      <c r="N24" s="385"/>
      <c r="O24" s="385"/>
      <c r="P24" s="385"/>
      <c r="Q24" s="386">
        <f>Q23*$AG$6</f>
        <v>170</v>
      </c>
      <c r="R24" s="385"/>
      <c r="S24" s="385"/>
      <c r="T24" s="385"/>
      <c r="U24" s="385"/>
      <c r="V24" s="387"/>
      <c r="W24" s="386">
        <f>W23*$AG$6</f>
        <v>204</v>
      </c>
      <c r="X24" s="221"/>
      <c r="Y24" s="385"/>
      <c r="Z24" s="387"/>
      <c r="AA24" s="385"/>
      <c r="AB24" s="386">
        <f>AB23*$AG$6</f>
        <v>170</v>
      </c>
      <c r="AC24" s="221"/>
      <c r="AD24" s="385"/>
      <c r="AE24" s="386">
        <f>AE23*$AG$5</f>
        <v>108</v>
      </c>
      <c r="AF24" s="140"/>
      <c r="AG24" s="187">
        <f t="shared" ref="AG24:AG30" si="1">SUM(B24:AE24)</f>
        <v>1026</v>
      </c>
      <c r="AH24" s="209">
        <f>SUM(B24:AF24)</f>
        <v>1026</v>
      </c>
    </row>
    <row r="25" spans="1:34">
      <c r="A25" s="278" t="s">
        <v>4</v>
      </c>
      <c r="B25" s="355"/>
      <c r="C25" s="767"/>
      <c r="D25" s="767"/>
      <c r="E25" s="767"/>
      <c r="F25" s="390"/>
      <c r="G25" s="388">
        <f>G24-G26</f>
        <v>96</v>
      </c>
      <c r="H25" s="318"/>
      <c r="I25" s="318"/>
      <c r="J25" s="318"/>
      <c r="K25" s="260"/>
      <c r="L25" s="388">
        <f>L24-L26</f>
        <v>62</v>
      </c>
      <c r="M25" s="390"/>
      <c r="N25" s="390"/>
      <c r="O25" s="390"/>
      <c r="P25" s="390"/>
      <c r="Q25" s="388">
        <f>Q24-Q26</f>
        <v>98</v>
      </c>
      <c r="R25" s="390"/>
      <c r="S25" s="390"/>
      <c r="T25" s="390"/>
      <c r="U25" s="390"/>
      <c r="V25" s="260"/>
      <c r="W25" s="388">
        <f>W24-W26</f>
        <v>96</v>
      </c>
      <c r="X25" s="221"/>
      <c r="Y25" s="385"/>
      <c r="Z25" s="260"/>
      <c r="AA25" s="390"/>
      <c r="AB25" s="388">
        <f>AB24-AB26</f>
        <v>62</v>
      </c>
      <c r="AC25" s="221"/>
      <c r="AD25" s="385"/>
      <c r="AE25" s="388">
        <f>AE24-AE26</f>
        <v>108</v>
      </c>
      <c r="AF25" s="14"/>
      <c r="AG25" s="187">
        <f t="shared" si="1"/>
        <v>522</v>
      </c>
      <c r="AH25" s="209">
        <f>SUM(B25:AF25)</f>
        <v>522</v>
      </c>
    </row>
    <row r="26" spans="1:34">
      <c r="A26" s="279" t="s">
        <v>3</v>
      </c>
      <c r="B26" s="380"/>
      <c r="C26" s="768"/>
      <c r="D26" s="768"/>
      <c r="E26" s="768"/>
      <c r="F26" s="322"/>
      <c r="G26" s="321">
        <f>B30*A21</f>
        <v>108</v>
      </c>
      <c r="H26" s="322"/>
      <c r="I26" s="322"/>
      <c r="J26" s="322"/>
      <c r="K26" s="488"/>
      <c r="L26" s="321">
        <f>H30*A21</f>
        <v>108</v>
      </c>
      <c r="M26" s="322"/>
      <c r="N26" s="322"/>
      <c r="O26" s="322"/>
      <c r="P26" s="322"/>
      <c r="Q26" s="321">
        <f>M30*A21</f>
        <v>72</v>
      </c>
      <c r="R26" s="322"/>
      <c r="S26" s="322"/>
      <c r="T26" s="322"/>
      <c r="U26" s="322"/>
      <c r="V26" s="489"/>
      <c r="W26" s="321">
        <f>R30*A21</f>
        <v>108</v>
      </c>
      <c r="X26" s="490"/>
      <c r="Y26" s="322"/>
      <c r="Z26" s="489"/>
      <c r="AA26" s="322"/>
      <c r="AB26" s="321">
        <f>X30*A21</f>
        <v>108</v>
      </c>
      <c r="AC26" s="490"/>
      <c r="AD26" s="322"/>
      <c r="AE26" s="321"/>
      <c r="AF26" s="14"/>
      <c r="AG26" s="187">
        <f t="shared" si="1"/>
        <v>504</v>
      </c>
      <c r="AH26" s="212"/>
    </row>
    <row r="27" spans="1:34">
      <c r="A27" s="280" t="s">
        <v>42</v>
      </c>
      <c r="B27" s="319">
        <v>3</v>
      </c>
      <c r="C27" s="322"/>
      <c r="D27" s="322"/>
      <c r="E27" s="322"/>
      <c r="F27" s="356"/>
      <c r="G27" s="357"/>
      <c r="H27" s="319">
        <v>3</v>
      </c>
      <c r="I27" s="318"/>
      <c r="J27" s="360"/>
      <c r="K27" s="358"/>
      <c r="L27" s="359"/>
      <c r="M27" s="319">
        <v>2</v>
      </c>
      <c r="N27" s="360"/>
      <c r="O27" s="360"/>
      <c r="P27" s="360"/>
      <c r="Q27" s="359"/>
      <c r="R27" s="319">
        <v>2</v>
      </c>
      <c r="S27" s="322"/>
      <c r="T27" s="322"/>
      <c r="U27" s="356"/>
      <c r="V27" s="358"/>
      <c r="W27" s="357"/>
      <c r="X27" s="319">
        <v>2</v>
      </c>
      <c r="Y27" s="480"/>
      <c r="Z27" s="363"/>
      <c r="AA27" s="360"/>
      <c r="AB27" s="382"/>
      <c r="AC27" s="319"/>
      <c r="AD27" s="480"/>
      <c r="AE27" s="382"/>
      <c r="AF27" s="140"/>
      <c r="AG27" s="187">
        <f t="shared" si="1"/>
        <v>12</v>
      </c>
      <c r="AH27" s="209">
        <f>AG27*A21</f>
        <v>216</v>
      </c>
    </row>
    <row r="28" spans="1:34">
      <c r="A28" s="280" t="s">
        <v>43</v>
      </c>
      <c r="B28" s="319">
        <v>2</v>
      </c>
      <c r="C28" s="318"/>
      <c r="D28" s="318"/>
      <c r="E28" s="318"/>
      <c r="F28" s="360"/>
      <c r="G28" s="359"/>
      <c r="H28" s="319">
        <v>2</v>
      </c>
      <c r="I28" s="318"/>
      <c r="J28" s="360"/>
      <c r="K28" s="402"/>
      <c r="L28" s="359"/>
      <c r="M28" s="319">
        <v>1</v>
      </c>
      <c r="N28" s="360"/>
      <c r="O28" s="360"/>
      <c r="P28" s="360"/>
      <c r="Q28" s="359"/>
      <c r="R28" s="319">
        <v>2</v>
      </c>
      <c r="S28" s="318"/>
      <c r="T28" s="318"/>
      <c r="U28" s="360"/>
      <c r="V28" s="363"/>
      <c r="W28" s="359"/>
      <c r="X28" s="319">
        <v>2</v>
      </c>
      <c r="Y28" s="481"/>
      <c r="Z28" s="363"/>
      <c r="AA28" s="360"/>
      <c r="AB28" s="359"/>
      <c r="AC28" s="319"/>
      <c r="AD28" s="481"/>
      <c r="AE28" s="359"/>
      <c r="AF28" s="140"/>
      <c r="AG28" s="187">
        <f t="shared" si="1"/>
        <v>9</v>
      </c>
      <c r="AH28" s="212"/>
    </row>
    <row r="29" spans="1:34">
      <c r="A29" s="281" t="s">
        <v>44</v>
      </c>
      <c r="B29" s="319">
        <v>1</v>
      </c>
      <c r="C29" s="322"/>
      <c r="D29" s="322"/>
      <c r="E29" s="322"/>
      <c r="F29" s="356"/>
      <c r="G29" s="357"/>
      <c r="H29" s="319">
        <v>1</v>
      </c>
      <c r="I29" s="322"/>
      <c r="J29" s="356"/>
      <c r="K29" s="358"/>
      <c r="L29" s="357"/>
      <c r="M29" s="319">
        <v>1</v>
      </c>
      <c r="N29" s="356"/>
      <c r="O29" s="356"/>
      <c r="P29" s="356"/>
      <c r="Q29" s="357"/>
      <c r="R29" s="319">
        <v>2</v>
      </c>
      <c r="S29" s="322"/>
      <c r="T29" s="322"/>
      <c r="U29" s="356"/>
      <c r="V29" s="358"/>
      <c r="W29" s="357"/>
      <c r="X29" s="319">
        <v>2</v>
      </c>
      <c r="Y29" s="481"/>
      <c r="Z29" s="358"/>
      <c r="AA29" s="356"/>
      <c r="AB29" s="381"/>
      <c r="AC29" s="319"/>
      <c r="AD29" s="481"/>
      <c r="AE29" s="381"/>
      <c r="AF29" s="14"/>
      <c r="AG29" s="187">
        <f t="shared" si="1"/>
        <v>7</v>
      </c>
      <c r="AH29" s="218"/>
    </row>
    <row r="30" spans="1:34" ht="13.5" thickBot="1">
      <c r="A30" s="282" t="s">
        <v>56</v>
      </c>
      <c r="B30" s="740">
        <f>SUM(B27:B29)</f>
        <v>6</v>
      </c>
      <c r="C30" s="742"/>
      <c r="D30" s="742"/>
      <c r="E30" s="742"/>
      <c r="F30" s="482"/>
      <c r="G30" s="741"/>
      <c r="H30" s="740">
        <f>SUM(H27:H29)</f>
        <v>6</v>
      </c>
      <c r="I30" s="742"/>
      <c r="J30" s="482"/>
      <c r="K30" s="743"/>
      <c r="L30" s="741"/>
      <c r="M30" s="740">
        <f>SUM(M27:M29)</f>
        <v>4</v>
      </c>
      <c r="N30" s="482"/>
      <c r="O30" s="482"/>
      <c r="P30" s="482"/>
      <c r="Q30" s="741"/>
      <c r="R30" s="740">
        <f>SUM(R27:R29)</f>
        <v>6</v>
      </c>
      <c r="S30" s="742"/>
      <c r="T30" s="742"/>
      <c r="U30" s="482"/>
      <c r="V30" s="743"/>
      <c r="W30" s="741"/>
      <c r="X30" s="740">
        <f>SUM(X27:X29)</f>
        <v>6</v>
      </c>
      <c r="Y30" s="744"/>
      <c r="Z30" s="743"/>
      <c r="AA30" s="482"/>
      <c r="AB30" s="745"/>
      <c r="AC30" s="740">
        <f>SUM(AC27:AC29)</f>
        <v>0</v>
      </c>
      <c r="AD30" s="744"/>
      <c r="AE30" s="745"/>
      <c r="AF30" s="14"/>
      <c r="AG30" s="187">
        <f t="shared" si="1"/>
        <v>28</v>
      </c>
      <c r="AH30" s="213">
        <f>SUM(B30:AF30)</f>
        <v>28</v>
      </c>
    </row>
    <row r="31" spans="1:34" ht="14.25" customHeight="1">
      <c r="A31" s="266" t="s">
        <v>34</v>
      </c>
      <c r="B31" s="976" t="s">
        <v>570</v>
      </c>
      <c r="C31" s="977"/>
      <c r="D31" s="977"/>
      <c r="E31" s="977"/>
      <c r="F31" s="978"/>
      <c r="G31" s="967" t="s">
        <v>636</v>
      </c>
      <c r="H31" s="985"/>
      <c r="I31" s="985"/>
      <c r="J31" s="985"/>
      <c r="K31" s="986"/>
      <c r="L31" s="967" t="s">
        <v>693</v>
      </c>
      <c r="M31" s="968"/>
      <c r="N31" s="968"/>
      <c r="O31" s="968"/>
      <c r="P31" s="969"/>
      <c r="Q31" s="993" t="s">
        <v>571</v>
      </c>
      <c r="R31" s="968"/>
      <c r="S31" s="968"/>
      <c r="T31" s="968"/>
      <c r="U31" s="969"/>
      <c r="V31" s="993" t="s">
        <v>572</v>
      </c>
      <c r="W31" s="968"/>
      <c r="X31" s="968"/>
      <c r="Y31" s="968"/>
      <c r="Z31" s="969"/>
      <c r="AA31" s="967" t="s">
        <v>656</v>
      </c>
      <c r="AB31" s="968"/>
      <c r="AC31" s="968"/>
      <c r="AD31" s="968"/>
      <c r="AE31" s="969"/>
      <c r="AF31" s="214"/>
      <c r="AG31" s="215"/>
      <c r="AH31" s="216"/>
    </row>
    <row r="32" spans="1:34">
      <c r="A32" s="267">
        <v>18</v>
      </c>
      <c r="B32" s="979"/>
      <c r="C32" s="980"/>
      <c r="D32" s="980"/>
      <c r="E32" s="980"/>
      <c r="F32" s="981"/>
      <c r="G32" s="987"/>
      <c r="H32" s="988"/>
      <c r="I32" s="988"/>
      <c r="J32" s="988"/>
      <c r="K32" s="989"/>
      <c r="L32" s="970"/>
      <c r="M32" s="971"/>
      <c r="N32" s="971"/>
      <c r="O32" s="971"/>
      <c r="P32" s="972"/>
      <c r="Q32" s="970"/>
      <c r="R32" s="971"/>
      <c r="S32" s="971"/>
      <c r="T32" s="971"/>
      <c r="U32" s="972"/>
      <c r="V32" s="970"/>
      <c r="W32" s="971"/>
      <c r="X32" s="971"/>
      <c r="Y32" s="971"/>
      <c r="Z32" s="972"/>
      <c r="AA32" s="970"/>
      <c r="AB32" s="971"/>
      <c r="AC32" s="971"/>
      <c r="AD32" s="971"/>
      <c r="AE32" s="972"/>
      <c r="AF32" s="139"/>
      <c r="AG32" s="204"/>
      <c r="AH32" s="217"/>
    </row>
    <row r="33" spans="1:34">
      <c r="A33" s="268" t="s">
        <v>33</v>
      </c>
      <c r="B33" s="982"/>
      <c r="C33" s="983"/>
      <c r="D33" s="983"/>
      <c r="E33" s="983"/>
      <c r="F33" s="984"/>
      <c r="G33" s="990"/>
      <c r="H33" s="991"/>
      <c r="I33" s="991"/>
      <c r="J33" s="991"/>
      <c r="K33" s="992"/>
      <c r="L33" s="973"/>
      <c r="M33" s="974"/>
      <c r="N33" s="974"/>
      <c r="O33" s="974"/>
      <c r="P33" s="975"/>
      <c r="Q33" s="973"/>
      <c r="R33" s="974"/>
      <c r="S33" s="974"/>
      <c r="T33" s="974"/>
      <c r="U33" s="975"/>
      <c r="V33" s="973"/>
      <c r="W33" s="974"/>
      <c r="X33" s="974"/>
      <c r="Y33" s="974"/>
      <c r="Z33" s="975"/>
      <c r="AA33" s="973"/>
      <c r="AB33" s="974"/>
      <c r="AC33" s="974"/>
      <c r="AD33" s="974"/>
      <c r="AE33" s="975"/>
      <c r="AF33" s="139"/>
      <c r="AG33" s="205"/>
      <c r="AH33" s="217"/>
    </row>
    <row r="34" spans="1:34" s="201" customFormat="1" ht="13.5" customHeight="1">
      <c r="A34" s="231" t="s">
        <v>32</v>
      </c>
      <c r="B34" s="463"/>
      <c r="C34" s="492"/>
      <c r="D34" s="492"/>
      <c r="E34" s="492"/>
      <c r="F34" s="352">
        <v>5</v>
      </c>
      <c r="G34" s="373"/>
      <c r="H34" s="746"/>
      <c r="I34" s="746"/>
      <c r="J34" s="746"/>
      <c r="K34" s="352">
        <v>5</v>
      </c>
      <c r="L34" s="493"/>
      <c r="M34" s="747"/>
      <c r="N34" s="747"/>
      <c r="O34" s="747"/>
      <c r="P34" s="352">
        <v>5</v>
      </c>
      <c r="Q34" s="493"/>
      <c r="R34" s="747"/>
      <c r="S34" s="747"/>
      <c r="T34" s="747"/>
      <c r="U34" s="352">
        <v>5</v>
      </c>
      <c r="V34" s="493"/>
      <c r="W34" s="747"/>
      <c r="X34" s="747"/>
      <c r="Y34" s="747"/>
      <c r="Z34" s="352">
        <v>5</v>
      </c>
      <c r="AA34" s="494"/>
      <c r="AB34" s="748"/>
      <c r="AC34" s="748"/>
      <c r="AD34" s="748"/>
      <c r="AE34" s="352">
        <v>5</v>
      </c>
      <c r="AF34" s="14"/>
      <c r="AG34" s="749">
        <f>SUM(B34:AF34)</f>
        <v>30</v>
      </c>
      <c r="AH34" s="750"/>
    </row>
    <row r="35" spans="1:34" s="10" customFormat="1" ht="13.5" customHeight="1">
      <c r="A35" s="269" t="s">
        <v>5</v>
      </c>
      <c r="B35" s="502"/>
      <c r="C35" s="503"/>
      <c r="D35" s="503"/>
      <c r="E35" s="503"/>
      <c r="F35" s="501">
        <f>F34*AG6</f>
        <v>170</v>
      </c>
      <c r="G35" s="384"/>
      <c r="H35" s="385"/>
      <c r="I35" s="385"/>
      <c r="J35" s="385"/>
      <c r="K35" s="416">
        <f>K34*AG6</f>
        <v>170</v>
      </c>
      <c r="L35" s="421"/>
      <c r="M35" s="415"/>
      <c r="N35" s="415"/>
      <c r="O35" s="415"/>
      <c r="P35" s="416">
        <f>P34*AG6</f>
        <v>170</v>
      </c>
      <c r="Q35" s="421"/>
      <c r="R35" s="415"/>
      <c r="S35" s="415"/>
      <c r="T35" s="415"/>
      <c r="U35" s="416">
        <f>U34*AG6</f>
        <v>170</v>
      </c>
      <c r="V35" s="384"/>
      <c r="W35" s="385"/>
      <c r="X35" s="385"/>
      <c r="Y35" s="385"/>
      <c r="Z35" s="416">
        <f>Z34*AG6</f>
        <v>170</v>
      </c>
      <c r="AA35" s="384"/>
      <c r="AB35" s="385"/>
      <c r="AC35" s="385"/>
      <c r="AD35" s="385"/>
      <c r="AE35" s="416">
        <f>AE34*AG6</f>
        <v>170</v>
      </c>
      <c r="AF35" s="140"/>
      <c r="AG35" s="187">
        <f t="shared" ref="AG35:AG41" si="2">SUM(B35:AE35)</f>
        <v>1020</v>
      </c>
      <c r="AH35" s="209">
        <f>SUM(B35:AF35)</f>
        <v>1020</v>
      </c>
    </row>
    <row r="36" spans="1:34" s="11" customFormat="1" ht="13.5" customHeight="1">
      <c r="A36" s="270" t="s">
        <v>4</v>
      </c>
      <c r="B36" s="502"/>
      <c r="C36" s="503"/>
      <c r="D36" s="503"/>
      <c r="E36" s="503"/>
      <c r="F36" s="501">
        <f>F35-F37</f>
        <v>80</v>
      </c>
      <c r="G36" s="384"/>
      <c r="H36" s="390"/>
      <c r="I36" s="390"/>
      <c r="J36" s="390"/>
      <c r="K36" s="388">
        <f>K35-K37</f>
        <v>80</v>
      </c>
      <c r="L36" s="504"/>
      <c r="M36" s="47"/>
      <c r="N36" s="47"/>
      <c r="O36" s="47"/>
      <c r="P36" s="388">
        <f>P35-P37</f>
        <v>80</v>
      </c>
      <c r="Q36" s="504"/>
      <c r="R36" s="47"/>
      <c r="S36" s="47"/>
      <c r="T36" s="47"/>
      <c r="U36" s="388">
        <f>U35-U37</f>
        <v>98</v>
      </c>
      <c r="V36" s="505"/>
      <c r="W36" s="45"/>
      <c r="X36" s="45"/>
      <c r="Y36" s="45"/>
      <c r="Z36" s="388">
        <f>Z35-Z37</f>
        <v>98</v>
      </c>
      <c r="AA36" s="505"/>
      <c r="AB36" s="45"/>
      <c r="AC36" s="45"/>
      <c r="AD36" s="45"/>
      <c r="AE36" s="388">
        <f>AE35-AE37</f>
        <v>80</v>
      </c>
      <c r="AF36" s="14"/>
      <c r="AG36" s="187">
        <f t="shared" si="2"/>
        <v>516</v>
      </c>
      <c r="AH36" s="209">
        <f>SUM(B36:AF36)</f>
        <v>516</v>
      </c>
    </row>
    <row r="37" spans="1:34" s="11" customFormat="1" ht="13.5" customHeight="1">
      <c r="A37" s="271" t="s">
        <v>3</v>
      </c>
      <c r="B37" s="506"/>
      <c r="C37" s="507"/>
      <c r="D37" s="507"/>
      <c r="E37" s="507"/>
      <c r="F37" s="501">
        <f>B41*A32</f>
        <v>90</v>
      </c>
      <c r="G37" s="343"/>
      <c r="H37" s="344"/>
      <c r="I37" s="344"/>
      <c r="J37" s="344"/>
      <c r="K37" s="321">
        <f>G41*A32</f>
        <v>90</v>
      </c>
      <c r="L37" s="508"/>
      <c r="M37" s="491"/>
      <c r="N37" s="491"/>
      <c r="O37" s="491"/>
      <c r="P37" s="321">
        <f>L41*A32</f>
        <v>90</v>
      </c>
      <c r="Q37" s="508"/>
      <c r="R37" s="491"/>
      <c r="S37" s="491"/>
      <c r="T37" s="491"/>
      <c r="U37" s="321">
        <f>Q41*A32</f>
        <v>72</v>
      </c>
      <c r="V37" s="319"/>
      <c r="W37" s="322"/>
      <c r="X37" s="322"/>
      <c r="Y37" s="322"/>
      <c r="Z37" s="321">
        <f>V41*A32</f>
        <v>72</v>
      </c>
      <c r="AA37" s="319"/>
      <c r="AB37" s="322"/>
      <c r="AC37" s="322"/>
      <c r="AD37" s="322"/>
      <c r="AE37" s="321">
        <f>AA41*A32</f>
        <v>90</v>
      </c>
      <c r="AF37" s="14"/>
      <c r="AG37" s="187">
        <f t="shared" si="2"/>
        <v>504</v>
      </c>
      <c r="AH37" s="212"/>
    </row>
    <row r="38" spans="1:34" s="75" customFormat="1" ht="13.5" customHeight="1">
      <c r="A38" s="272" t="s">
        <v>42</v>
      </c>
      <c r="B38" s="319">
        <v>2</v>
      </c>
      <c r="C38" s="322"/>
      <c r="D38" s="322"/>
      <c r="E38" s="420"/>
      <c r="F38" s="509"/>
      <c r="G38" s="319">
        <v>2</v>
      </c>
      <c r="H38" s="322"/>
      <c r="I38" s="322"/>
      <c r="J38" s="322"/>
      <c r="K38" s="510"/>
      <c r="L38" s="319">
        <v>2</v>
      </c>
      <c r="M38" s="344"/>
      <c r="N38" s="344"/>
      <c r="O38" s="344"/>
      <c r="P38" s="511"/>
      <c r="Q38" s="319">
        <v>2</v>
      </c>
      <c r="R38" s="344"/>
      <c r="S38" s="344"/>
      <c r="T38" s="344"/>
      <c r="U38" s="512"/>
      <c r="V38" s="319">
        <v>2</v>
      </c>
      <c r="W38" s="344"/>
      <c r="X38" s="344"/>
      <c r="Y38" s="344"/>
      <c r="Z38" s="512"/>
      <c r="AA38" s="319">
        <v>3</v>
      </c>
      <c r="AB38" s="344"/>
      <c r="AC38" s="344"/>
      <c r="AD38" s="344"/>
      <c r="AE38" s="511"/>
      <c r="AF38" s="140"/>
      <c r="AG38" s="187">
        <f t="shared" si="2"/>
        <v>13</v>
      </c>
      <c r="AH38" s="209">
        <f>AG38*A32</f>
        <v>234</v>
      </c>
    </row>
    <row r="39" spans="1:34" s="75" customFormat="1" ht="13.5" customHeight="1">
      <c r="A39" s="272" t="s">
        <v>43</v>
      </c>
      <c r="B39" s="319">
        <v>2</v>
      </c>
      <c r="C39" s="322"/>
      <c r="D39" s="322"/>
      <c r="E39" s="356"/>
      <c r="F39" s="357"/>
      <c r="G39" s="319">
        <v>2</v>
      </c>
      <c r="H39" s="344"/>
      <c r="I39" s="344"/>
      <c r="J39" s="344"/>
      <c r="K39" s="402"/>
      <c r="L39" s="319">
        <v>2</v>
      </c>
      <c r="M39" s="322"/>
      <c r="N39" s="322"/>
      <c r="O39" s="322"/>
      <c r="P39" s="357"/>
      <c r="Q39" s="319">
        <v>2</v>
      </c>
      <c r="R39" s="322"/>
      <c r="S39" s="322"/>
      <c r="T39" s="322"/>
      <c r="U39" s="381"/>
      <c r="V39" s="319">
        <v>2</v>
      </c>
      <c r="W39" s="322"/>
      <c r="X39" s="322"/>
      <c r="Y39" s="322"/>
      <c r="Z39" s="381"/>
      <c r="AA39" s="319">
        <v>2</v>
      </c>
      <c r="AB39" s="322"/>
      <c r="AC39" s="322"/>
      <c r="AD39" s="322"/>
      <c r="AE39" s="357"/>
      <c r="AF39" s="140"/>
      <c r="AG39" s="187">
        <f t="shared" si="2"/>
        <v>12</v>
      </c>
      <c r="AH39" s="212"/>
    </row>
    <row r="40" spans="1:34" s="75" customFormat="1" ht="13.5" customHeight="1">
      <c r="A40" s="273" t="s">
        <v>44</v>
      </c>
      <c r="B40" s="319">
        <v>1</v>
      </c>
      <c r="C40" s="344"/>
      <c r="D40" s="344"/>
      <c r="E40" s="364"/>
      <c r="F40" s="495"/>
      <c r="G40" s="319">
        <v>1</v>
      </c>
      <c r="H40" s="322"/>
      <c r="I40" s="322"/>
      <c r="J40" s="322"/>
      <c r="K40" s="358"/>
      <c r="L40" s="319">
        <v>1</v>
      </c>
      <c r="M40" s="344"/>
      <c r="N40" s="344"/>
      <c r="O40" s="344"/>
      <c r="P40" s="495"/>
      <c r="Q40" s="319"/>
      <c r="R40" s="344"/>
      <c r="S40" s="344"/>
      <c r="T40" s="344"/>
      <c r="U40" s="496"/>
      <c r="V40" s="319"/>
      <c r="W40" s="318"/>
      <c r="X40" s="318"/>
      <c r="Y40" s="318"/>
      <c r="Z40" s="382"/>
      <c r="AA40" s="319"/>
      <c r="AB40" s="344"/>
      <c r="AC40" s="344"/>
      <c r="AD40" s="344"/>
      <c r="AE40" s="495"/>
      <c r="AF40" s="14"/>
      <c r="AG40" s="187">
        <f t="shared" si="2"/>
        <v>3</v>
      </c>
      <c r="AH40" s="218"/>
    </row>
    <row r="41" spans="1:34" s="142" customFormat="1" ht="13.5" customHeight="1" thickBot="1">
      <c r="A41" s="274" t="s">
        <v>56</v>
      </c>
      <c r="B41" s="320">
        <f>SUM(B38:B40)</f>
        <v>5</v>
      </c>
      <c r="C41" s="479"/>
      <c r="D41" s="479"/>
      <c r="E41" s="367"/>
      <c r="F41" s="368"/>
      <c r="G41" s="320">
        <f>SUM(G38:G40)</f>
        <v>5</v>
      </c>
      <c r="H41" s="469"/>
      <c r="I41" s="469"/>
      <c r="J41" s="469"/>
      <c r="K41" s="473"/>
      <c r="L41" s="320">
        <f>SUM(L38:L40)</f>
        <v>5</v>
      </c>
      <c r="M41" s="742"/>
      <c r="N41" s="742"/>
      <c r="O41" s="742"/>
      <c r="P41" s="497"/>
      <c r="Q41" s="320">
        <f>SUM(Q38:Q40)</f>
        <v>4</v>
      </c>
      <c r="R41" s="742"/>
      <c r="S41" s="742"/>
      <c r="T41" s="742"/>
      <c r="U41" s="412"/>
      <c r="V41" s="320">
        <f>SUM(V38:V40)</f>
        <v>4</v>
      </c>
      <c r="W41" s="742"/>
      <c r="X41" s="742"/>
      <c r="Y41" s="742"/>
      <c r="Z41" s="412"/>
      <c r="AA41" s="320">
        <f>SUM(AA38:AA40)</f>
        <v>5</v>
      </c>
      <c r="AB41" s="742"/>
      <c r="AC41" s="742"/>
      <c r="AD41" s="742"/>
      <c r="AE41" s="498"/>
      <c r="AF41" s="203"/>
      <c r="AG41" s="187">
        <f t="shared" si="2"/>
        <v>28</v>
      </c>
      <c r="AH41" s="213">
        <f>SUM(B41:AF41)</f>
        <v>28</v>
      </c>
    </row>
    <row r="42" spans="1:34" s="142" customFormat="1" ht="13.5" customHeight="1">
      <c r="A42" s="275" t="s">
        <v>48</v>
      </c>
      <c r="B42" s="949" t="s">
        <v>294</v>
      </c>
      <c r="C42" s="950"/>
      <c r="D42" s="951"/>
      <c r="E42" s="922" t="s">
        <v>569</v>
      </c>
      <c r="F42" s="958"/>
      <c r="G42" s="958"/>
      <c r="H42" s="958"/>
      <c r="I42" s="959"/>
      <c r="J42" s="922" t="s">
        <v>253</v>
      </c>
      <c r="K42" s="923"/>
      <c r="L42" s="923"/>
      <c r="M42" s="924"/>
      <c r="N42" s="931" t="s">
        <v>655</v>
      </c>
      <c r="O42" s="923"/>
      <c r="P42" s="923"/>
      <c r="Q42" s="924"/>
      <c r="R42" s="931" t="s">
        <v>675</v>
      </c>
      <c r="S42" s="932"/>
      <c r="T42" s="933"/>
      <c r="U42" s="913" t="s">
        <v>659</v>
      </c>
      <c r="V42" s="914"/>
      <c r="W42" s="914"/>
      <c r="X42" s="914"/>
      <c r="Y42" s="914"/>
      <c r="Z42" s="915"/>
      <c r="AA42" s="994" t="s">
        <v>568</v>
      </c>
      <c r="AB42" s="995"/>
      <c r="AC42" s="995"/>
      <c r="AD42" s="995"/>
      <c r="AE42" s="996"/>
      <c r="AF42" s="139"/>
      <c r="AG42" s="184"/>
      <c r="AH42" s="212"/>
    </row>
    <row r="43" spans="1:34" ht="14.25" customHeight="1">
      <c r="A43" s="275">
        <v>18</v>
      </c>
      <c r="B43" s="952"/>
      <c r="C43" s="953"/>
      <c r="D43" s="954"/>
      <c r="E43" s="960"/>
      <c r="F43" s="961"/>
      <c r="G43" s="961"/>
      <c r="H43" s="961"/>
      <c r="I43" s="962"/>
      <c r="J43" s="925"/>
      <c r="K43" s="926"/>
      <c r="L43" s="926"/>
      <c r="M43" s="927"/>
      <c r="N43" s="925"/>
      <c r="O43" s="926"/>
      <c r="P43" s="926"/>
      <c r="Q43" s="927"/>
      <c r="R43" s="934"/>
      <c r="S43" s="935"/>
      <c r="T43" s="936"/>
      <c r="U43" s="916"/>
      <c r="V43" s="917"/>
      <c r="W43" s="917"/>
      <c r="X43" s="917"/>
      <c r="Y43" s="917"/>
      <c r="Z43" s="918"/>
      <c r="AA43" s="997"/>
      <c r="AB43" s="998"/>
      <c r="AC43" s="998"/>
      <c r="AD43" s="998"/>
      <c r="AE43" s="999"/>
      <c r="AF43" s="139"/>
      <c r="AG43" s="184"/>
      <c r="AH43" s="752"/>
    </row>
    <row r="44" spans="1:34">
      <c r="A44" s="276" t="s">
        <v>33</v>
      </c>
      <c r="B44" s="955"/>
      <c r="C44" s="956"/>
      <c r="D44" s="957"/>
      <c r="E44" s="963"/>
      <c r="F44" s="964"/>
      <c r="G44" s="964"/>
      <c r="H44" s="964"/>
      <c r="I44" s="965"/>
      <c r="J44" s="928"/>
      <c r="K44" s="929"/>
      <c r="L44" s="929"/>
      <c r="M44" s="930"/>
      <c r="N44" s="928"/>
      <c r="O44" s="929"/>
      <c r="P44" s="929"/>
      <c r="Q44" s="930"/>
      <c r="R44" s="937"/>
      <c r="S44" s="938"/>
      <c r="T44" s="939"/>
      <c r="U44" s="919"/>
      <c r="V44" s="920"/>
      <c r="W44" s="920"/>
      <c r="X44" s="920"/>
      <c r="Y44" s="920"/>
      <c r="Z44" s="921"/>
      <c r="AA44" s="1000"/>
      <c r="AB44" s="1001"/>
      <c r="AC44" s="1001"/>
      <c r="AD44" s="1001"/>
      <c r="AE44" s="1002"/>
      <c r="AF44" s="139"/>
      <c r="AG44" s="186"/>
      <c r="AH44" s="752"/>
    </row>
    <row r="45" spans="1:34" s="198" customFormat="1">
      <c r="A45" s="236" t="s">
        <v>32</v>
      </c>
      <c r="B45" s="378"/>
      <c r="C45" s="400"/>
      <c r="D45" s="349">
        <v>3</v>
      </c>
      <c r="E45" s="350"/>
      <c r="F45" s="350"/>
      <c r="G45" s="350"/>
      <c r="H45" s="465"/>
      <c r="I45" s="349">
        <v>5</v>
      </c>
      <c r="J45" s="400"/>
      <c r="K45" s="400"/>
      <c r="L45" s="400"/>
      <c r="M45" s="349">
        <v>4</v>
      </c>
      <c r="N45" s="400"/>
      <c r="O45" s="400"/>
      <c r="P45" s="351"/>
      <c r="Q45" s="349">
        <v>4</v>
      </c>
      <c r="R45" s="464"/>
      <c r="S45" s="400"/>
      <c r="T45" s="349">
        <v>3</v>
      </c>
      <c r="U45" s="400"/>
      <c r="V45" s="400"/>
      <c r="W45" s="400"/>
      <c r="X45" s="400"/>
      <c r="Y45" s="400"/>
      <c r="Z45" s="377">
        <v>6</v>
      </c>
      <c r="AA45" s="400"/>
      <c r="AB45" s="400"/>
      <c r="AC45" s="400"/>
      <c r="AD45" s="400"/>
      <c r="AE45" s="374">
        <v>5</v>
      </c>
      <c r="AF45" s="139"/>
      <c r="AG45" s="239">
        <f>SUM(B45:AF45)</f>
        <v>30</v>
      </c>
      <c r="AH45" s="208"/>
    </row>
    <row r="46" spans="1:34" s="75" customFormat="1" ht="13.5" customHeight="1">
      <c r="A46" s="277" t="s">
        <v>5</v>
      </c>
      <c r="B46" s="354"/>
      <c r="C46" s="385"/>
      <c r="D46" s="386">
        <f>D45*AG6</f>
        <v>102</v>
      </c>
      <c r="E46" s="322"/>
      <c r="F46" s="322"/>
      <c r="G46" s="322"/>
      <c r="H46" s="387"/>
      <c r="I46" s="386">
        <f>I45*AG6</f>
        <v>170</v>
      </c>
      <c r="J46" s="385"/>
      <c r="K46" s="385"/>
      <c r="L46" s="385"/>
      <c r="M46" s="386">
        <f>M45*AG6</f>
        <v>136</v>
      </c>
      <c r="N46" s="385"/>
      <c r="O46" s="385"/>
      <c r="P46" s="387"/>
      <c r="Q46" s="386">
        <f>Q45*AG6</f>
        <v>136</v>
      </c>
      <c r="R46" s="384"/>
      <c r="S46" s="385"/>
      <c r="T46" s="386">
        <f>T45*AG6</f>
        <v>102</v>
      </c>
      <c r="U46" s="221"/>
      <c r="V46" s="385"/>
      <c r="W46" s="385"/>
      <c r="X46" s="387"/>
      <c r="Y46" s="385"/>
      <c r="Z46" s="386">
        <f>Z45*AG6</f>
        <v>204</v>
      </c>
      <c r="AA46" s="385"/>
      <c r="AB46" s="385"/>
      <c r="AC46" s="385"/>
      <c r="AD46" s="415"/>
      <c r="AE46" s="386">
        <f>AE45*AG6</f>
        <v>170</v>
      </c>
      <c r="AF46" s="140"/>
      <c r="AG46" s="195">
        <f>SUM(B46:AE46)</f>
        <v>1020</v>
      </c>
      <c r="AH46" s="209">
        <f>SUM(B46:AF46)</f>
        <v>1020</v>
      </c>
    </row>
    <row r="47" spans="1:34" s="10" customFormat="1" ht="13.5" customHeight="1">
      <c r="A47" s="278" t="s">
        <v>4</v>
      </c>
      <c r="B47" s="355"/>
      <c r="C47" s="390"/>
      <c r="D47" s="388">
        <f>D46-D48</f>
        <v>48</v>
      </c>
      <c r="E47" s="318"/>
      <c r="F47" s="318"/>
      <c r="G47" s="318"/>
      <c r="H47" s="260"/>
      <c r="I47" s="388">
        <f>I46-I48</f>
        <v>80</v>
      </c>
      <c r="J47" s="390"/>
      <c r="K47" s="390"/>
      <c r="L47" s="390"/>
      <c r="M47" s="388">
        <f>M46-M48</f>
        <v>64</v>
      </c>
      <c r="N47" s="390"/>
      <c r="O47" s="390"/>
      <c r="P47" s="260"/>
      <c r="Q47" s="388">
        <f>Q46-Q48</f>
        <v>64</v>
      </c>
      <c r="R47" s="389"/>
      <c r="S47" s="390"/>
      <c r="T47" s="388">
        <f>T46-T48</f>
        <v>48</v>
      </c>
      <c r="U47" s="221"/>
      <c r="V47" s="385"/>
      <c r="W47" s="390"/>
      <c r="X47" s="260"/>
      <c r="Y47" s="390"/>
      <c r="Z47" s="388">
        <f>Z46-Z48</f>
        <v>132</v>
      </c>
      <c r="AA47" s="390"/>
      <c r="AB47" s="390"/>
      <c r="AC47" s="390"/>
      <c r="AD47" s="415"/>
      <c r="AE47" s="388">
        <f>AE46-AE48</f>
        <v>80</v>
      </c>
      <c r="AF47" s="14"/>
      <c r="AG47" s="193">
        <f>SUM(B47:AE47)</f>
        <v>516</v>
      </c>
      <c r="AH47" s="209">
        <f>SUM(B47:AF47)</f>
        <v>516</v>
      </c>
    </row>
    <row r="48" spans="1:34" s="11" customFormat="1" ht="13.5" customHeight="1">
      <c r="A48" s="279" t="s">
        <v>3</v>
      </c>
      <c r="B48" s="380"/>
      <c r="C48" s="322"/>
      <c r="D48" s="321">
        <f>B52*A43</f>
        <v>54</v>
      </c>
      <c r="E48" s="322"/>
      <c r="F48" s="322"/>
      <c r="G48" s="322"/>
      <c r="H48" s="488"/>
      <c r="I48" s="321">
        <f>E52*A43</f>
        <v>90</v>
      </c>
      <c r="J48" s="322"/>
      <c r="K48" s="322"/>
      <c r="L48" s="322"/>
      <c r="M48" s="321">
        <f>J52*A43</f>
        <v>72</v>
      </c>
      <c r="N48" s="322"/>
      <c r="O48" s="322"/>
      <c r="P48" s="489"/>
      <c r="Q48" s="321">
        <f>N52*A43</f>
        <v>72</v>
      </c>
      <c r="R48" s="319"/>
      <c r="S48" s="322"/>
      <c r="T48" s="321">
        <f>R52*A43</f>
        <v>54</v>
      </c>
      <c r="U48" s="490"/>
      <c r="V48" s="322"/>
      <c r="W48" s="322"/>
      <c r="X48" s="489"/>
      <c r="Y48" s="322"/>
      <c r="Z48" s="321">
        <f>U52*A43</f>
        <v>72</v>
      </c>
      <c r="AA48" s="322"/>
      <c r="AB48" s="322"/>
      <c r="AC48" s="322"/>
      <c r="AD48" s="491"/>
      <c r="AE48" s="321">
        <f>AA52*A43</f>
        <v>90</v>
      </c>
      <c r="AF48" s="14"/>
      <c r="AG48" s="187">
        <f>SUM(B48:AE48)</f>
        <v>504</v>
      </c>
      <c r="AH48" s="212"/>
    </row>
    <row r="49" spans="1:36" s="11" customFormat="1" ht="13.5" customHeight="1">
      <c r="A49" s="280" t="s">
        <v>42</v>
      </c>
      <c r="B49" s="319">
        <v>1</v>
      </c>
      <c r="C49" s="356"/>
      <c r="D49" s="357"/>
      <c r="E49" s="319">
        <v>3</v>
      </c>
      <c r="F49" s="318"/>
      <c r="G49" s="360"/>
      <c r="H49" s="358"/>
      <c r="I49" s="359"/>
      <c r="J49" s="319">
        <v>2</v>
      </c>
      <c r="K49" s="360"/>
      <c r="L49" s="360"/>
      <c r="M49" s="359"/>
      <c r="N49" s="319">
        <v>2</v>
      </c>
      <c r="O49" s="356"/>
      <c r="P49" s="358"/>
      <c r="Q49" s="357"/>
      <c r="R49" s="319">
        <v>2</v>
      </c>
      <c r="S49" s="360"/>
      <c r="T49" s="360"/>
      <c r="U49" s="319">
        <v>2</v>
      </c>
      <c r="V49" s="480"/>
      <c r="W49" s="857"/>
      <c r="X49" s="363"/>
      <c r="Y49" s="360"/>
      <c r="Z49" s="382"/>
      <c r="AA49" s="319">
        <v>3</v>
      </c>
      <c r="AB49" s="322"/>
      <c r="AC49" s="322"/>
      <c r="AD49" s="358"/>
      <c r="AE49" s="381"/>
      <c r="AF49" s="140"/>
      <c r="AG49" s="187">
        <f>SUM(B49:AF49)</f>
        <v>15</v>
      </c>
      <c r="AH49" s="209">
        <f>AG49*A43</f>
        <v>270</v>
      </c>
      <c r="AJ49" s="59"/>
    </row>
    <row r="50" spans="1:36" s="75" customFormat="1" ht="13.5" customHeight="1">
      <c r="A50" s="280" t="s">
        <v>43</v>
      </c>
      <c r="B50" s="319">
        <v>1</v>
      </c>
      <c r="C50" s="360"/>
      <c r="D50" s="359"/>
      <c r="E50" s="319">
        <v>1</v>
      </c>
      <c r="F50" s="318"/>
      <c r="G50" s="360"/>
      <c r="H50" s="402"/>
      <c r="I50" s="359"/>
      <c r="J50" s="319">
        <v>1</v>
      </c>
      <c r="K50" s="360"/>
      <c r="L50" s="360"/>
      <c r="M50" s="359"/>
      <c r="N50" s="319">
        <v>2</v>
      </c>
      <c r="O50" s="360"/>
      <c r="P50" s="363"/>
      <c r="Q50" s="359"/>
      <c r="R50" s="319">
        <v>1</v>
      </c>
      <c r="S50" s="360"/>
      <c r="T50" s="360"/>
      <c r="U50" s="319">
        <v>1</v>
      </c>
      <c r="V50" s="481"/>
      <c r="W50" s="858"/>
      <c r="X50" s="363"/>
      <c r="Y50" s="360"/>
      <c r="Z50" s="359"/>
      <c r="AA50" s="319"/>
      <c r="AB50" s="322"/>
      <c r="AC50" s="322"/>
      <c r="AD50" s="358"/>
      <c r="AE50" s="381"/>
      <c r="AF50" s="140"/>
      <c r="AG50" s="194">
        <f>SUM(B50:AF50)</f>
        <v>7</v>
      </c>
      <c r="AH50" s="212"/>
    </row>
    <row r="51" spans="1:36" s="75" customFormat="1" ht="13.5" customHeight="1">
      <c r="A51" s="281" t="s">
        <v>44</v>
      </c>
      <c r="B51" s="319">
        <v>1</v>
      </c>
      <c r="C51" s="356"/>
      <c r="D51" s="357"/>
      <c r="E51" s="319">
        <v>1</v>
      </c>
      <c r="F51" s="322"/>
      <c r="G51" s="356"/>
      <c r="H51" s="358"/>
      <c r="I51" s="357"/>
      <c r="J51" s="319">
        <v>1</v>
      </c>
      <c r="K51" s="356"/>
      <c r="L51" s="356"/>
      <c r="M51" s="357"/>
      <c r="N51" s="319"/>
      <c r="O51" s="356"/>
      <c r="P51" s="358"/>
      <c r="Q51" s="357"/>
      <c r="R51" s="319"/>
      <c r="S51" s="356"/>
      <c r="T51" s="356"/>
      <c r="U51" s="319">
        <v>1</v>
      </c>
      <c r="V51" s="481"/>
      <c r="W51" s="481"/>
      <c r="X51" s="358"/>
      <c r="Y51" s="356"/>
      <c r="Z51" s="381"/>
      <c r="AA51" s="319">
        <v>2</v>
      </c>
      <c r="AB51" s="322"/>
      <c r="AC51" s="322"/>
      <c r="AD51" s="358"/>
      <c r="AE51" s="381"/>
      <c r="AF51" s="14"/>
      <c r="AG51" s="187">
        <f>SUM(B51:AF51)</f>
        <v>6</v>
      </c>
      <c r="AH51" s="218"/>
    </row>
    <row r="52" spans="1:36" s="75" customFormat="1" ht="13.5" customHeight="1" thickBot="1">
      <c r="A52" s="282" t="s">
        <v>56</v>
      </c>
      <c r="B52" s="320">
        <f>SUM(B49:B51)</f>
        <v>3</v>
      </c>
      <c r="C52" s="482"/>
      <c r="D52" s="483"/>
      <c r="E52" s="320">
        <f>SUM(E49:E51)</f>
        <v>5</v>
      </c>
      <c r="F52" s="479"/>
      <c r="G52" s="383"/>
      <c r="H52" s="484"/>
      <c r="I52" s="483"/>
      <c r="J52" s="320">
        <f>SUM(J49:J51)</f>
        <v>4</v>
      </c>
      <c r="K52" s="383"/>
      <c r="L52" s="383"/>
      <c r="M52" s="483"/>
      <c r="N52" s="320">
        <f>SUM(N49:N51)</f>
        <v>4</v>
      </c>
      <c r="O52" s="383"/>
      <c r="P52" s="484"/>
      <c r="Q52" s="483"/>
      <c r="R52" s="320">
        <f>SUM(R49:R51)</f>
        <v>3</v>
      </c>
      <c r="S52" s="383"/>
      <c r="T52" s="383"/>
      <c r="U52" s="320">
        <f>SUM(U49:U51)</f>
        <v>4</v>
      </c>
      <c r="V52" s="485"/>
      <c r="W52" s="485"/>
      <c r="X52" s="484"/>
      <c r="Y52" s="383"/>
      <c r="Z52" s="486"/>
      <c r="AA52" s="320">
        <v>5</v>
      </c>
      <c r="AB52" s="469"/>
      <c r="AC52" s="469"/>
      <c r="AD52" s="487"/>
      <c r="AE52" s="487"/>
      <c r="AF52" s="14"/>
      <c r="AG52" s="207">
        <f>SUM(B52:AE52)</f>
        <v>28</v>
      </c>
      <c r="AH52" s="753">
        <f>SUM(B52:AF52)</f>
        <v>28</v>
      </c>
    </row>
    <row r="53" spans="1:36" s="75" customFormat="1" ht="13.5" customHeight="1">
      <c r="A53" s="283" t="s">
        <v>47</v>
      </c>
      <c r="B53" s="1054" t="s">
        <v>290</v>
      </c>
      <c r="C53" s="1055"/>
      <c r="D53" s="1054" t="s">
        <v>293</v>
      </c>
      <c r="E53" s="1077"/>
      <c r="F53" s="1055"/>
      <c r="G53" s="1028" t="s">
        <v>602</v>
      </c>
      <c r="H53" s="1019"/>
      <c r="I53" s="1019"/>
      <c r="J53" s="1019"/>
      <c r="K53" s="1020"/>
      <c r="L53" s="1027" t="s">
        <v>252</v>
      </c>
      <c r="M53" s="1019"/>
      <c r="N53" s="1019"/>
      <c r="O53" s="1020"/>
      <c r="P53" s="1045" t="s">
        <v>689</v>
      </c>
      <c r="Q53" s="1029"/>
      <c r="R53" s="1029"/>
      <c r="S53" s="1029"/>
      <c r="T53" s="1030"/>
      <c r="U53" s="1060" t="s">
        <v>653</v>
      </c>
      <c r="V53" s="1061"/>
      <c r="W53" s="1061"/>
      <c r="X53" s="1062"/>
      <c r="Y53" s="1060" t="s">
        <v>654</v>
      </c>
      <c r="Z53" s="1069"/>
      <c r="AA53" s="1069"/>
      <c r="AB53" s="1070"/>
      <c r="AC53" s="940" t="s">
        <v>550</v>
      </c>
      <c r="AD53" s="941"/>
      <c r="AE53" s="942"/>
      <c r="AF53" s="340"/>
      <c r="AG53" s="1161"/>
      <c r="AH53" s="1162"/>
      <c r="AI53" s="133"/>
      <c r="AJ53" s="133"/>
    </row>
    <row r="54" spans="1:36" s="75" customFormat="1" ht="13.5" customHeight="1">
      <c r="A54" s="284">
        <v>18</v>
      </c>
      <c r="B54" s="1056"/>
      <c r="C54" s="1057"/>
      <c r="D54" s="1056"/>
      <c r="E54" s="1078"/>
      <c r="F54" s="1057"/>
      <c r="G54" s="1021"/>
      <c r="H54" s="1022"/>
      <c r="I54" s="1022"/>
      <c r="J54" s="1022"/>
      <c r="K54" s="1023"/>
      <c r="L54" s="1021"/>
      <c r="M54" s="1022"/>
      <c r="N54" s="1022"/>
      <c r="O54" s="1023"/>
      <c r="P54" s="1031"/>
      <c r="Q54" s="1032"/>
      <c r="R54" s="1032"/>
      <c r="S54" s="1032"/>
      <c r="T54" s="1033"/>
      <c r="U54" s="1063"/>
      <c r="V54" s="1064"/>
      <c r="W54" s="1064"/>
      <c r="X54" s="1065"/>
      <c r="Y54" s="1071"/>
      <c r="Z54" s="1072"/>
      <c r="AA54" s="1072"/>
      <c r="AB54" s="1073"/>
      <c r="AC54" s="943"/>
      <c r="AD54" s="944"/>
      <c r="AE54" s="945"/>
      <c r="AF54" s="341"/>
      <c r="AG54" s="1163"/>
      <c r="AH54" s="1164"/>
      <c r="AI54" s="133"/>
      <c r="AJ54" s="133"/>
    </row>
    <row r="55" spans="1:36" ht="14.25" customHeight="1">
      <c r="A55" s="285" t="s">
        <v>33</v>
      </c>
      <c r="B55" s="1058"/>
      <c r="C55" s="1059"/>
      <c r="D55" s="1058"/>
      <c r="E55" s="1079"/>
      <c r="F55" s="1059"/>
      <c r="G55" s="1024"/>
      <c r="H55" s="1025"/>
      <c r="I55" s="1025"/>
      <c r="J55" s="1025"/>
      <c r="K55" s="1026"/>
      <c r="L55" s="1024"/>
      <c r="M55" s="1025"/>
      <c r="N55" s="1025"/>
      <c r="O55" s="1026"/>
      <c r="P55" s="1034"/>
      <c r="Q55" s="1035"/>
      <c r="R55" s="1035"/>
      <c r="S55" s="1035"/>
      <c r="T55" s="1036"/>
      <c r="U55" s="1066"/>
      <c r="V55" s="1067"/>
      <c r="W55" s="1067"/>
      <c r="X55" s="1068"/>
      <c r="Y55" s="1074"/>
      <c r="Z55" s="1075"/>
      <c r="AA55" s="1075"/>
      <c r="AB55" s="1076"/>
      <c r="AC55" s="946"/>
      <c r="AD55" s="947"/>
      <c r="AE55" s="948"/>
      <c r="AF55" s="341"/>
      <c r="AG55" s="1165"/>
      <c r="AH55" s="1166"/>
      <c r="AI55" s="5"/>
      <c r="AJ55" s="5"/>
    </row>
    <row r="56" spans="1:36" s="198" customFormat="1">
      <c r="A56" s="231" t="s">
        <v>32</v>
      </c>
      <c r="B56" s="463"/>
      <c r="C56" s="349">
        <v>2</v>
      </c>
      <c r="D56" s="464"/>
      <c r="E56" s="350"/>
      <c r="F56" s="349">
        <v>3</v>
      </c>
      <c r="G56" s="350"/>
      <c r="H56" s="350"/>
      <c r="I56" s="465"/>
      <c r="J56" s="400"/>
      <c r="K56" s="349">
        <v>5</v>
      </c>
      <c r="L56" s="400"/>
      <c r="M56" s="400"/>
      <c r="N56" s="400"/>
      <c r="O56" s="349">
        <v>4</v>
      </c>
      <c r="P56" s="400"/>
      <c r="Q56" s="351"/>
      <c r="R56" s="350"/>
      <c r="S56" s="351"/>
      <c r="T56" s="349">
        <v>5</v>
      </c>
      <c r="U56" s="352"/>
      <c r="V56" s="400"/>
      <c r="W56" s="400"/>
      <c r="X56" s="377">
        <v>4</v>
      </c>
      <c r="Y56" s="400"/>
      <c r="Z56" s="400"/>
      <c r="AA56" s="400"/>
      <c r="AB56" s="349">
        <v>4</v>
      </c>
      <c r="AC56" s="773"/>
      <c r="AD56" s="774"/>
      <c r="AE56" s="775">
        <v>3</v>
      </c>
      <c r="AF56" s="341"/>
      <c r="AG56" s="239">
        <f>SUM(B56:AF56)</f>
        <v>30</v>
      </c>
      <c r="AH56" s="208"/>
    </row>
    <row r="57" spans="1:36">
      <c r="A57" s="269" t="s">
        <v>5</v>
      </c>
      <c r="B57" s="384"/>
      <c r="C57" s="386">
        <f>C56*AG6</f>
        <v>68</v>
      </c>
      <c r="D57" s="384"/>
      <c r="E57" s="385"/>
      <c r="F57" s="386">
        <f>F56*AG6</f>
        <v>102</v>
      </c>
      <c r="G57" s="322"/>
      <c r="H57" s="322"/>
      <c r="I57" s="387"/>
      <c r="J57" s="387"/>
      <c r="K57" s="415">
        <f>K56*AG6</f>
        <v>170</v>
      </c>
      <c r="L57" s="384"/>
      <c r="M57" s="385"/>
      <c r="N57" s="415"/>
      <c r="O57" s="415">
        <f>O56*AG6</f>
        <v>136</v>
      </c>
      <c r="P57" s="384"/>
      <c r="Q57" s="415"/>
      <c r="R57" s="385"/>
      <c r="S57" s="415"/>
      <c r="T57" s="415">
        <f>T56*AG6</f>
        <v>170</v>
      </c>
      <c r="U57" s="384"/>
      <c r="V57" s="415"/>
      <c r="W57" s="385"/>
      <c r="X57" s="415">
        <f>X56*AG6</f>
        <v>136</v>
      </c>
      <c r="Y57" s="384"/>
      <c r="Z57" s="385"/>
      <c r="AA57" s="385"/>
      <c r="AB57" s="415">
        <f>AB56*AG6</f>
        <v>136</v>
      </c>
      <c r="AC57" s="776"/>
      <c r="AD57" s="777"/>
      <c r="AE57" s="778">
        <f>AE56*$AG$5</f>
        <v>108</v>
      </c>
      <c r="AF57" s="341"/>
      <c r="AG57" s="193">
        <f t="shared" ref="AG57:AG63" si="3">SUM(B57:AE57)</f>
        <v>1026</v>
      </c>
      <c r="AH57" s="209">
        <f>SUM(B57:AF57)</f>
        <v>1026</v>
      </c>
    </row>
    <row r="58" spans="1:36" ht="13.5" customHeight="1">
      <c r="A58" s="270" t="s">
        <v>4</v>
      </c>
      <c r="B58" s="389"/>
      <c r="C58" s="386">
        <f>C57-C59</f>
        <v>32</v>
      </c>
      <c r="D58" s="389"/>
      <c r="E58" s="390"/>
      <c r="F58" s="386">
        <f>F57-F59</f>
        <v>66</v>
      </c>
      <c r="G58" s="318"/>
      <c r="H58" s="318"/>
      <c r="I58" s="260"/>
      <c r="J58" s="260"/>
      <c r="K58" s="388">
        <f>K57-K59</f>
        <v>80</v>
      </c>
      <c r="L58" s="390"/>
      <c r="M58" s="390"/>
      <c r="N58" s="260"/>
      <c r="O58" s="388">
        <f>O57-O59</f>
        <v>46</v>
      </c>
      <c r="P58" s="390"/>
      <c r="Q58" s="260"/>
      <c r="R58" s="390"/>
      <c r="S58" s="260"/>
      <c r="T58" s="388">
        <f>T57-T59</f>
        <v>98</v>
      </c>
      <c r="U58" s="385"/>
      <c r="V58" s="260"/>
      <c r="W58" s="390"/>
      <c r="X58" s="388">
        <f>X57-X59</f>
        <v>46</v>
      </c>
      <c r="Y58" s="390"/>
      <c r="Z58" s="390"/>
      <c r="AA58" s="390"/>
      <c r="AB58" s="388">
        <f>AB57-AB59</f>
        <v>64</v>
      </c>
      <c r="AC58" s="779"/>
      <c r="AD58" s="780"/>
      <c r="AE58" s="778">
        <f>AE57</f>
        <v>108</v>
      </c>
      <c r="AF58" s="341"/>
      <c r="AG58" s="193">
        <f t="shared" si="3"/>
        <v>540</v>
      </c>
      <c r="AH58" s="209">
        <f>SUM(B58:AF58)</f>
        <v>540</v>
      </c>
    </row>
    <row r="59" spans="1:36" s="10" customFormat="1" ht="13.5" customHeight="1">
      <c r="A59" s="271" t="s">
        <v>3</v>
      </c>
      <c r="B59" s="384"/>
      <c r="C59" s="386">
        <f>B63*A54</f>
        <v>36</v>
      </c>
      <c r="D59" s="384"/>
      <c r="E59" s="385"/>
      <c r="F59" s="386">
        <f>D63*A54</f>
        <v>36</v>
      </c>
      <c r="G59" s="322"/>
      <c r="H59" s="322"/>
      <c r="I59" s="73"/>
      <c r="J59" s="387"/>
      <c r="K59" s="386">
        <f>G63*A54</f>
        <v>90</v>
      </c>
      <c r="L59" s="385"/>
      <c r="M59" s="385"/>
      <c r="N59" s="387"/>
      <c r="O59" s="386">
        <f>L63*A54</f>
        <v>90</v>
      </c>
      <c r="P59" s="385"/>
      <c r="Q59" s="387"/>
      <c r="R59" s="385"/>
      <c r="S59" s="387"/>
      <c r="T59" s="386">
        <f>P63*A54</f>
        <v>72</v>
      </c>
      <c r="U59" s="385"/>
      <c r="V59" s="387"/>
      <c r="W59" s="385"/>
      <c r="X59" s="386">
        <f>U63*A54</f>
        <v>90</v>
      </c>
      <c r="Y59" s="385"/>
      <c r="Z59" s="385"/>
      <c r="AA59" s="385"/>
      <c r="AB59" s="386">
        <f>Y63*A54</f>
        <v>72</v>
      </c>
      <c r="AC59" s="776"/>
      <c r="AD59" s="781"/>
      <c r="AE59" s="782"/>
      <c r="AF59" s="341"/>
      <c r="AG59" s="207">
        <f t="shared" si="3"/>
        <v>486</v>
      </c>
      <c r="AH59" s="210"/>
    </row>
    <row r="60" spans="1:36" s="11" customFormat="1" ht="13.5" customHeight="1">
      <c r="A60" s="286" t="s">
        <v>42</v>
      </c>
      <c r="B60" s="319">
        <v>1</v>
      </c>
      <c r="C60" s="359"/>
      <c r="D60" s="319">
        <v>1</v>
      </c>
      <c r="E60" s="322"/>
      <c r="F60" s="359"/>
      <c r="G60" s="319">
        <v>3</v>
      </c>
      <c r="H60" s="356"/>
      <c r="I60" s="358"/>
      <c r="J60" s="356"/>
      <c r="K60" s="357"/>
      <c r="L60" s="319">
        <v>2</v>
      </c>
      <c r="M60" s="356"/>
      <c r="N60" s="356"/>
      <c r="O60" s="357"/>
      <c r="P60" s="319">
        <v>2</v>
      </c>
      <c r="Q60" s="358"/>
      <c r="R60" s="356"/>
      <c r="S60" s="358"/>
      <c r="T60" s="357"/>
      <c r="U60" s="319">
        <v>3</v>
      </c>
      <c r="V60" s="358"/>
      <c r="W60" s="356"/>
      <c r="X60" s="381"/>
      <c r="Y60" s="319">
        <v>2</v>
      </c>
      <c r="Z60" s="360"/>
      <c r="AA60" s="360"/>
      <c r="AB60" s="360"/>
      <c r="AC60" s="783"/>
      <c r="AD60" s="784"/>
      <c r="AE60" s="785"/>
      <c r="AF60" s="341"/>
      <c r="AG60" s="207">
        <f t="shared" si="3"/>
        <v>14</v>
      </c>
      <c r="AH60" s="209">
        <f>AG60*A54</f>
        <v>252</v>
      </c>
    </row>
    <row r="61" spans="1:36" ht="13.5" customHeight="1">
      <c r="A61" s="272" t="s">
        <v>43</v>
      </c>
      <c r="B61" s="319"/>
      <c r="C61" s="359"/>
      <c r="D61" s="319"/>
      <c r="E61" s="322"/>
      <c r="F61" s="359"/>
      <c r="G61" s="319">
        <v>1</v>
      </c>
      <c r="H61" s="360"/>
      <c r="I61" s="402"/>
      <c r="J61" s="360"/>
      <c r="K61" s="359"/>
      <c r="L61" s="319">
        <v>2</v>
      </c>
      <c r="M61" s="360"/>
      <c r="N61" s="466"/>
      <c r="O61" s="359"/>
      <c r="P61" s="319">
        <v>2</v>
      </c>
      <c r="Q61" s="363"/>
      <c r="R61" s="360"/>
      <c r="S61" s="363"/>
      <c r="T61" s="359"/>
      <c r="U61" s="319">
        <v>1</v>
      </c>
      <c r="V61" s="363"/>
      <c r="W61" s="360"/>
      <c r="X61" s="359"/>
      <c r="Y61" s="319">
        <v>1</v>
      </c>
      <c r="Z61" s="360"/>
      <c r="AA61" s="360"/>
      <c r="AB61" s="360"/>
      <c r="AC61" s="786"/>
      <c r="AD61" s="787"/>
      <c r="AE61" s="788"/>
      <c r="AF61" s="341"/>
      <c r="AG61" s="207">
        <f t="shared" si="3"/>
        <v>7</v>
      </c>
      <c r="AH61" s="211"/>
    </row>
    <row r="62" spans="1:36" ht="13.5" customHeight="1">
      <c r="A62" s="286" t="s">
        <v>44</v>
      </c>
      <c r="B62" s="319">
        <v>1</v>
      </c>
      <c r="C62" s="357"/>
      <c r="D62" s="319">
        <v>1</v>
      </c>
      <c r="E62" s="322"/>
      <c r="F62" s="357"/>
      <c r="G62" s="319">
        <v>1</v>
      </c>
      <c r="H62" s="356"/>
      <c r="I62" s="358"/>
      <c r="J62" s="356"/>
      <c r="K62" s="357"/>
      <c r="L62" s="319">
        <v>1</v>
      </c>
      <c r="M62" s="360"/>
      <c r="N62" s="356"/>
      <c r="O62" s="357"/>
      <c r="P62" s="319"/>
      <c r="Q62" s="358"/>
      <c r="R62" s="356"/>
      <c r="S62" s="358"/>
      <c r="T62" s="357"/>
      <c r="U62" s="319">
        <v>1</v>
      </c>
      <c r="V62" s="358"/>
      <c r="W62" s="356"/>
      <c r="X62" s="381"/>
      <c r="Y62" s="319">
        <v>1</v>
      </c>
      <c r="Z62" s="356"/>
      <c r="AA62" s="356"/>
      <c r="AB62" s="356"/>
      <c r="AC62" s="789"/>
      <c r="AD62" s="784"/>
      <c r="AE62" s="790"/>
      <c r="AF62" s="341"/>
      <c r="AG62" s="207">
        <f t="shared" si="3"/>
        <v>6</v>
      </c>
      <c r="AH62" s="212"/>
    </row>
    <row r="63" spans="1:36" ht="13.5" customHeight="1" thickBot="1">
      <c r="A63" s="274" t="s">
        <v>56</v>
      </c>
      <c r="B63" s="320">
        <f>SUM(B60:B62)</f>
        <v>2</v>
      </c>
      <c r="C63" s="368"/>
      <c r="D63" s="320">
        <f>SUM(D60:D62)</f>
        <v>2</v>
      </c>
      <c r="E63" s="479"/>
      <c r="F63" s="368"/>
      <c r="G63" s="320">
        <f>SUM(G60:G62)</f>
        <v>5</v>
      </c>
      <c r="H63" s="367"/>
      <c r="I63" s="369"/>
      <c r="J63" s="367"/>
      <c r="K63" s="368"/>
      <c r="L63" s="320">
        <f>SUM(L60:L62)</f>
        <v>5</v>
      </c>
      <c r="M63" s="367"/>
      <c r="N63" s="467"/>
      <c r="O63" s="368"/>
      <c r="P63" s="320">
        <f>SUM(P60:P62)</f>
        <v>4</v>
      </c>
      <c r="Q63" s="411"/>
      <c r="R63" s="467"/>
      <c r="S63" s="411"/>
      <c r="T63" s="368"/>
      <c r="U63" s="320">
        <f>SUM(U60:U62)</f>
        <v>5</v>
      </c>
      <c r="V63" s="369"/>
      <c r="W63" s="467"/>
      <c r="X63" s="370"/>
      <c r="Y63" s="320">
        <f>SUM(Y60:Y62)</f>
        <v>4</v>
      </c>
      <c r="Z63" s="367"/>
      <c r="AA63" s="367"/>
      <c r="AB63" s="367"/>
      <c r="AC63" s="791"/>
      <c r="AD63" s="792"/>
      <c r="AE63" s="793"/>
      <c r="AF63" s="342"/>
      <c r="AG63" s="185">
        <f t="shared" si="3"/>
        <v>27</v>
      </c>
      <c r="AH63" s="213">
        <f>SUM(B63:AF63)</f>
        <v>27</v>
      </c>
    </row>
    <row r="64" spans="1:36" ht="13.5" customHeight="1">
      <c r="A64" s="275" t="s">
        <v>46</v>
      </c>
      <c r="B64" s="1080" t="s">
        <v>249</v>
      </c>
      <c r="C64" s="1081"/>
      <c r="D64" s="1082"/>
      <c r="E64" s="1054" t="s">
        <v>289</v>
      </c>
      <c r="F64" s="1055"/>
      <c r="G64" s="1018" t="s">
        <v>652</v>
      </c>
      <c r="H64" s="1019"/>
      <c r="I64" s="1019"/>
      <c r="J64" s="1020"/>
      <c r="K64" s="1027" t="s">
        <v>250</v>
      </c>
      <c r="L64" s="1019"/>
      <c r="M64" s="1019"/>
      <c r="N64" s="1020"/>
      <c r="O64" s="1027" t="s">
        <v>295</v>
      </c>
      <c r="P64" s="1019"/>
      <c r="Q64" s="1019"/>
      <c r="R64" s="1020"/>
      <c r="S64" s="1028" t="s">
        <v>597</v>
      </c>
      <c r="T64" s="1029"/>
      <c r="U64" s="1029"/>
      <c r="V64" s="1029"/>
      <c r="W64" s="1030"/>
      <c r="X64" s="1028" t="s">
        <v>595</v>
      </c>
      <c r="Y64" s="1037"/>
      <c r="Z64" s="1037"/>
      <c r="AA64" s="1038"/>
      <c r="AB64" s="1045" t="s">
        <v>669</v>
      </c>
      <c r="AC64" s="1046"/>
      <c r="AD64" s="1046"/>
      <c r="AE64" s="1047"/>
      <c r="AF64" s="340"/>
      <c r="AG64" s="184"/>
      <c r="AH64" s="212"/>
    </row>
    <row r="65" spans="1:34" ht="13.5" customHeight="1">
      <c r="A65" s="275">
        <v>18</v>
      </c>
      <c r="B65" s="1083"/>
      <c r="C65" s="1084"/>
      <c r="D65" s="1085"/>
      <c r="E65" s="1056"/>
      <c r="F65" s="1057"/>
      <c r="G65" s="1021"/>
      <c r="H65" s="1022"/>
      <c r="I65" s="1022"/>
      <c r="J65" s="1023"/>
      <c r="K65" s="1021"/>
      <c r="L65" s="1022"/>
      <c r="M65" s="1022"/>
      <c r="N65" s="1023"/>
      <c r="O65" s="1021"/>
      <c r="P65" s="1022"/>
      <c r="Q65" s="1022"/>
      <c r="R65" s="1023"/>
      <c r="S65" s="1031"/>
      <c r="T65" s="1032"/>
      <c r="U65" s="1032"/>
      <c r="V65" s="1032"/>
      <c r="W65" s="1033"/>
      <c r="X65" s="1039"/>
      <c r="Y65" s="1040"/>
      <c r="Z65" s="1040"/>
      <c r="AA65" s="1041"/>
      <c r="AB65" s="1048"/>
      <c r="AC65" s="1049"/>
      <c r="AD65" s="1049"/>
      <c r="AE65" s="1050"/>
      <c r="AF65" s="341"/>
      <c r="AG65" s="184"/>
      <c r="AH65" s="212"/>
    </row>
    <row r="66" spans="1:34" ht="13.5" customHeight="1">
      <c r="A66" s="276" t="s">
        <v>33</v>
      </c>
      <c r="B66" s="1086"/>
      <c r="C66" s="1087"/>
      <c r="D66" s="1088"/>
      <c r="E66" s="1058"/>
      <c r="F66" s="1059"/>
      <c r="G66" s="1024"/>
      <c r="H66" s="1025"/>
      <c r="I66" s="1025"/>
      <c r="J66" s="1026"/>
      <c r="K66" s="1024"/>
      <c r="L66" s="1025"/>
      <c r="M66" s="1025"/>
      <c r="N66" s="1026"/>
      <c r="O66" s="1024"/>
      <c r="P66" s="1025"/>
      <c r="Q66" s="1025"/>
      <c r="R66" s="1026"/>
      <c r="S66" s="1034"/>
      <c r="T66" s="1035"/>
      <c r="U66" s="1035"/>
      <c r="V66" s="1035"/>
      <c r="W66" s="1036"/>
      <c r="X66" s="1042"/>
      <c r="Y66" s="1043"/>
      <c r="Z66" s="1043"/>
      <c r="AA66" s="1044"/>
      <c r="AB66" s="1051"/>
      <c r="AC66" s="1052"/>
      <c r="AD66" s="1052"/>
      <c r="AE66" s="1053"/>
      <c r="AF66" s="341"/>
      <c r="AG66" s="186"/>
      <c r="AH66" s="212"/>
    </row>
    <row r="67" spans="1:34" s="198" customFormat="1" ht="14.25" customHeight="1">
      <c r="A67" s="236" t="s">
        <v>32</v>
      </c>
      <c r="B67" s="428"/>
      <c r="C67" s="429"/>
      <c r="D67" s="234">
        <v>3</v>
      </c>
      <c r="E67" s="430"/>
      <c r="F67" s="234">
        <v>2</v>
      </c>
      <c r="G67" s="430"/>
      <c r="H67" s="237"/>
      <c r="I67" s="237"/>
      <c r="J67" s="234">
        <v>4</v>
      </c>
      <c r="K67" s="235"/>
      <c r="L67" s="237"/>
      <c r="M67" s="237"/>
      <c r="N67" s="235">
        <v>4</v>
      </c>
      <c r="O67" s="431" t="s">
        <v>251</v>
      </c>
      <c r="P67" s="237"/>
      <c r="Q67" s="237"/>
      <c r="R67" s="232">
        <v>4</v>
      </c>
      <c r="S67" s="233"/>
      <c r="T67" s="238" t="s">
        <v>251</v>
      </c>
      <c r="U67" s="432"/>
      <c r="V67" s="238"/>
      <c r="W67" s="234">
        <v>5</v>
      </c>
      <c r="X67" s="237"/>
      <c r="Y67" s="238"/>
      <c r="Z67" s="432"/>
      <c r="AA67" s="234">
        <v>4</v>
      </c>
      <c r="AB67" s="237"/>
      <c r="AC67" s="237"/>
      <c r="AD67" s="237"/>
      <c r="AE67" s="234">
        <v>4</v>
      </c>
      <c r="AF67" s="341"/>
      <c r="AG67" s="239">
        <f>SUM(B67:AF67)</f>
        <v>30</v>
      </c>
      <c r="AH67" s="208"/>
    </row>
    <row r="68" spans="1:34">
      <c r="A68" s="277" t="s">
        <v>5</v>
      </c>
      <c r="B68" s="224"/>
      <c r="C68" s="224"/>
      <c r="D68" s="230">
        <f>D67*AG6</f>
        <v>102</v>
      </c>
      <c r="E68" s="314"/>
      <c r="F68" s="230">
        <f>F67*AG6</f>
        <v>68</v>
      </c>
      <c r="G68" s="314"/>
      <c r="H68" s="224"/>
      <c r="I68" s="224"/>
      <c r="J68" s="451">
        <f>J67*AG6</f>
        <v>136</v>
      </c>
      <c r="K68" s="224"/>
      <c r="L68" s="16"/>
      <c r="M68" s="16"/>
      <c r="N68" s="451">
        <f>N67*AG6</f>
        <v>136</v>
      </c>
      <c r="O68" s="16"/>
      <c r="P68" s="16"/>
      <c r="Q68" s="18"/>
      <c r="R68" s="451">
        <f>R67*AG6</f>
        <v>136</v>
      </c>
      <c r="S68" s="219"/>
      <c r="T68" s="18"/>
      <c r="U68" s="224"/>
      <c r="V68" s="18"/>
      <c r="W68" s="451">
        <f>W67*AG6</f>
        <v>170</v>
      </c>
      <c r="X68" s="224"/>
      <c r="Y68" s="18"/>
      <c r="Z68" s="223"/>
      <c r="AA68" s="451">
        <f>AA67*AG6</f>
        <v>136</v>
      </c>
      <c r="AB68" s="16"/>
      <c r="AC68" s="16"/>
      <c r="AD68" s="16"/>
      <c r="AE68" s="451">
        <f>AE67*AG6</f>
        <v>136</v>
      </c>
      <c r="AF68" s="341"/>
      <c r="AG68" s="187">
        <f>SUM(C68:AE68)</f>
        <v>1020</v>
      </c>
      <c r="AH68" s="209">
        <f>SUM(B68:AF68)</f>
        <v>1020</v>
      </c>
    </row>
    <row r="69" spans="1:34">
      <c r="A69" s="278" t="s">
        <v>4</v>
      </c>
      <c r="B69" s="220"/>
      <c r="C69" s="220"/>
      <c r="D69" s="230">
        <f>D68-D70</f>
        <v>48</v>
      </c>
      <c r="E69" s="219"/>
      <c r="F69" s="230">
        <f>F68-F70</f>
        <v>32</v>
      </c>
      <c r="G69" s="219"/>
      <c r="H69" s="220"/>
      <c r="I69" s="220"/>
      <c r="J69" s="230">
        <f>J68-J70</f>
        <v>82</v>
      </c>
      <c r="K69" s="224"/>
      <c r="L69" s="16"/>
      <c r="M69" s="16"/>
      <c r="N69" s="388">
        <f>N68-N70</f>
        <v>82</v>
      </c>
      <c r="O69" s="16"/>
      <c r="P69" s="16"/>
      <c r="Q69" s="16"/>
      <c r="R69" s="388">
        <f>R68-R70</f>
        <v>64</v>
      </c>
      <c r="S69" s="314"/>
      <c r="T69" s="16"/>
      <c r="U69" s="220"/>
      <c r="V69" s="16"/>
      <c r="W69" s="388">
        <f>W68-W70</f>
        <v>80</v>
      </c>
      <c r="X69" s="220"/>
      <c r="Y69" s="16"/>
      <c r="Z69" s="452"/>
      <c r="AA69" s="388">
        <f>AA68-AA70</f>
        <v>64</v>
      </c>
      <c r="AB69" s="16"/>
      <c r="AC69" s="16"/>
      <c r="AD69" s="16"/>
      <c r="AE69" s="388">
        <f>AE68-AE70</f>
        <v>82</v>
      </c>
      <c r="AF69" s="341"/>
      <c r="AG69" s="187">
        <f>SUM(C69:AE69)</f>
        <v>534</v>
      </c>
      <c r="AH69" s="209">
        <f>SUM(B69:AF69)</f>
        <v>534</v>
      </c>
    </row>
    <row r="70" spans="1:34" s="3" customFormat="1" ht="13.5" customHeight="1">
      <c r="A70" s="279" t="s">
        <v>3</v>
      </c>
      <c r="B70" s="224"/>
      <c r="C70" s="224"/>
      <c r="D70" s="230">
        <f>B74*A65</f>
        <v>54</v>
      </c>
      <c r="E70" s="314"/>
      <c r="F70" s="230">
        <f>E74*A65</f>
        <v>36</v>
      </c>
      <c r="G70" s="314"/>
      <c r="H70" s="224"/>
      <c r="I70" s="224"/>
      <c r="J70" s="386">
        <f>G74*A65</f>
        <v>54</v>
      </c>
      <c r="K70" s="224"/>
      <c r="L70" s="18"/>
      <c r="M70" s="18"/>
      <c r="N70" s="386">
        <f>K74*A65</f>
        <v>54</v>
      </c>
      <c r="O70" s="18"/>
      <c r="P70" s="18"/>
      <c r="Q70" s="18"/>
      <c r="R70" s="386">
        <f>O74*A65</f>
        <v>72</v>
      </c>
      <c r="S70" s="314"/>
      <c r="T70" s="453"/>
      <c r="U70" s="224"/>
      <c r="V70" s="18"/>
      <c r="W70" s="386">
        <f>S74*A65</f>
        <v>90</v>
      </c>
      <c r="X70" s="224"/>
      <c r="Y70" s="18"/>
      <c r="Z70" s="223"/>
      <c r="AA70" s="386">
        <f>X74*A65</f>
        <v>72</v>
      </c>
      <c r="AB70" s="18"/>
      <c r="AC70" s="18"/>
      <c r="AD70" s="18"/>
      <c r="AE70" s="386">
        <f>AB74*A65</f>
        <v>54</v>
      </c>
      <c r="AF70" s="341"/>
      <c r="AG70" s="187">
        <f>SUM(C70:AF70)</f>
        <v>486</v>
      </c>
      <c r="AH70" s="210"/>
    </row>
    <row r="71" spans="1:34" s="10" customFormat="1" ht="13.5" customHeight="1">
      <c r="A71" s="280" t="s">
        <v>42</v>
      </c>
      <c r="B71" s="319">
        <v>2</v>
      </c>
      <c r="C71" s="454"/>
      <c r="D71" s="455"/>
      <c r="E71" s="319">
        <v>1</v>
      </c>
      <c r="F71" s="456"/>
      <c r="G71" s="319">
        <v>2</v>
      </c>
      <c r="H71" s="454"/>
      <c r="I71" s="454"/>
      <c r="J71" s="457"/>
      <c r="K71" s="319">
        <v>2</v>
      </c>
      <c r="L71" s="458"/>
      <c r="M71" s="458"/>
      <c r="N71" s="459"/>
      <c r="O71" s="319">
        <v>2</v>
      </c>
      <c r="P71" s="458"/>
      <c r="Q71" s="454"/>
      <c r="R71" s="454"/>
      <c r="S71" s="319">
        <v>3</v>
      </c>
      <c r="T71" s="457"/>
      <c r="U71" s="457"/>
      <c r="V71" s="460"/>
      <c r="W71" s="454"/>
      <c r="X71" s="319">
        <v>2</v>
      </c>
      <c r="Y71" s="460"/>
      <c r="Z71" s="457"/>
      <c r="AA71" s="455"/>
      <c r="AB71" s="319">
        <v>2</v>
      </c>
      <c r="AC71" s="458"/>
      <c r="AD71" s="461"/>
      <c r="AE71" s="462"/>
      <c r="AF71" s="341"/>
      <c r="AG71" s="187">
        <f>SUM(B71:AF71)</f>
        <v>16</v>
      </c>
      <c r="AH71" s="209">
        <f>AG71*A65</f>
        <v>288</v>
      </c>
    </row>
    <row r="72" spans="1:34" s="11" customFormat="1" ht="13.5" customHeight="1">
      <c r="A72" s="281" t="s">
        <v>43</v>
      </c>
      <c r="B72" s="319"/>
      <c r="C72" s="433"/>
      <c r="D72" s="435"/>
      <c r="E72" s="319"/>
      <c r="F72" s="435"/>
      <c r="G72" s="319">
        <v>1</v>
      </c>
      <c r="H72" s="433"/>
      <c r="I72" s="433"/>
      <c r="J72" s="433"/>
      <c r="K72" s="319"/>
      <c r="L72" s="437"/>
      <c r="M72" s="437"/>
      <c r="N72" s="438"/>
      <c r="O72" s="319">
        <v>1</v>
      </c>
      <c r="P72" s="437"/>
      <c r="Q72" s="433"/>
      <c r="R72" s="433"/>
      <c r="S72" s="319">
        <v>1</v>
      </c>
      <c r="T72" s="436"/>
      <c r="U72" s="436"/>
      <c r="V72" s="437"/>
      <c r="W72" s="433"/>
      <c r="X72" s="319">
        <v>1</v>
      </c>
      <c r="Y72" s="433"/>
      <c r="Z72" s="437"/>
      <c r="AA72" s="435"/>
      <c r="AB72" s="319">
        <v>1</v>
      </c>
      <c r="AC72" s="437"/>
      <c r="AD72" s="440"/>
      <c r="AE72" s="441"/>
      <c r="AF72" s="341"/>
      <c r="AG72" s="207">
        <f>SUM(B72:AE72)</f>
        <v>5</v>
      </c>
      <c r="AH72" s="212"/>
    </row>
    <row r="73" spans="1:34" s="11" customFormat="1" ht="13.5" customHeight="1">
      <c r="A73" s="281" t="s">
        <v>44</v>
      </c>
      <c r="B73" s="319">
        <v>1</v>
      </c>
      <c r="C73" s="436"/>
      <c r="D73" s="434"/>
      <c r="E73" s="319">
        <v>1</v>
      </c>
      <c r="F73" s="434"/>
      <c r="G73" s="319"/>
      <c r="H73" s="436"/>
      <c r="I73" s="436"/>
      <c r="J73" s="436"/>
      <c r="K73" s="319">
        <v>1</v>
      </c>
      <c r="L73" s="437"/>
      <c r="M73" s="442"/>
      <c r="N73" s="438"/>
      <c r="O73" s="319">
        <v>1</v>
      </c>
      <c r="P73" s="439"/>
      <c r="Q73" s="436"/>
      <c r="R73" s="436"/>
      <c r="S73" s="319">
        <v>1</v>
      </c>
      <c r="T73" s="436"/>
      <c r="U73" s="436"/>
      <c r="V73" s="439"/>
      <c r="W73" s="436"/>
      <c r="X73" s="319">
        <v>1</v>
      </c>
      <c r="Y73" s="439"/>
      <c r="Z73" s="436"/>
      <c r="AA73" s="434"/>
      <c r="AB73" s="319"/>
      <c r="AC73" s="439"/>
      <c r="AD73" s="443"/>
      <c r="AE73" s="444"/>
      <c r="AF73" s="341"/>
      <c r="AG73" s="207">
        <f>SUM(B73:AE73)</f>
        <v>6</v>
      </c>
      <c r="AH73" s="212"/>
    </row>
    <row r="74" spans="1:34" ht="13.5" customHeight="1" thickBot="1">
      <c r="A74" s="282" t="s">
        <v>56</v>
      </c>
      <c r="B74" s="320">
        <f>SUM(B71:B73)</f>
        <v>3</v>
      </c>
      <c r="C74" s="445"/>
      <c r="D74" s="446"/>
      <c r="E74" s="320">
        <f>SUM(E71:E73)</f>
        <v>2</v>
      </c>
      <c r="F74" s="446"/>
      <c r="G74" s="320">
        <f>SUM(G71:G73)</f>
        <v>3</v>
      </c>
      <c r="H74" s="445"/>
      <c r="I74" s="445"/>
      <c r="J74" s="445"/>
      <c r="K74" s="320">
        <f>SUM(K71:K73)</f>
        <v>3</v>
      </c>
      <c r="L74" s="447"/>
      <c r="M74" s="448"/>
      <c r="N74" s="449"/>
      <c r="O74" s="320">
        <f>SUM(O71:O73)</f>
        <v>4</v>
      </c>
      <c r="P74" s="447"/>
      <c r="Q74" s="445"/>
      <c r="R74" s="446"/>
      <c r="S74" s="320">
        <f>SUM(S71:S73)</f>
        <v>5</v>
      </c>
      <c r="T74" s="445"/>
      <c r="U74" s="445"/>
      <c r="V74" s="450"/>
      <c r="W74" s="445"/>
      <c r="X74" s="320">
        <f>SUM(X71:X73)</f>
        <v>4</v>
      </c>
      <c r="Y74" s="450"/>
      <c r="Z74" s="445"/>
      <c r="AA74" s="446"/>
      <c r="AB74" s="320">
        <f>SUM(AB71:AB73)</f>
        <v>3</v>
      </c>
      <c r="AC74" s="447"/>
      <c r="AD74" s="447"/>
      <c r="AE74" s="449"/>
      <c r="AF74" s="342"/>
      <c r="AG74" s="207">
        <f>SUM(B74:AE74)</f>
        <v>27</v>
      </c>
      <c r="AH74" s="213">
        <f>SUM(B74:AF74)</f>
        <v>27</v>
      </c>
    </row>
    <row r="75" spans="1:34" ht="13.5" customHeight="1">
      <c r="A75" s="283" t="s">
        <v>45</v>
      </c>
      <c r="B75" s="1080" t="s">
        <v>215</v>
      </c>
      <c r="C75" s="1082"/>
      <c r="D75" s="1054" t="s">
        <v>296</v>
      </c>
      <c r="E75" s="1077"/>
      <c r="F75" s="1055"/>
      <c r="G75" s="1225" t="s">
        <v>690</v>
      </c>
      <c r="H75" s="1129"/>
      <c r="I75" s="1105" t="s">
        <v>599</v>
      </c>
      <c r="J75" s="1106"/>
      <c r="K75" s="1107"/>
      <c r="L75" s="1105" t="s">
        <v>600</v>
      </c>
      <c r="M75" s="1106"/>
      <c r="N75" s="1107"/>
      <c r="O75" s="1028" t="s">
        <v>596</v>
      </c>
      <c r="P75" s="1120"/>
      <c r="Q75" s="1121"/>
      <c r="R75" s="1027" t="s">
        <v>630</v>
      </c>
      <c r="S75" s="1029"/>
      <c r="T75" s="1030"/>
      <c r="U75" s="1216" t="s">
        <v>687</v>
      </c>
      <c r="V75" s="1047"/>
      <c r="W75" s="1046" t="s">
        <v>665</v>
      </c>
      <c r="X75" s="1219"/>
      <c r="Y75" s="1219"/>
      <c r="Z75" s="1219"/>
      <c r="AA75" s="1220"/>
      <c r="AB75" s="1009" t="s">
        <v>206</v>
      </c>
      <c r="AC75" s="1010"/>
      <c r="AD75" s="1011"/>
      <c r="AE75" s="1089" t="s">
        <v>38</v>
      </c>
      <c r="AF75" s="1090"/>
      <c r="AG75" s="189"/>
      <c r="AH75" s="754"/>
    </row>
    <row r="76" spans="1:34" ht="13.5" customHeight="1">
      <c r="A76" s="284">
        <v>18</v>
      </c>
      <c r="B76" s="1083"/>
      <c r="C76" s="1085"/>
      <c r="D76" s="1056"/>
      <c r="E76" s="1078"/>
      <c r="F76" s="1057"/>
      <c r="G76" s="1130"/>
      <c r="H76" s="1132"/>
      <c r="I76" s="1108"/>
      <c r="J76" s="1109"/>
      <c r="K76" s="1110"/>
      <c r="L76" s="1108"/>
      <c r="M76" s="1109"/>
      <c r="N76" s="1110"/>
      <c r="O76" s="1122"/>
      <c r="P76" s="1123"/>
      <c r="Q76" s="1124"/>
      <c r="R76" s="1031"/>
      <c r="S76" s="1032"/>
      <c r="T76" s="1033"/>
      <c r="U76" s="1048"/>
      <c r="V76" s="1050"/>
      <c r="W76" s="1221"/>
      <c r="X76" s="1221"/>
      <c r="Y76" s="1221"/>
      <c r="Z76" s="1221"/>
      <c r="AA76" s="1222"/>
      <c r="AB76" s="1012"/>
      <c r="AC76" s="1013"/>
      <c r="AD76" s="1014"/>
      <c r="AE76" s="1091"/>
      <c r="AF76" s="1092"/>
      <c r="AG76" s="184"/>
      <c r="AH76" s="754"/>
    </row>
    <row r="77" spans="1:34" ht="13.5" customHeight="1">
      <c r="A77" s="285" t="s">
        <v>33</v>
      </c>
      <c r="B77" s="1086"/>
      <c r="C77" s="1088"/>
      <c r="D77" s="1058"/>
      <c r="E77" s="1079"/>
      <c r="F77" s="1059"/>
      <c r="G77" s="1133"/>
      <c r="H77" s="1135"/>
      <c r="I77" s="1111"/>
      <c r="J77" s="1112"/>
      <c r="K77" s="1113"/>
      <c r="L77" s="1111"/>
      <c r="M77" s="1112"/>
      <c r="N77" s="1113"/>
      <c r="O77" s="1125"/>
      <c r="P77" s="1126"/>
      <c r="Q77" s="1127"/>
      <c r="R77" s="1034"/>
      <c r="S77" s="1035"/>
      <c r="T77" s="1036"/>
      <c r="U77" s="1051"/>
      <c r="V77" s="1053"/>
      <c r="W77" s="1223"/>
      <c r="X77" s="1223"/>
      <c r="Y77" s="1223"/>
      <c r="Z77" s="1223"/>
      <c r="AA77" s="1224"/>
      <c r="AB77" s="1015"/>
      <c r="AC77" s="1016"/>
      <c r="AD77" s="1017"/>
      <c r="AE77" s="1093"/>
      <c r="AF77" s="1094"/>
      <c r="AG77" s="184"/>
      <c r="AH77" s="754"/>
    </row>
    <row r="78" spans="1:34" s="201" customFormat="1" ht="13.5" customHeight="1">
      <c r="A78" s="231" t="s">
        <v>32</v>
      </c>
      <c r="B78" s="373"/>
      <c r="C78" s="349">
        <v>2</v>
      </c>
      <c r="D78" s="378"/>
      <c r="E78" s="352"/>
      <c r="F78" s="349">
        <v>3</v>
      </c>
      <c r="G78" s="515"/>
      <c r="H78" s="349">
        <v>2</v>
      </c>
      <c r="I78" s="352"/>
      <c r="J78" s="352"/>
      <c r="K78" s="349">
        <v>3</v>
      </c>
      <c r="L78" s="352"/>
      <c r="M78" s="352"/>
      <c r="N78" s="349">
        <v>3</v>
      </c>
      <c r="O78" s="352"/>
      <c r="P78" s="352"/>
      <c r="Q78" s="349">
        <v>3</v>
      </c>
      <c r="R78" s="352"/>
      <c r="S78" s="352"/>
      <c r="T78" s="349">
        <v>3</v>
      </c>
      <c r="U78" s="378"/>
      <c r="V78" s="352">
        <v>2</v>
      </c>
      <c r="W78" s="378"/>
      <c r="X78" s="352"/>
      <c r="Y78" s="352"/>
      <c r="Z78" s="352"/>
      <c r="AA78" s="349">
        <v>5</v>
      </c>
      <c r="AB78" s="352"/>
      <c r="AC78" s="352"/>
      <c r="AD78" s="349">
        <v>3</v>
      </c>
      <c r="AE78" s="240">
        <v>1</v>
      </c>
      <c r="AF78" s="500"/>
      <c r="AG78" s="239">
        <f>SUM(B78:AE78)</f>
        <v>30</v>
      </c>
      <c r="AH78" s="755"/>
    </row>
    <row r="79" spans="1:34" ht="14.25" customHeight="1">
      <c r="A79" s="269" t="s">
        <v>5</v>
      </c>
      <c r="B79" s="384"/>
      <c r="C79" s="386">
        <f>C78*AG6</f>
        <v>68</v>
      </c>
      <c r="D79" s="384"/>
      <c r="E79" s="415"/>
      <c r="F79" s="386">
        <f>F78*AG6</f>
        <v>102</v>
      </c>
      <c r="G79" s="421"/>
      <c r="H79" s="321">
        <f>H78*AG6</f>
        <v>68</v>
      </c>
      <c r="I79" s="322"/>
      <c r="J79" s="415"/>
      <c r="K79" s="321">
        <f>K78*AG6</f>
        <v>102</v>
      </c>
      <c r="L79" s="415"/>
      <c r="M79" s="422"/>
      <c r="N79" s="386">
        <f>N78*AG6</f>
        <v>102</v>
      </c>
      <c r="O79" s="385"/>
      <c r="P79" s="385"/>
      <c r="Q79" s="416">
        <f>Q78*AG6</f>
        <v>102</v>
      </c>
      <c r="R79" s="415"/>
      <c r="S79" s="415"/>
      <c r="T79" s="416">
        <f>T78*AG6</f>
        <v>102</v>
      </c>
      <c r="U79" s="319"/>
      <c r="V79" s="386">
        <f>V78*AG6</f>
        <v>68</v>
      </c>
      <c r="W79" s="415"/>
      <c r="X79" s="415"/>
      <c r="Y79" s="415"/>
      <c r="Z79" s="415"/>
      <c r="AA79" s="416">
        <f>AA78*AG6</f>
        <v>170</v>
      </c>
      <c r="AB79" s="779"/>
      <c r="AC79" s="794"/>
      <c r="AD79" s="778">
        <f>AD78*$AG$5</f>
        <v>108</v>
      </c>
      <c r="AE79" s="299">
        <f>AE78*$AG6</f>
        <v>34</v>
      </c>
      <c r="AF79" s="221">
        <f>AF85*A76+2</f>
        <v>74</v>
      </c>
      <c r="AG79" s="187">
        <f>SUM(B79:AE79)</f>
        <v>1026</v>
      </c>
      <c r="AH79" s="756">
        <f>SUM(B79:AF79)</f>
        <v>1100</v>
      </c>
    </row>
    <row r="80" spans="1:34" ht="12.75" customHeight="1">
      <c r="A80" s="270" t="s">
        <v>4</v>
      </c>
      <c r="B80" s="389"/>
      <c r="C80" s="386">
        <f>C79-C81</f>
        <v>32</v>
      </c>
      <c r="D80" s="389"/>
      <c r="E80" s="417"/>
      <c r="F80" s="386">
        <f>F79-F81</f>
        <v>48</v>
      </c>
      <c r="G80" s="423"/>
      <c r="H80" s="388">
        <f>H79-H81</f>
        <v>32</v>
      </c>
      <c r="I80" s="322"/>
      <c r="J80" s="322"/>
      <c r="K80" s="388">
        <f>K79-K81</f>
        <v>30</v>
      </c>
      <c r="L80" s="417"/>
      <c r="M80" s="415"/>
      <c r="N80" s="388">
        <f>N79-N81</f>
        <v>48</v>
      </c>
      <c r="O80" s="390"/>
      <c r="P80" s="390"/>
      <c r="Q80" s="388">
        <f>Q79-Q81</f>
        <v>30</v>
      </c>
      <c r="R80" s="415"/>
      <c r="S80" s="415"/>
      <c r="T80" s="388">
        <f>T79-T81</f>
        <v>48</v>
      </c>
      <c r="U80" s="319"/>
      <c r="V80" s="388">
        <f>V79-V81</f>
        <v>32</v>
      </c>
      <c r="W80" s="415"/>
      <c r="X80" s="415"/>
      <c r="Y80" s="415"/>
      <c r="Z80" s="415"/>
      <c r="AA80" s="388">
        <f>AA79-AA81</f>
        <v>98</v>
      </c>
      <c r="AB80" s="795"/>
      <c r="AC80" s="796"/>
      <c r="AD80" s="778">
        <f>AD79</f>
        <v>108</v>
      </c>
      <c r="AE80" s="315">
        <f>AE79</f>
        <v>34</v>
      </c>
      <c r="AF80" s="221">
        <f>AF79</f>
        <v>74</v>
      </c>
      <c r="AG80" s="187">
        <f>SUM(B80:AE80)</f>
        <v>540</v>
      </c>
      <c r="AH80" s="756">
        <f>SUM(B80:AF80)</f>
        <v>614</v>
      </c>
    </row>
    <row r="81" spans="1:34" ht="12.75" customHeight="1">
      <c r="A81" s="271" t="s">
        <v>3</v>
      </c>
      <c r="B81" s="384"/>
      <c r="C81" s="386">
        <f>B85*A76</f>
        <v>36</v>
      </c>
      <c r="D81" s="384"/>
      <c r="E81" s="415"/>
      <c r="F81" s="386">
        <f>D85*A76</f>
        <v>54</v>
      </c>
      <c r="G81" s="421"/>
      <c r="H81" s="386">
        <f>G85*A76</f>
        <v>36</v>
      </c>
      <c r="I81" s="322"/>
      <c r="J81" s="322"/>
      <c r="K81" s="386">
        <f>I85*A76</f>
        <v>72</v>
      </c>
      <c r="L81" s="47"/>
      <c r="M81" s="47"/>
      <c r="N81" s="386">
        <f>L85*A76</f>
        <v>54</v>
      </c>
      <c r="O81" s="390"/>
      <c r="P81" s="390"/>
      <c r="Q81" s="386">
        <f>O85*A76</f>
        <v>72</v>
      </c>
      <c r="R81" s="417"/>
      <c r="S81" s="417"/>
      <c r="T81" s="386">
        <f>R85*A76</f>
        <v>54</v>
      </c>
      <c r="U81" s="319"/>
      <c r="V81" s="386">
        <f>U85*A76</f>
        <v>36</v>
      </c>
      <c r="W81" s="417"/>
      <c r="X81" s="417"/>
      <c r="Y81" s="417"/>
      <c r="Z81" s="417"/>
      <c r="AA81" s="386">
        <f>W85*A76</f>
        <v>72</v>
      </c>
      <c r="AB81" s="779"/>
      <c r="AC81" s="794"/>
      <c r="AD81" s="778"/>
      <c r="AE81" s="315"/>
      <c r="AF81" s="133"/>
      <c r="AG81" s="187">
        <f>SUM(B81:AF81)</f>
        <v>486</v>
      </c>
      <c r="AH81" s="757"/>
    </row>
    <row r="82" spans="1:34" ht="13.5" customHeight="1">
      <c r="A82" s="272" t="s">
        <v>42</v>
      </c>
      <c r="B82" s="319"/>
      <c r="C82" s="396"/>
      <c r="D82" s="319">
        <v>1</v>
      </c>
      <c r="E82" s="395"/>
      <c r="F82" s="394"/>
      <c r="G82" s="319">
        <v>1</v>
      </c>
      <c r="H82" s="394"/>
      <c r="I82" s="319">
        <v>2</v>
      </c>
      <c r="J82" s="393"/>
      <c r="K82" s="394"/>
      <c r="L82" s="319">
        <v>2</v>
      </c>
      <c r="M82" s="322"/>
      <c r="N82" s="394"/>
      <c r="O82" s="318">
        <v>2</v>
      </c>
      <c r="P82" s="397"/>
      <c r="Q82" s="397"/>
      <c r="R82" s="319">
        <v>1</v>
      </c>
      <c r="S82" s="424"/>
      <c r="T82" s="425"/>
      <c r="U82" s="319">
        <v>1</v>
      </c>
      <c r="V82" s="396"/>
      <c r="W82" s="319">
        <v>2</v>
      </c>
      <c r="X82" s="424"/>
      <c r="Y82" s="426"/>
      <c r="Z82" s="426"/>
      <c r="AA82" s="427"/>
      <c r="AB82" s="795"/>
      <c r="AC82" s="796"/>
      <c r="AD82" s="797"/>
      <c r="AE82" s="227"/>
      <c r="AF82" s="202"/>
      <c r="AG82" s="187">
        <f>SUM(B82:AF82)</f>
        <v>12</v>
      </c>
      <c r="AH82" s="756">
        <f>AG82*A76</f>
        <v>216</v>
      </c>
    </row>
    <row r="83" spans="1:34" s="11" customFormat="1" ht="13.5" customHeight="1">
      <c r="A83" s="272" t="s">
        <v>43</v>
      </c>
      <c r="B83" s="319"/>
      <c r="C83" s="359"/>
      <c r="D83" s="319"/>
      <c r="E83" s="363"/>
      <c r="F83" s="359"/>
      <c r="G83" s="319"/>
      <c r="H83" s="382"/>
      <c r="I83" s="319"/>
      <c r="J83" s="356"/>
      <c r="K83" s="359"/>
      <c r="L83" s="319"/>
      <c r="M83" s="322"/>
      <c r="N83" s="806"/>
      <c r="O83" s="807"/>
      <c r="P83" s="408"/>
      <c r="Q83" s="408"/>
      <c r="R83" s="319">
        <v>1</v>
      </c>
      <c r="S83" s="363"/>
      <c r="T83" s="382"/>
      <c r="U83" s="319"/>
      <c r="V83" s="359"/>
      <c r="W83" s="319">
        <v>1</v>
      </c>
      <c r="X83" s="363"/>
      <c r="Y83" s="409"/>
      <c r="Z83" s="409"/>
      <c r="AA83" s="410"/>
      <c r="AB83" s="798"/>
      <c r="AC83" s="799"/>
      <c r="AD83" s="800"/>
      <c r="AE83" s="225"/>
      <c r="AF83" s="143"/>
      <c r="AG83" s="194">
        <f>SUM(B83:AF83)</f>
        <v>2</v>
      </c>
      <c r="AH83" s="754"/>
    </row>
    <row r="84" spans="1:34" s="11" customFormat="1" ht="13.5" customHeight="1">
      <c r="A84" s="286" t="s">
        <v>44</v>
      </c>
      <c r="B84" s="319">
        <v>2</v>
      </c>
      <c r="C84" s="357"/>
      <c r="D84" s="319">
        <v>2</v>
      </c>
      <c r="E84" s="358"/>
      <c r="F84" s="357"/>
      <c r="G84" s="319">
        <v>1</v>
      </c>
      <c r="H84" s="357"/>
      <c r="I84" s="319">
        <v>2</v>
      </c>
      <c r="J84" s="356"/>
      <c r="K84" s="357"/>
      <c r="L84" s="319">
        <v>1</v>
      </c>
      <c r="M84" s="322"/>
      <c r="N84" s="357"/>
      <c r="O84" s="322">
        <v>2</v>
      </c>
      <c r="P84" s="356"/>
      <c r="Q84" s="356"/>
      <c r="R84" s="319">
        <v>1</v>
      </c>
      <c r="S84" s="363"/>
      <c r="T84" s="382"/>
      <c r="U84" s="319">
        <v>1</v>
      </c>
      <c r="V84" s="357"/>
      <c r="W84" s="319">
        <v>1</v>
      </c>
      <c r="X84" s="363"/>
      <c r="Y84" s="409"/>
      <c r="Z84" s="409"/>
      <c r="AA84" s="410"/>
      <c r="AB84" s="789"/>
      <c r="AC84" s="784"/>
      <c r="AD84" s="801"/>
      <c r="AE84" s="229"/>
      <c r="AF84" s="18"/>
      <c r="AG84" s="187">
        <f>SUM(B84:AF84)</f>
        <v>13</v>
      </c>
      <c r="AH84" s="758"/>
    </row>
    <row r="85" spans="1:34" s="11" customFormat="1" ht="13.5" customHeight="1" thickBot="1">
      <c r="A85" s="274" t="s">
        <v>56</v>
      </c>
      <c r="B85" s="320">
        <f>SUM(B82:B84)</f>
        <v>2</v>
      </c>
      <c r="C85" s="368"/>
      <c r="D85" s="320">
        <f>SUM(D82:D84)</f>
        <v>3</v>
      </c>
      <c r="E85" s="369"/>
      <c r="F85" s="368"/>
      <c r="G85" s="320">
        <f>SUM(G82:G84)</f>
        <v>2</v>
      </c>
      <c r="H85" s="368"/>
      <c r="I85" s="320">
        <f>SUM(I82:I84)</f>
        <v>4</v>
      </c>
      <c r="J85" s="369"/>
      <c r="K85" s="368"/>
      <c r="L85" s="320">
        <f>SUM(L82:L84)</f>
        <v>3</v>
      </c>
      <c r="M85" s="479"/>
      <c r="N85" s="370"/>
      <c r="O85" s="808">
        <v>4</v>
      </c>
      <c r="P85" s="369"/>
      <c r="Q85" s="369"/>
      <c r="R85" s="320">
        <f>SUM(R82:R84)</f>
        <v>3</v>
      </c>
      <c r="S85" s="411"/>
      <c r="T85" s="412"/>
      <c r="U85" s="320">
        <f>SUM(U82:U84)</f>
        <v>2</v>
      </c>
      <c r="V85" s="412"/>
      <c r="W85" s="320">
        <f>SUM(W82:W84)</f>
        <v>4</v>
      </c>
      <c r="X85" s="411"/>
      <c r="Y85" s="411"/>
      <c r="Z85" s="411"/>
      <c r="AA85" s="412"/>
      <c r="AB85" s="802"/>
      <c r="AC85" s="803"/>
      <c r="AD85" s="803"/>
      <c r="AE85" s="769">
        <v>2</v>
      </c>
      <c r="AF85" s="222">
        <v>4</v>
      </c>
      <c r="AG85" s="185">
        <f>SUM(B85:AD85)</f>
        <v>27</v>
      </c>
      <c r="AH85" s="759">
        <f>SUM(B85:AF85)</f>
        <v>33</v>
      </c>
    </row>
    <row r="86" spans="1:34" ht="13.5" customHeight="1">
      <c r="A86" s="284" t="s">
        <v>35</v>
      </c>
      <c r="B86" s="1080" t="s">
        <v>246</v>
      </c>
      <c r="C86" s="1082"/>
      <c r="D86" s="1054" t="s">
        <v>688</v>
      </c>
      <c r="E86" s="1077"/>
      <c r="F86" s="1077"/>
      <c r="G86" s="1055"/>
      <c r="H86" s="1105" t="s">
        <v>247</v>
      </c>
      <c r="I86" s="1106"/>
      <c r="J86" s="1106"/>
      <c r="K86" s="1107"/>
      <c r="L86" s="1105" t="s">
        <v>248</v>
      </c>
      <c r="M86" s="1106"/>
      <c r="N86" s="1106"/>
      <c r="O86" s="1107"/>
      <c r="P86" s="1105" t="s">
        <v>603</v>
      </c>
      <c r="Q86" s="1128"/>
      <c r="R86" s="1128"/>
      <c r="S86" s="1129"/>
      <c r="T86" s="1105" t="s">
        <v>682</v>
      </c>
      <c r="U86" s="1106"/>
      <c r="V86" s="1107"/>
      <c r="W86" s="1028" t="s">
        <v>601</v>
      </c>
      <c r="X86" s="1019"/>
      <c r="Y86" s="1019"/>
      <c r="Z86" s="1019"/>
      <c r="AA86" s="1020"/>
      <c r="AB86" s="1027" t="s">
        <v>604</v>
      </c>
      <c r="AC86" s="1019"/>
      <c r="AD86" s="1019"/>
      <c r="AE86" s="1020"/>
      <c r="AF86" s="1099" t="s">
        <v>38</v>
      </c>
      <c r="AG86" s="189"/>
      <c r="AH86" s="760"/>
    </row>
    <row r="87" spans="1:34" ht="18" customHeight="1">
      <c r="A87" s="284">
        <v>18</v>
      </c>
      <c r="B87" s="1083"/>
      <c r="C87" s="1085"/>
      <c r="D87" s="1056"/>
      <c r="E87" s="1078"/>
      <c r="F87" s="1078"/>
      <c r="G87" s="1057"/>
      <c r="H87" s="1108"/>
      <c r="I87" s="1109"/>
      <c r="J87" s="1109"/>
      <c r="K87" s="1110"/>
      <c r="L87" s="1108"/>
      <c r="M87" s="1109"/>
      <c r="N87" s="1109"/>
      <c r="O87" s="1110"/>
      <c r="P87" s="1130"/>
      <c r="Q87" s="1131"/>
      <c r="R87" s="1131"/>
      <c r="S87" s="1132"/>
      <c r="T87" s="1108"/>
      <c r="U87" s="1109"/>
      <c r="V87" s="1110"/>
      <c r="W87" s="1021"/>
      <c r="X87" s="1022"/>
      <c r="Y87" s="1022"/>
      <c r="Z87" s="1022"/>
      <c r="AA87" s="1023"/>
      <c r="AB87" s="1021"/>
      <c r="AC87" s="1022"/>
      <c r="AD87" s="1022"/>
      <c r="AE87" s="1023"/>
      <c r="AF87" s="1099"/>
      <c r="AG87" s="184"/>
      <c r="AH87" s="754"/>
    </row>
    <row r="88" spans="1:34" ht="12.75" customHeight="1">
      <c r="A88" s="285" t="s">
        <v>33</v>
      </c>
      <c r="B88" s="1086"/>
      <c r="C88" s="1088"/>
      <c r="D88" s="1058"/>
      <c r="E88" s="1079"/>
      <c r="F88" s="1079"/>
      <c r="G88" s="1059"/>
      <c r="H88" s="1111"/>
      <c r="I88" s="1112"/>
      <c r="J88" s="1112"/>
      <c r="K88" s="1113"/>
      <c r="L88" s="1111"/>
      <c r="M88" s="1112"/>
      <c r="N88" s="1112"/>
      <c r="O88" s="1113"/>
      <c r="P88" s="1133"/>
      <c r="Q88" s="1134"/>
      <c r="R88" s="1134"/>
      <c r="S88" s="1135"/>
      <c r="T88" s="1111"/>
      <c r="U88" s="1112"/>
      <c r="V88" s="1113"/>
      <c r="W88" s="1024"/>
      <c r="X88" s="1025"/>
      <c r="Y88" s="1025"/>
      <c r="Z88" s="1025"/>
      <c r="AA88" s="1026"/>
      <c r="AB88" s="1024"/>
      <c r="AC88" s="1025"/>
      <c r="AD88" s="1025"/>
      <c r="AE88" s="1026"/>
      <c r="AF88" s="1100"/>
      <c r="AG88" s="184"/>
      <c r="AH88" s="754"/>
    </row>
    <row r="89" spans="1:34" s="201" customFormat="1" ht="13.5" customHeight="1">
      <c r="A89" s="231" t="s">
        <v>32</v>
      </c>
      <c r="B89" s="373"/>
      <c r="C89" s="349">
        <v>2</v>
      </c>
      <c r="D89" s="378"/>
      <c r="E89" s="375"/>
      <c r="F89" s="375"/>
      <c r="G89" s="374">
        <v>4</v>
      </c>
      <c r="H89" s="352"/>
      <c r="I89" s="375"/>
      <c r="J89" s="375"/>
      <c r="K89" s="349">
        <v>4</v>
      </c>
      <c r="L89" s="375"/>
      <c r="M89" s="375"/>
      <c r="N89" s="375"/>
      <c r="O89" s="349">
        <v>4</v>
      </c>
      <c r="P89" s="375"/>
      <c r="Q89" s="375"/>
      <c r="R89" s="353"/>
      <c r="S89" s="349">
        <v>4</v>
      </c>
      <c r="T89" s="375"/>
      <c r="U89" s="375"/>
      <c r="V89" s="349">
        <v>3</v>
      </c>
      <c r="W89" s="375"/>
      <c r="X89" s="375"/>
      <c r="Y89" s="375"/>
      <c r="Z89" s="375"/>
      <c r="AA89" s="349">
        <v>5</v>
      </c>
      <c r="AB89" s="375"/>
      <c r="AC89" s="375"/>
      <c r="AD89" s="375"/>
      <c r="AE89" s="374">
        <v>4</v>
      </c>
      <c r="AF89" s="514"/>
      <c r="AG89" s="239">
        <f>SUM(B89:AF89)</f>
        <v>30</v>
      </c>
      <c r="AH89" s="755"/>
    </row>
    <row r="90" spans="1:34" ht="13.5" customHeight="1">
      <c r="A90" s="269" t="s">
        <v>5</v>
      </c>
      <c r="B90" s="384"/>
      <c r="C90" s="386">
        <f>C89*AG6</f>
        <v>68</v>
      </c>
      <c r="D90" s="384"/>
      <c r="E90" s="385"/>
      <c r="F90" s="385"/>
      <c r="G90" s="386">
        <f>G89*AG6</f>
        <v>136</v>
      </c>
      <c r="H90" s="322"/>
      <c r="I90" s="385"/>
      <c r="J90" s="415"/>
      <c r="K90" s="416">
        <f>K89*AG6</f>
        <v>136</v>
      </c>
      <c r="L90" s="385"/>
      <c r="M90" s="385"/>
      <c r="N90" s="415"/>
      <c r="O90" s="416">
        <f>O89*AG6</f>
        <v>136</v>
      </c>
      <c r="P90" s="385"/>
      <c r="Q90" s="385"/>
      <c r="R90" s="415"/>
      <c r="S90" s="416">
        <f>S89*AG6</f>
        <v>136</v>
      </c>
      <c r="T90" s="385"/>
      <c r="U90" s="385"/>
      <c r="V90" s="416">
        <f>V89*AG6</f>
        <v>102</v>
      </c>
      <c r="W90" s="385"/>
      <c r="X90" s="415"/>
      <c r="Y90" s="385"/>
      <c r="Z90" s="385"/>
      <c r="AA90" s="416">
        <f>AA89*AG6</f>
        <v>170</v>
      </c>
      <c r="AB90" s="385"/>
      <c r="AC90" s="415"/>
      <c r="AD90" s="385"/>
      <c r="AE90" s="416">
        <f>AE89*AG6</f>
        <v>136</v>
      </c>
      <c r="AF90" s="315">
        <f>AF96*A87</f>
        <v>90</v>
      </c>
      <c r="AG90" s="187">
        <f>SUM(B90:AE90)</f>
        <v>1020</v>
      </c>
      <c r="AH90" s="756">
        <f>SUM(B90:AF90)</f>
        <v>1110</v>
      </c>
    </row>
    <row r="91" spans="1:34" ht="14.25" customHeight="1">
      <c r="A91" s="270" t="s">
        <v>4</v>
      </c>
      <c r="B91" s="389"/>
      <c r="C91" s="386">
        <f>C90-C92</f>
        <v>32</v>
      </c>
      <c r="D91" s="389"/>
      <c r="E91" s="390"/>
      <c r="F91" s="390"/>
      <c r="G91" s="386">
        <f>G90-G92</f>
        <v>82</v>
      </c>
      <c r="H91" s="318"/>
      <c r="I91" s="385"/>
      <c r="J91" s="417"/>
      <c r="K91" s="388">
        <f>K90-K92</f>
        <v>64</v>
      </c>
      <c r="L91" s="390"/>
      <c r="M91" s="390"/>
      <c r="N91" s="417"/>
      <c r="O91" s="388">
        <f>O90-O92</f>
        <v>64</v>
      </c>
      <c r="P91" s="390"/>
      <c r="Q91" s="390"/>
      <c r="R91" s="417"/>
      <c r="S91" s="388">
        <f>S90-S92</f>
        <v>82</v>
      </c>
      <c r="T91" s="390"/>
      <c r="U91" s="385"/>
      <c r="V91" s="388">
        <f>V90-V92</f>
        <v>48</v>
      </c>
      <c r="W91" s="385"/>
      <c r="X91" s="417"/>
      <c r="Y91" s="390"/>
      <c r="Z91" s="390"/>
      <c r="AA91" s="388">
        <f>AA90-AA92</f>
        <v>98</v>
      </c>
      <c r="AB91" s="390"/>
      <c r="AC91" s="417"/>
      <c r="AD91" s="390"/>
      <c r="AE91" s="388">
        <f>AE90-AE92</f>
        <v>64</v>
      </c>
      <c r="AF91" s="315">
        <f>AF90</f>
        <v>90</v>
      </c>
      <c r="AG91" s="187">
        <f>SUM(B91:AE91)</f>
        <v>534</v>
      </c>
      <c r="AH91" s="756">
        <f>SUM(B91:AF91)</f>
        <v>624</v>
      </c>
    </row>
    <row r="92" spans="1:34">
      <c r="A92" s="271" t="s">
        <v>3</v>
      </c>
      <c r="B92" s="384"/>
      <c r="C92" s="386">
        <f>B96*A87</f>
        <v>36</v>
      </c>
      <c r="D92" s="319"/>
      <c r="E92" s="385"/>
      <c r="F92" s="385"/>
      <c r="G92" s="386">
        <f>D96*A87</f>
        <v>54</v>
      </c>
      <c r="H92" s="322"/>
      <c r="I92" s="385"/>
      <c r="J92" s="415"/>
      <c r="K92" s="386">
        <f>H96*A87</f>
        <v>72</v>
      </c>
      <c r="L92" s="385"/>
      <c r="M92" s="385"/>
      <c r="N92" s="415"/>
      <c r="O92" s="386">
        <f>L96*A87</f>
        <v>72</v>
      </c>
      <c r="P92" s="385"/>
      <c r="Q92" s="385"/>
      <c r="R92" s="415"/>
      <c r="S92" s="386">
        <f>P96*A87</f>
        <v>54</v>
      </c>
      <c r="T92" s="385"/>
      <c r="U92" s="385"/>
      <c r="V92" s="386">
        <f>T96*A87</f>
        <v>54</v>
      </c>
      <c r="W92" s="385"/>
      <c r="X92" s="415"/>
      <c r="Y92" s="385"/>
      <c r="Z92" s="385"/>
      <c r="AA92" s="386">
        <f>W96*A87</f>
        <v>72</v>
      </c>
      <c r="AB92" s="385"/>
      <c r="AC92" s="415"/>
      <c r="AD92" s="385"/>
      <c r="AE92" s="386">
        <f>AB96*A87</f>
        <v>72</v>
      </c>
      <c r="AF92" s="315"/>
      <c r="AG92" s="187">
        <f>SUM(B92:AF92)</f>
        <v>486</v>
      </c>
      <c r="AH92" s="757"/>
    </row>
    <row r="93" spans="1:34">
      <c r="A93" s="272" t="s">
        <v>42</v>
      </c>
      <c r="B93" s="319"/>
      <c r="C93" s="396"/>
      <c r="D93" s="319">
        <v>1</v>
      </c>
      <c r="E93" s="397"/>
      <c r="F93" s="397"/>
      <c r="G93" s="418"/>
      <c r="H93" s="319">
        <v>2</v>
      </c>
      <c r="I93" s="395"/>
      <c r="J93" s="393"/>
      <c r="K93" s="396"/>
      <c r="L93" s="319">
        <v>2</v>
      </c>
      <c r="M93" s="397"/>
      <c r="N93" s="397"/>
      <c r="O93" s="396"/>
      <c r="P93" s="319">
        <v>2</v>
      </c>
      <c r="Q93" s="318"/>
      <c r="R93" s="419"/>
      <c r="S93" s="396"/>
      <c r="T93" s="319">
        <v>2</v>
      </c>
      <c r="U93" s="419"/>
      <c r="V93" s="394"/>
      <c r="W93" s="319">
        <v>2</v>
      </c>
      <c r="X93" s="397"/>
      <c r="Y93" s="397"/>
      <c r="Z93" s="397"/>
      <c r="AA93" s="396"/>
      <c r="AB93" s="319">
        <v>2</v>
      </c>
      <c r="AC93" s="420"/>
      <c r="AD93" s="398"/>
      <c r="AE93" s="414"/>
      <c r="AF93" s="227"/>
      <c r="AG93" s="187">
        <f>SUM(B93:AF93)</f>
        <v>13</v>
      </c>
      <c r="AH93" s="756">
        <f>AG93*A87</f>
        <v>234</v>
      </c>
    </row>
    <row r="94" spans="1:34" s="10" customFormat="1" ht="13.5" customHeight="1">
      <c r="A94" s="272" t="s">
        <v>43</v>
      </c>
      <c r="B94" s="319"/>
      <c r="C94" s="359"/>
      <c r="D94" s="319"/>
      <c r="E94" s="360"/>
      <c r="F94" s="360"/>
      <c r="G94" s="382"/>
      <c r="H94" s="319"/>
      <c r="I94" s="402"/>
      <c r="J94" s="360"/>
      <c r="K94" s="359"/>
      <c r="L94" s="319"/>
      <c r="M94" s="360"/>
      <c r="N94" s="360"/>
      <c r="O94" s="359"/>
      <c r="P94" s="319"/>
      <c r="Q94" s="318"/>
      <c r="R94" s="360"/>
      <c r="S94" s="382"/>
      <c r="T94" s="319">
        <v>1</v>
      </c>
      <c r="U94" s="363"/>
      <c r="V94" s="359"/>
      <c r="W94" s="319">
        <v>1</v>
      </c>
      <c r="X94" s="360"/>
      <c r="Y94" s="360"/>
      <c r="Z94" s="360"/>
      <c r="AA94" s="359"/>
      <c r="AB94" s="319">
        <v>1</v>
      </c>
      <c r="AC94" s="403"/>
      <c r="AD94" s="361"/>
      <c r="AE94" s="365"/>
      <c r="AF94" s="225"/>
      <c r="AG94" s="194">
        <f>SUM(B94:AF94)</f>
        <v>3</v>
      </c>
      <c r="AH94" s="761"/>
    </row>
    <row r="95" spans="1:34" s="10" customFormat="1" ht="13.5" customHeight="1">
      <c r="A95" s="286" t="s">
        <v>44</v>
      </c>
      <c r="B95" s="319">
        <v>2</v>
      </c>
      <c r="C95" s="357"/>
      <c r="D95" s="319">
        <v>2</v>
      </c>
      <c r="E95" s="356"/>
      <c r="F95" s="356"/>
      <c r="G95" s="381"/>
      <c r="H95" s="319">
        <v>2</v>
      </c>
      <c r="I95" s="358"/>
      <c r="J95" s="356"/>
      <c r="K95" s="357"/>
      <c r="L95" s="319">
        <v>2</v>
      </c>
      <c r="M95" s="356"/>
      <c r="N95" s="356"/>
      <c r="O95" s="357"/>
      <c r="P95" s="319">
        <v>1</v>
      </c>
      <c r="Q95" s="322"/>
      <c r="R95" s="358"/>
      <c r="S95" s="357"/>
      <c r="T95" s="319"/>
      <c r="U95" s="358"/>
      <c r="V95" s="357"/>
      <c r="W95" s="319">
        <v>1</v>
      </c>
      <c r="X95" s="356"/>
      <c r="Y95" s="356"/>
      <c r="Z95" s="356"/>
      <c r="AA95" s="357"/>
      <c r="AB95" s="319">
        <v>1</v>
      </c>
      <c r="AC95" s="401"/>
      <c r="AD95" s="366"/>
      <c r="AE95" s="362"/>
      <c r="AF95" s="229"/>
      <c r="AG95" s="187">
        <f>SUM(B95:AF95)</f>
        <v>11</v>
      </c>
      <c r="AH95" s="757"/>
    </row>
    <row r="96" spans="1:34" s="11" customFormat="1" ht="13.5" customHeight="1" thickBot="1">
      <c r="A96" s="274" t="s">
        <v>56</v>
      </c>
      <c r="B96" s="320">
        <f>SUM(B93:B95)</f>
        <v>2</v>
      </c>
      <c r="C96" s="368"/>
      <c r="D96" s="320">
        <f>SUM(D93:D95)</f>
        <v>3</v>
      </c>
      <c r="E96" s="367"/>
      <c r="F96" s="367"/>
      <c r="G96" s="370"/>
      <c r="H96" s="320">
        <f>SUM(H93:H95)</f>
        <v>4</v>
      </c>
      <c r="I96" s="369"/>
      <c r="J96" s="367"/>
      <c r="K96" s="368"/>
      <c r="L96" s="320">
        <f>SUM(L93:L95)</f>
        <v>4</v>
      </c>
      <c r="M96" s="367"/>
      <c r="N96" s="367"/>
      <c r="O96" s="368"/>
      <c r="P96" s="320">
        <f>SUM(P93:P95)</f>
        <v>3</v>
      </c>
      <c r="Q96" s="479"/>
      <c r="R96" s="369"/>
      <c r="S96" s="368"/>
      <c r="T96" s="320">
        <f>SUM(T93:T95)</f>
        <v>3</v>
      </c>
      <c r="U96" s="369"/>
      <c r="V96" s="368"/>
      <c r="W96" s="320">
        <f>SUM(W93:W95)</f>
        <v>4</v>
      </c>
      <c r="X96" s="367"/>
      <c r="Y96" s="367"/>
      <c r="Z96" s="367"/>
      <c r="AA96" s="368"/>
      <c r="AB96" s="320">
        <f>SUM(AB93:AB95)</f>
        <v>4</v>
      </c>
      <c r="AC96" s="404"/>
      <c r="AD96" s="367"/>
      <c r="AE96" s="368"/>
      <c r="AF96" s="222">
        <v>5</v>
      </c>
      <c r="AG96" s="185">
        <f>SUM(B96:AE96)</f>
        <v>27</v>
      </c>
      <c r="AH96" s="759">
        <f>SUM(B96:AF96)</f>
        <v>32</v>
      </c>
    </row>
    <row r="97" spans="1:34" s="11" customFormat="1" ht="13.5" customHeight="1">
      <c r="A97" s="275" t="s">
        <v>36</v>
      </c>
      <c r="B97" s="1080" t="s">
        <v>216</v>
      </c>
      <c r="C97" s="1082"/>
      <c r="D97" s="1080" t="s">
        <v>292</v>
      </c>
      <c r="E97" s="1081"/>
      <c r="F97" s="1082"/>
      <c r="G97" s="1080" t="s">
        <v>217</v>
      </c>
      <c r="H97" s="1082"/>
      <c r="I97" s="1105" t="s">
        <v>245</v>
      </c>
      <c r="J97" s="1106"/>
      <c r="K97" s="1106"/>
      <c r="L97" s="1106"/>
      <c r="M97" s="1107"/>
      <c r="N97" s="1105" t="s">
        <v>685</v>
      </c>
      <c r="O97" s="1128"/>
      <c r="P97" s="1128"/>
      <c r="Q97" s="1129"/>
      <c r="R97" s="1105" t="s">
        <v>684</v>
      </c>
      <c r="S97" s="1106"/>
      <c r="T97" s="1106"/>
      <c r="U97" s="1107"/>
      <c r="V97" s="1105" t="s">
        <v>683</v>
      </c>
      <c r="W97" s="1128"/>
      <c r="X97" s="1128"/>
      <c r="Y97" s="1129"/>
      <c r="Z97" s="1027" t="s">
        <v>691</v>
      </c>
      <c r="AA97" s="1019"/>
      <c r="AB97" s="1019"/>
      <c r="AC97" s="1019"/>
      <c r="AD97" s="1020"/>
      <c r="AE97" s="1116" t="s">
        <v>38</v>
      </c>
      <c r="AF97" s="1117"/>
      <c r="AG97" s="184"/>
      <c r="AH97" s="212"/>
    </row>
    <row r="98" spans="1:34" ht="13.5" customHeight="1">
      <c r="A98" s="275">
        <v>18</v>
      </c>
      <c r="B98" s="1083"/>
      <c r="C98" s="1085"/>
      <c r="D98" s="1083"/>
      <c r="E98" s="1084"/>
      <c r="F98" s="1085"/>
      <c r="G98" s="1083"/>
      <c r="H98" s="1085"/>
      <c r="I98" s="1108"/>
      <c r="J98" s="1109"/>
      <c r="K98" s="1109"/>
      <c r="L98" s="1109"/>
      <c r="M98" s="1110"/>
      <c r="N98" s="1130"/>
      <c r="O98" s="1131"/>
      <c r="P98" s="1131"/>
      <c r="Q98" s="1132"/>
      <c r="R98" s="1108"/>
      <c r="S98" s="1109"/>
      <c r="T98" s="1109"/>
      <c r="U98" s="1110"/>
      <c r="V98" s="1130"/>
      <c r="W98" s="1131"/>
      <c r="X98" s="1131"/>
      <c r="Y98" s="1132"/>
      <c r="Z98" s="1021"/>
      <c r="AA98" s="1022"/>
      <c r="AB98" s="1022"/>
      <c r="AC98" s="1022"/>
      <c r="AD98" s="1023"/>
      <c r="AE98" s="1118"/>
      <c r="AF98" s="1119"/>
      <c r="AG98" s="184"/>
      <c r="AH98" s="751"/>
    </row>
    <row r="99" spans="1:34" ht="13.5" customHeight="1">
      <c r="A99" s="276" t="s">
        <v>33</v>
      </c>
      <c r="B99" s="1086"/>
      <c r="C99" s="1088"/>
      <c r="D99" s="1086"/>
      <c r="E99" s="1087"/>
      <c r="F99" s="1088"/>
      <c r="G99" s="1086"/>
      <c r="H99" s="1088"/>
      <c r="I99" s="1111"/>
      <c r="J99" s="1112"/>
      <c r="K99" s="1112"/>
      <c r="L99" s="1112"/>
      <c r="M99" s="1113"/>
      <c r="N99" s="1133"/>
      <c r="O99" s="1134"/>
      <c r="P99" s="1134"/>
      <c r="Q99" s="1135"/>
      <c r="R99" s="1111"/>
      <c r="S99" s="1112"/>
      <c r="T99" s="1112"/>
      <c r="U99" s="1113"/>
      <c r="V99" s="1133"/>
      <c r="W99" s="1134"/>
      <c r="X99" s="1134"/>
      <c r="Y99" s="1135"/>
      <c r="Z99" s="1024"/>
      <c r="AA99" s="1025"/>
      <c r="AB99" s="1025"/>
      <c r="AC99" s="1025"/>
      <c r="AD99" s="1026"/>
      <c r="AE99" s="1118"/>
      <c r="AF99" s="1119"/>
      <c r="AG99" s="186"/>
      <c r="AH99" s="212"/>
    </row>
    <row r="100" spans="1:34" s="201" customFormat="1" ht="13.5" customHeight="1">
      <c r="A100" s="236" t="s">
        <v>32</v>
      </c>
      <c r="B100" s="373"/>
      <c r="C100" s="374">
        <v>2</v>
      </c>
      <c r="D100" s="352"/>
      <c r="E100" s="375"/>
      <c r="F100" s="374">
        <v>3</v>
      </c>
      <c r="G100" s="376"/>
      <c r="H100" s="374">
        <v>2</v>
      </c>
      <c r="I100" s="375"/>
      <c r="J100" s="375"/>
      <c r="K100" s="353"/>
      <c r="L100" s="375"/>
      <c r="M100" s="377">
        <v>5</v>
      </c>
      <c r="N100" s="378"/>
      <c r="O100" s="375"/>
      <c r="P100" s="379"/>
      <c r="Q100" s="349">
        <v>4</v>
      </c>
      <c r="R100" s="375"/>
      <c r="S100" s="375"/>
      <c r="T100" s="375"/>
      <c r="U100" s="349">
        <v>4</v>
      </c>
      <c r="V100" s="375"/>
      <c r="W100" s="375"/>
      <c r="X100" s="375"/>
      <c r="Y100" s="349">
        <v>4</v>
      </c>
      <c r="Z100" s="375"/>
      <c r="AA100" s="375"/>
      <c r="AB100" s="375"/>
      <c r="AC100" s="375"/>
      <c r="AD100" s="374">
        <v>5</v>
      </c>
      <c r="AE100" s="334">
        <v>1</v>
      </c>
      <c r="AF100" s="513"/>
      <c r="AG100" s="239">
        <f>SUM(B100:AF100)</f>
        <v>30</v>
      </c>
      <c r="AH100" s="762"/>
    </row>
    <row r="101" spans="1:34" ht="13.5" customHeight="1">
      <c r="A101" s="277" t="s">
        <v>5</v>
      </c>
      <c r="B101" s="354"/>
      <c r="C101" s="386">
        <f>C100*AG6</f>
        <v>68</v>
      </c>
      <c r="D101" s="385"/>
      <c r="E101" s="385"/>
      <c r="F101" s="386">
        <f>F100*AG6</f>
        <v>102</v>
      </c>
      <c r="G101" s="384"/>
      <c r="H101" s="386">
        <f>H100*AG6</f>
        <v>68</v>
      </c>
      <c r="I101" s="385"/>
      <c r="J101" s="385"/>
      <c r="K101" s="387"/>
      <c r="L101" s="385"/>
      <c r="M101" s="386">
        <f>M100*AG6</f>
        <v>170</v>
      </c>
      <c r="N101" s="319"/>
      <c r="O101" s="385"/>
      <c r="P101" s="387"/>
      <c r="Q101" s="386">
        <f>Q100*AG6</f>
        <v>136</v>
      </c>
      <c r="R101" s="385"/>
      <c r="S101" s="385"/>
      <c r="T101" s="385"/>
      <c r="U101" s="386">
        <f>U100*AG6</f>
        <v>136</v>
      </c>
      <c r="V101" s="387"/>
      <c r="W101" s="385"/>
      <c r="X101" s="385"/>
      <c r="Y101" s="386">
        <f>Y100*AG6</f>
        <v>136</v>
      </c>
      <c r="Z101" s="385"/>
      <c r="AA101" s="387"/>
      <c r="AB101" s="385"/>
      <c r="AC101" s="385"/>
      <c r="AD101" s="386">
        <f>AD100*AG6</f>
        <v>170</v>
      </c>
      <c r="AE101" s="206">
        <f>AE100*AG6</f>
        <v>34</v>
      </c>
      <c r="AF101" s="321">
        <f>AF107*A98+2</f>
        <v>74</v>
      </c>
      <c r="AG101" s="193">
        <f>SUM(B101:AE101)</f>
        <v>1020</v>
      </c>
      <c r="AH101" s="209">
        <f>SUM(B101:AF101)</f>
        <v>1094</v>
      </c>
    </row>
    <row r="102" spans="1:34" ht="13.5" customHeight="1">
      <c r="A102" s="278" t="s">
        <v>4</v>
      </c>
      <c r="B102" s="355"/>
      <c r="C102" s="386">
        <f>C101-C103</f>
        <v>32</v>
      </c>
      <c r="D102" s="390"/>
      <c r="E102" s="390"/>
      <c r="F102" s="386">
        <f>F101-F103</f>
        <v>48</v>
      </c>
      <c r="G102" s="389"/>
      <c r="H102" s="388">
        <f>H101-H103</f>
        <v>32</v>
      </c>
      <c r="I102" s="390"/>
      <c r="J102" s="390"/>
      <c r="K102" s="260"/>
      <c r="L102" s="385"/>
      <c r="M102" s="388">
        <f>M101-M103</f>
        <v>98</v>
      </c>
      <c r="N102" s="317"/>
      <c r="O102" s="385"/>
      <c r="P102" s="260"/>
      <c r="Q102" s="388">
        <f>Q101-Q103</f>
        <v>64</v>
      </c>
      <c r="R102" s="390"/>
      <c r="S102" s="385"/>
      <c r="T102" s="390"/>
      <c r="U102" s="388">
        <f>U101-U103</f>
        <v>64</v>
      </c>
      <c r="V102" s="260"/>
      <c r="W102" s="390"/>
      <c r="X102" s="385"/>
      <c r="Y102" s="388">
        <f>Y101-Y103</f>
        <v>64</v>
      </c>
      <c r="Z102" s="390"/>
      <c r="AA102" s="260"/>
      <c r="AB102" s="385"/>
      <c r="AC102" s="390"/>
      <c r="AD102" s="388">
        <f>AD101-AD103</f>
        <v>98</v>
      </c>
      <c r="AE102" s="206">
        <f>AE101</f>
        <v>34</v>
      </c>
      <c r="AF102" s="321">
        <f>AF101</f>
        <v>74</v>
      </c>
      <c r="AG102" s="193">
        <f>SUM(B102:AE102)</f>
        <v>534</v>
      </c>
      <c r="AH102" s="209">
        <f>SUM(B102:AF102)</f>
        <v>608</v>
      </c>
    </row>
    <row r="103" spans="1:34" ht="14.25" customHeight="1">
      <c r="A103" s="279" t="s">
        <v>3</v>
      </c>
      <c r="B103" s="354"/>
      <c r="C103" s="386">
        <f>B107*A98</f>
        <v>36</v>
      </c>
      <c r="D103" s="385"/>
      <c r="E103" s="385"/>
      <c r="F103" s="386">
        <f>D107*A98</f>
        <v>54</v>
      </c>
      <c r="G103" s="384"/>
      <c r="H103" s="386">
        <f>G107*A98</f>
        <v>36</v>
      </c>
      <c r="I103" s="385"/>
      <c r="J103" s="385"/>
      <c r="K103" s="387"/>
      <c r="L103" s="385"/>
      <c r="M103" s="386">
        <f>I107*A98</f>
        <v>72</v>
      </c>
      <c r="N103" s="319"/>
      <c r="O103" s="385"/>
      <c r="P103" s="73"/>
      <c r="Q103" s="386">
        <f>N107*A98</f>
        <v>72</v>
      </c>
      <c r="R103" s="385"/>
      <c r="S103" s="385"/>
      <c r="T103" s="385"/>
      <c r="U103" s="386">
        <f>R107*A98</f>
        <v>72</v>
      </c>
      <c r="V103" s="387"/>
      <c r="W103" s="385"/>
      <c r="X103" s="385"/>
      <c r="Y103" s="386">
        <f>V107*A98</f>
        <v>72</v>
      </c>
      <c r="Z103" s="385"/>
      <c r="AA103" s="387"/>
      <c r="AB103" s="385"/>
      <c r="AC103" s="385"/>
      <c r="AD103" s="386">
        <f>Z107*A98</f>
        <v>72</v>
      </c>
      <c r="AE103" s="335"/>
      <c r="AF103" s="336"/>
      <c r="AG103" s="193">
        <f>SUM(B103:AF103)</f>
        <v>486</v>
      </c>
      <c r="AH103" s="752"/>
    </row>
    <row r="104" spans="1:34">
      <c r="A104" s="280" t="s">
        <v>42</v>
      </c>
      <c r="B104" s="319"/>
      <c r="C104" s="396"/>
      <c r="D104" s="319">
        <v>1</v>
      </c>
      <c r="E104" s="397"/>
      <c r="F104" s="413"/>
      <c r="G104" s="319">
        <v>1</v>
      </c>
      <c r="H104" s="413"/>
      <c r="I104" s="319">
        <v>2</v>
      </c>
      <c r="J104" s="397"/>
      <c r="K104" s="395"/>
      <c r="L104" s="393"/>
      <c r="M104" s="394"/>
      <c r="N104" s="319">
        <v>2</v>
      </c>
      <c r="O104" s="397"/>
      <c r="P104" s="393"/>
      <c r="Q104" s="396"/>
      <c r="R104" s="319">
        <v>2</v>
      </c>
      <c r="S104" s="397"/>
      <c r="T104" s="393"/>
      <c r="U104" s="396"/>
      <c r="V104" s="319">
        <v>2</v>
      </c>
      <c r="W104" s="397"/>
      <c r="X104" s="397"/>
      <c r="Y104" s="394"/>
      <c r="Z104" s="319">
        <v>2</v>
      </c>
      <c r="AA104" s="397"/>
      <c r="AB104" s="397"/>
      <c r="AC104" s="393"/>
      <c r="AD104" s="414"/>
      <c r="AE104" s="335"/>
      <c r="AF104" s="336"/>
      <c r="AG104" s="193">
        <f>SUM(B104:AF104)</f>
        <v>12</v>
      </c>
      <c r="AH104" s="209">
        <f>AG104*A98</f>
        <v>216</v>
      </c>
    </row>
    <row r="105" spans="1:34" s="3" customFormat="1" ht="13.5" customHeight="1">
      <c r="A105" s="280" t="s">
        <v>43</v>
      </c>
      <c r="B105" s="319"/>
      <c r="C105" s="359"/>
      <c r="D105" s="319"/>
      <c r="E105" s="360"/>
      <c r="F105" s="382"/>
      <c r="G105" s="319"/>
      <c r="H105" s="359"/>
      <c r="I105" s="319"/>
      <c r="J105" s="360"/>
      <c r="K105" s="363"/>
      <c r="L105" s="360"/>
      <c r="M105" s="357"/>
      <c r="N105" s="319"/>
      <c r="O105" s="360"/>
      <c r="P105" s="356"/>
      <c r="Q105" s="359"/>
      <c r="R105" s="319"/>
      <c r="S105" s="360"/>
      <c r="T105" s="356"/>
      <c r="U105" s="359"/>
      <c r="V105" s="319">
        <v>1</v>
      </c>
      <c r="W105" s="360"/>
      <c r="X105" s="360"/>
      <c r="Y105" s="357"/>
      <c r="Z105" s="319">
        <v>1</v>
      </c>
      <c r="AA105" s="360"/>
      <c r="AB105" s="360"/>
      <c r="AC105" s="356"/>
      <c r="AD105" s="365"/>
      <c r="AE105" s="337"/>
      <c r="AF105" s="321"/>
      <c r="AG105" s="195">
        <f>SUM(B105:AF105)</f>
        <v>2</v>
      </c>
      <c r="AH105" s="210"/>
    </row>
    <row r="106" spans="1:34" s="3" customFormat="1" ht="13.5" customHeight="1">
      <c r="A106" s="281" t="s">
        <v>44</v>
      </c>
      <c r="B106" s="319">
        <v>2</v>
      </c>
      <c r="C106" s="357"/>
      <c r="D106" s="319">
        <v>2</v>
      </c>
      <c r="E106" s="356"/>
      <c r="F106" s="381"/>
      <c r="G106" s="319">
        <v>1</v>
      </c>
      <c r="H106" s="381"/>
      <c r="I106" s="319">
        <v>2</v>
      </c>
      <c r="J106" s="356"/>
      <c r="K106" s="358"/>
      <c r="L106" s="356"/>
      <c r="M106" s="357"/>
      <c r="N106" s="319">
        <v>2</v>
      </c>
      <c r="O106" s="356"/>
      <c r="P106" s="356"/>
      <c r="Q106" s="357"/>
      <c r="R106" s="319">
        <v>2</v>
      </c>
      <c r="S106" s="356"/>
      <c r="T106" s="356"/>
      <c r="U106" s="357"/>
      <c r="V106" s="319">
        <v>1</v>
      </c>
      <c r="W106" s="356"/>
      <c r="X106" s="356"/>
      <c r="Y106" s="357"/>
      <c r="Z106" s="319">
        <v>1</v>
      </c>
      <c r="AA106" s="356"/>
      <c r="AB106" s="356"/>
      <c r="AC106" s="356"/>
      <c r="AD106" s="362"/>
      <c r="AE106" s="337"/>
      <c r="AF106" s="321"/>
      <c r="AG106" s="187">
        <f>SUM(B106:AF106)</f>
        <v>13</v>
      </c>
      <c r="AH106" s="751"/>
    </row>
    <row r="107" spans="1:34" ht="13.5" customHeight="1" thickBot="1">
      <c r="A107" s="287" t="s">
        <v>56</v>
      </c>
      <c r="B107" s="320">
        <f>SUM(B104:B106)</f>
        <v>2</v>
      </c>
      <c r="C107" s="368"/>
      <c r="D107" s="320">
        <f>SUM(D104:D106)</f>
        <v>3</v>
      </c>
      <c r="E107" s="367"/>
      <c r="F107" s="370"/>
      <c r="G107" s="320">
        <f>SUM(G104:G106)</f>
        <v>2</v>
      </c>
      <c r="H107" s="370"/>
      <c r="I107" s="320">
        <f>SUM(I104:I106)</f>
        <v>4</v>
      </c>
      <c r="J107" s="367"/>
      <c r="K107" s="369"/>
      <c r="L107" s="367"/>
      <c r="M107" s="370"/>
      <c r="N107" s="320">
        <f>SUM(N104:N106)</f>
        <v>4</v>
      </c>
      <c r="O107" s="367"/>
      <c r="P107" s="369"/>
      <c r="Q107" s="368"/>
      <c r="R107" s="320">
        <f>SUM(R104:R106)</f>
        <v>4</v>
      </c>
      <c r="S107" s="367"/>
      <c r="T107" s="367"/>
      <c r="U107" s="368"/>
      <c r="V107" s="320">
        <f>SUM(V104:V106)</f>
        <v>4</v>
      </c>
      <c r="W107" s="367"/>
      <c r="X107" s="367"/>
      <c r="Y107" s="368"/>
      <c r="Z107" s="320">
        <f>SUM(Z104:Z106)</f>
        <v>4</v>
      </c>
      <c r="AA107" s="367"/>
      <c r="AB107" s="367"/>
      <c r="AC107" s="383"/>
      <c r="AD107" s="368"/>
      <c r="AE107" s="338">
        <v>2</v>
      </c>
      <c r="AF107" s="339">
        <v>4</v>
      </c>
      <c r="AG107" s="185">
        <f>SUM(B107:AE107)</f>
        <v>29</v>
      </c>
      <c r="AH107" s="213">
        <f>SUM(B107:AF107)</f>
        <v>33</v>
      </c>
    </row>
    <row r="108" spans="1:34" ht="13.5" customHeight="1">
      <c r="A108" s="288" t="s">
        <v>37</v>
      </c>
      <c r="B108" s="1080" t="s">
        <v>238</v>
      </c>
      <c r="C108" s="1081"/>
      <c r="D108" s="1082"/>
      <c r="E108" s="1080" t="s">
        <v>239</v>
      </c>
      <c r="F108" s="1081"/>
      <c r="G108" s="1081"/>
      <c r="H108" s="1082"/>
      <c r="I108" s="1105" t="s">
        <v>240</v>
      </c>
      <c r="J108" s="1106"/>
      <c r="K108" s="1106"/>
      <c r="L108" s="1107"/>
      <c r="M108" s="1105" t="s">
        <v>241</v>
      </c>
      <c r="N108" s="1106"/>
      <c r="O108" s="1106"/>
      <c r="P108" s="1106"/>
      <c r="Q108" s="1107"/>
      <c r="R108" s="1105" t="s">
        <v>242</v>
      </c>
      <c r="S108" s="1106"/>
      <c r="T108" s="1106"/>
      <c r="U108" s="1107"/>
      <c r="V108" s="1105" t="s">
        <v>243</v>
      </c>
      <c r="W108" s="1106"/>
      <c r="X108" s="1106"/>
      <c r="Y108" s="1107"/>
      <c r="Z108" s="1027" t="s">
        <v>244</v>
      </c>
      <c r="AA108" s="1019"/>
      <c r="AB108" s="1019"/>
      <c r="AC108" s="1019"/>
      <c r="AD108" s="1019"/>
      <c r="AE108" s="1020"/>
      <c r="AF108" s="1098" t="s">
        <v>38</v>
      </c>
      <c r="AG108" s="189"/>
      <c r="AH108" s="212"/>
    </row>
    <row r="109" spans="1:34" ht="13.5" customHeight="1">
      <c r="A109" s="275">
        <v>18</v>
      </c>
      <c r="B109" s="1083"/>
      <c r="C109" s="1084"/>
      <c r="D109" s="1085"/>
      <c r="E109" s="1083"/>
      <c r="F109" s="1084"/>
      <c r="G109" s="1084"/>
      <c r="H109" s="1085"/>
      <c r="I109" s="1108"/>
      <c r="J109" s="1109"/>
      <c r="K109" s="1109"/>
      <c r="L109" s="1110"/>
      <c r="M109" s="1108"/>
      <c r="N109" s="1109"/>
      <c r="O109" s="1109"/>
      <c r="P109" s="1109"/>
      <c r="Q109" s="1110"/>
      <c r="R109" s="1108"/>
      <c r="S109" s="1109"/>
      <c r="T109" s="1109"/>
      <c r="U109" s="1110"/>
      <c r="V109" s="1108"/>
      <c r="W109" s="1109"/>
      <c r="X109" s="1109"/>
      <c r="Y109" s="1110"/>
      <c r="Z109" s="1021"/>
      <c r="AA109" s="1022"/>
      <c r="AB109" s="1022"/>
      <c r="AC109" s="1022"/>
      <c r="AD109" s="1022"/>
      <c r="AE109" s="1023"/>
      <c r="AF109" s="1099"/>
      <c r="AG109" s="184"/>
      <c r="AH109" s="212"/>
    </row>
    <row r="110" spans="1:34" s="10" customFormat="1" ht="12.75" customHeight="1">
      <c r="A110" s="276" t="s">
        <v>33</v>
      </c>
      <c r="B110" s="1086"/>
      <c r="C110" s="1087"/>
      <c r="D110" s="1088"/>
      <c r="E110" s="1086"/>
      <c r="F110" s="1087"/>
      <c r="G110" s="1087"/>
      <c r="H110" s="1088"/>
      <c r="I110" s="1111"/>
      <c r="J110" s="1112"/>
      <c r="K110" s="1112"/>
      <c r="L110" s="1113"/>
      <c r="M110" s="1111"/>
      <c r="N110" s="1112"/>
      <c r="O110" s="1112"/>
      <c r="P110" s="1112"/>
      <c r="Q110" s="1113"/>
      <c r="R110" s="1111"/>
      <c r="S110" s="1112"/>
      <c r="T110" s="1112"/>
      <c r="U110" s="1113"/>
      <c r="V110" s="1111"/>
      <c r="W110" s="1112"/>
      <c r="X110" s="1112"/>
      <c r="Y110" s="1113"/>
      <c r="Z110" s="1024"/>
      <c r="AA110" s="1025"/>
      <c r="AB110" s="1025"/>
      <c r="AC110" s="1025"/>
      <c r="AD110" s="1025"/>
      <c r="AE110" s="1026"/>
      <c r="AF110" s="1100"/>
      <c r="AG110" s="186"/>
      <c r="AH110" s="218"/>
    </row>
    <row r="111" spans="1:34" s="201" customFormat="1" ht="13.5" customHeight="1">
      <c r="A111" s="236" t="s">
        <v>32</v>
      </c>
      <c r="B111" s="463"/>
      <c r="C111" s="492"/>
      <c r="D111" s="349">
        <v>3</v>
      </c>
      <c r="E111" s="378"/>
      <c r="F111" s="352"/>
      <c r="G111" s="352"/>
      <c r="H111" s="349">
        <v>4</v>
      </c>
      <c r="I111" s="353"/>
      <c r="J111" s="352"/>
      <c r="K111" s="352"/>
      <c r="L111" s="349">
        <v>4</v>
      </c>
      <c r="M111" s="352"/>
      <c r="N111" s="352"/>
      <c r="O111" s="352"/>
      <c r="P111" s="352"/>
      <c r="Q111" s="349">
        <v>5</v>
      </c>
      <c r="R111" s="352"/>
      <c r="S111" s="352"/>
      <c r="T111" s="353"/>
      <c r="U111" s="349">
        <v>4</v>
      </c>
      <c r="V111" s="353"/>
      <c r="W111" s="352"/>
      <c r="X111" s="352"/>
      <c r="Y111" s="349">
        <v>4</v>
      </c>
      <c r="Z111" s="352"/>
      <c r="AA111" s="352"/>
      <c r="AB111" s="352"/>
      <c r="AC111" s="352"/>
      <c r="AD111" s="352"/>
      <c r="AE111" s="349">
        <v>6</v>
      </c>
      <c r="AF111" s="240"/>
      <c r="AG111" s="239">
        <f>SUM(B111:AF111)</f>
        <v>30</v>
      </c>
      <c r="AH111" s="762"/>
    </row>
    <row r="112" spans="1:34" s="11" customFormat="1" ht="13.5" customHeight="1">
      <c r="A112" s="277" t="s">
        <v>5</v>
      </c>
      <c r="B112" s="384"/>
      <c r="C112" s="385"/>
      <c r="D112" s="386">
        <f>D111*AG6</f>
        <v>102</v>
      </c>
      <c r="E112" s="384"/>
      <c r="F112" s="385"/>
      <c r="G112" s="387"/>
      <c r="H112" s="386">
        <f>H111*AG6</f>
        <v>136</v>
      </c>
      <c r="I112" s="387"/>
      <c r="J112" s="322"/>
      <c r="K112" s="322"/>
      <c r="L112" s="388">
        <f>L111*AG6</f>
        <v>136</v>
      </c>
      <c r="M112" s="387"/>
      <c r="N112" s="385"/>
      <c r="O112" s="385"/>
      <c r="P112" s="385"/>
      <c r="Q112" s="388">
        <f>Q111*AG6</f>
        <v>170</v>
      </c>
      <c r="R112" s="385"/>
      <c r="S112" s="385"/>
      <c r="T112" s="387"/>
      <c r="U112" s="388">
        <f>U111*AG6</f>
        <v>136</v>
      </c>
      <c r="V112" s="385"/>
      <c r="W112" s="387"/>
      <c r="X112" s="385"/>
      <c r="Y112" s="388">
        <f>Y111*AG6</f>
        <v>136</v>
      </c>
      <c r="Z112" s="385"/>
      <c r="AA112" s="385"/>
      <c r="AB112" s="387"/>
      <c r="AC112" s="385"/>
      <c r="AD112" s="385"/>
      <c r="AE112" s="388">
        <f>AE111*AG6</f>
        <v>204</v>
      </c>
      <c r="AF112" s="316">
        <f>AF118*A109</f>
        <v>90</v>
      </c>
      <c r="AG112" s="241">
        <f>SUM(B112:AE112)</f>
        <v>1020</v>
      </c>
      <c r="AH112" s="209">
        <f>SUM(B112:AF112)</f>
        <v>1110</v>
      </c>
    </row>
    <row r="113" spans="1:34" s="11" customFormat="1" ht="13.5" customHeight="1">
      <c r="A113" s="278" t="s">
        <v>4</v>
      </c>
      <c r="B113" s="389"/>
      <c r="C113" s="390"/>
      <c r="D113" s="388">
        <f>D112-D114</f>
        <v>48</v>
      </c>
      <c r="E113" s="389"/>
      <c r="F113" s="390"/>
      <c r="G113" s="260"/>
      <c r="H113" s="388">
        <f>H112-H114</f>
        <v>82</v>
      </c>
      <c r="I113" s="260"/>
      <c r="J113" s="318"/>
      <c r="K113" s="318"/>
      <c r="L113" s="388">
        <f>L112-L114</f>
        <v>64</v>
      </c>
      <c r="M113" s="260"/>
      <c r="N113" s="390"/>
      <c r="O113" s="390"/>
      <c r="P113" s="385"/>
      <c r="Q113" s="388">
        <f>Q112-Q114</f>
        <v>98</v>
      </c>
      <c r="R113" s="390"/>
      <c r="S113" s="390"/>
      <c r="T113" s="260"/>
      <c r="U113" s="388">
        <f>U112-U114</f>
        <v>64</v>
      </c>
      <c r="V113" s="385"/>
      <c r="W113" s="260"/>
      <c r="X113" s="390"/>
      <c r="Y113" s="388">
        <f>Y112-Y114</f>
        <v>64</v>
      </c>
      <c r="Z113" s="390"/>
      <c r="AA113" s="390"/>
      <c r="AB113" s="260"/>
      <c r="AC113" s="390"/>
      <c r="AD113" s="390"/>
      <c r="AE113" s="388">
        <f>AE112-AE114</f>
        <v>114</v>
      </c>
      <c r="AF113" s="316">
        <f>AF112</f>
        <v>90</v>
      </c>
      <c r="AG113" s="193">
        <f>SUM(B113:AE113)</f>
        <v>534</v>
      </c>
      <c r="AH113" s="209">
        <f>SUM(B113:AF113)</f>
        <v>624</v>
      </c>
    </row>
    <row r="114" spans="1:34" s="11" customFormat="1" ht="13.5" customHeight="1">
      <c r="A114" s="279" t="s">
        <v>3</v>
      </c>
      <c r="B114" s="391"/>
      <c r="C114" s="385"/>
      <c r="D114" s="386">
        <f>B118*A109</f>
        <v>54</v>
      </c>
      <c r="E114" s="384"/>
      <c r="F114" s="385"/>
      <c r="G114" s="387"/>
      <c r="H114" s="386">
        <f>E118*A109</f>
        <v>54</v>
      </c>
      <c r="I114" s="387"/>
      <c r="J114" s="322"/>
      <c r="K114" s="322"/>
      <c r="L114" s="386">
        <f>I118*A109</f>
        <v>72</v>
      </c>
      <c r="M114" s="387"/>
      <c r="N114" s="385"/>
      <c r="O114" s="385"/>
      <c r="P114" s="385"/>
      <c r="Q114" s="386">
        <f>M118*A109</f>
        <v>72</v>
      </c>
      <c r="R114" s="385"/>
      <c r="S114" s="392"/>
      <c r="T114" s="387"/>
      <c r="U114" s="386">
        <f>R118*A109</f>
        <v>72</v>
      </c>
      <c r="V114" s="385"/>
      <c r="W114" s="387"/>
      <c r="X114" s="385"/>
      <c r="Y114" s="386">
        <f>V118*A109</f>
        <v>72</v>
      </c>
      <c r="Z114" s="385"/>
      <c r="AA114" s="385"/>
      <c r="AB114" s="387"/>
      <c r="AC114" s="385"/>
      <c r="AD114" s="385"/>
      <c r="AE114" s="386">
        <f>Z118*A109</f>
        <v>90</v>
      </c>
      <c r="AF114" s="227"/>
      <c r="AG114" s="193">
        <f>SUM(C114:AF114)</f>
        <v>486</v>
      </c>
      <c r="AH114" s="212"/>
    </row>
    <row r="115" spans="1:34" ht="14.25" customHeight="1">
      <c r="A115" s="280" t="s">
        <v>42</v>
      </c>
      <c r="B115" s="319"/>
      <c r="C115" s="393"/>
      <c r="D115" s="394"/>
      <c r="E115" s="319">
        <v>1</v>
      </c>
      <c r="F115" s="393"/>
      <c r="G115" s="395"/>
      <c r="H115" s="394"/>
      <c r="I115" s="319">
        <v>2</v>
      </c>
      <c r="J115" s="393"/>
      <c r="K115" s="393"/>
      <c r="L115" s="394"/>
      <c r="M115" s="319">
        <v>2</v>
      </c>
      <c r="N115" s="393"/>
      <c r="O115" s="393"/>
      <c r="P115" s="393"/>
      <c r="Q115" s="396"/>
      <c r="R115" s="319">
        <v>2</v>
      </c>
      <c r="S115" s="393"/>
      <c r="T115" s="395"/>
      <c r="U115" s="394"/>
      <c r="V115" s="319">
        <v>2</v>
      </c>
      <c r="W115" s="397"/>
      <c r="X115" s="397"/>
      <c r="Y115" s="394"/>
      <c r="Z115" s="319">
        <v>2</v>
      </c>
      <c r="AA115" s="393"/>
      <c r="AB115" s="398"/>
      <c r="AC115" s="398"/>
      <c r="AD115" s="398"/>
      <c r="AE115" s="399"/>
      <c r="AF115" s="225"/>
      <c r="AG115" s="193">
        <f>SUM(B115:AF115)</f>
        <v>11</v>
      </c>
      <c r="AH115" s="209">
        <f>AG115*A109</f>
        <v>198</v>
      </c>
    </row>
    <row r="116" spans="1:34">
      <c r="A116" s="280" t="s">
        <v>43</v>
      </c>
      <c r="B116" s="319"/>
      <c r="C116" s="360"/>
      <c r="D116" s="359"/>
      <c r="E116" s="319"/>
      <c r="F116" s="360"/>
      <c r="G116" s="363"/>
      <c r="H116" s="359"/>
      <c r="I116" s="319">
        <v>2</v>
      </c>
      <c r="J116" s="363"/>
      <c r="K116" s="360"/>
      <c r="L116" s="359"/>
      <c r="M116" s="319"/>
      <c r="N116" s="360"/>
      <c r="O116" s="360"/>
      <c r="P116" s="360"/>
      <c r="Q116" s="359"/>
      <c r="R116" s="319"/>
      <c r="S116" s="364"/>
      <c r="T116" s="363"/>
      <c r="U116" s="359"/>
      <c r="V116" s="319">
        <v>1</v>
      </c>
      <c r="W116" s="360"/>
      <c r="X116" s="360"/>
      <c r="Y116" s="359"/>
      <c r="Z116" s="319">
        <v>2</v>
      </c>
      <c r="AA116" s="360"/>
      <c r="AB116" s="361"/>
      <c r="AC116" s="361"/>
      <c r="AD116" s="361"/>
      <c r="AE116" s="365"/>
      <c r="AF116" s="228"/>
      <c r="AG116" s="193">
        <f>SUM(B116:AF116)</f>
        <v>5</v>
      </c>
      <c r="AH116" s="763"/>
    </row>
    <row r="117" spans="1:34">
      <c r="A117" s="281" t="s">
        <v>44</v>
      </c>
      <c r="B117" s="319">
        <v>3</v>
      </c>
      <c r="C117" s="356"/>
      <c r="D117" s="357"/>
      <c r="E117" s="319">
        <v>2</v>
      </c>
      <c r="F117" s="356"/>
      <c r="G117" s="358"/>
      <c r="H117" s="357"/>
      <c r="I117" s="319"/>
      <c r="J117" s="356"/>
      <c r="K117" s="356"/>
      <c r="L117" s="357"/>
      <c r="M117" s="319">
        <v>2</v>
      </c>
      <c r="N117" s="356"/>
      <c r="O117" s="356"/>
      <c r="P117" s="356"/>
      <c r="Q117" s="359"/>
      <c r="R117" s="319">
        <v>2</v>
      </c>
      <c r="S117" s="356"/>
      <c r="T117" s="358"/>
      <c r="U117" s="357"/>
      <c r="V117" s="319">
        <v>1</v>
      </c>
      <c r="W117" s="360"/>
      <c r="X117" s="356"/>
      <c r="Y117" s="357"/>
      <c r="Z117" s="319">
        <v>1</v>
      </c>
      <c r="AA117" s="356"/>
      <c r="AB117" s="366"/>
      <c r="AC117" s="366"/>
      <c r="AD117" s="366"/>
      <c r="AE117" s="362"/>
      <c r="AF117" s="226"/>
      <c r="AG117" s="188">
        <f>SUM(B117:AF117)</f>
        <v>11</v>
      </c>
      <c r="AH117" s="764"/>
    </row>
    <row r="118" spans="1:34" s="3" customFormat="1" ht="13.5" customHeight="1" thickBot="1">
      <c r="A118" s="287" t="s">
        <v>56</v>
      </c>
      <c r="B118" s="320">
        <f>SUM(B115:B117)</f>
        <v>3</v>
      </c>
      <c r="C118" s="367"/>
      <c r="D118" s="368"/>
      <c r="E118" s="320">
        <f>SUM(E115:E117)</f>
        <v>3</v>
      </c>
      <c r="F118" s="367"/>
      <c r="G118" s="369"/>
      <c r="H118" s="368"/>
      <c r="I118" s="320">
        <f>SUM(I115:I117)</f>
        <v>4</v>
      </c>
      <c r="J118" s="367"/>
      <c r="K118" s="367"/>
      <c r="L118" s="370"/>
      <c r="M118" s="320">
        <f>SUM(M115:M117)</f>
        <v>4</v>
      </c>
      <c r="N118" s="367"/>
      <c r="O118" s="367"/>
      <c r="P118" s="367"/>
      <c r="Q118" s="368"/>
      <c r="R118" s="320">
        <f>SUM(R115:R117)</f>
        <v>4</v>
      </c>
      <c r="S118" s="371"/>
      <c r="T118" s="369"/>
      <c r="U118" s="368"/>
      <c r="V118" s="320">
        <f>SUM(V115:V117)</f>
        <v>4</v>
      </c>
      <c r="W118" s="367"/>
      <c r="X118" s="367"/>
      <c r="Y118" s="368"/>
      <c r="Z118" s="320">
        <f>SUM(Z115:Z117)</f>
        <v>5</v>
      </c>
      <c r="AA118" s="367"/>
      <c r="AB118" s="367"/>
      <c r="AC118" s="367"/>
      <c r="AD118" s="367"/>
      <c r="AE118" s="368"/>
      <c r="AF118" s="222">
        <v>5</v>
      </c>
      <c r="AG118" s="185">
        <f>SUM(B118:AE118)</f>
        <v>27</v>
      </c>
      <c r="AH118" s="213">
        <f>SUM(B118:AF118)</f>
        <v>32</v>
      </c>
    </row>
    <row r="119" spans="1:34" ht="13.5" customHeight="1">
      <c r="A119" s="289" t="s">
        <v>32</v>
      </c>
      <c r="B119" s="144">
        <v>1</v>
      </c>
      <c r="C119" s="144">
        <v>2</v>
      </c>
      <c r="D119" s="144">
        <v>3</v>
      </c>
      <c r="E119" s="144">
        <v>4</v>
      </c>
      <c r="F119" s="144">
        <v>5</v>
      </c>
      <c r="G119" s="144">
        <v>6</v>
      </c>
      <c r="H119" s="144">
        <v>7</v>
      </c>
      <c r="I119" s="144">
        <v>8</v>
      </c>
      <c r="J119" s="144">
        <v>9</v>
      </c>
      <c r="K119" s="144">
        <v>10</v>
      </c>
      <c r="L119" s="144">
        <v>11</v>
      </c>
      <c r="M119" s="144">
        <v>12</v>
      </c>
      <c r="N119" s="144">
        <v>13</v>
      </c>
      <c r="O119" s="144">
        <v>14</v>
      </c>
      <c r="P119" s="144">
        <v>15</v>
      </c>
      <c r="Q119" s="144">
        <v>16</v>
      </c>
      <c r="R119" s="144">
        <v>17</v>
      </c>
      <c r="S119" s="144">
        <v>18</v>
      </c>
      <c r="T119" s="144">
        <v>19</v>
      </c>
      <c r="U119" s="144">
        <v>20</v>
      </c>
      <c r="V119" s="144">
        <v>21</v>
      </c>
      <c r="W119" s="144">
        <v>22</v>
      </c>
      <c r="X119" s="144">
        <v>23</v>
      </c>
      <c r="Y119" s="144">
        <v>24</v>
      </c>
      <c r="Z119" s="144">
        <v>25</v>
      </c>
      <c r="AA119" s="144">
        <v>26</v>
      </c>
      <c r="AB119" s="144">
        <v>27</v>
      </c>
      <c r="AC119" s="144">
        <v>28</v>
      </c>
      <c r="AD119" s="144">
        <v>29</v>
      </c>
      <c r="AE119" s="144">
        <v>30</v>
      </c>
      <c r="AF119" s="144"/>
      <c r="AG119" s="196"/>
      <c r="AH119" s="190"/>
    </row>
    <row r="120" spans="1:34" ht="13.5" customHeight="1">
      <c r="A120" s="290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97"/>
      <c r="AH120" s="141"/>
    </row>
    <row r="121" spans="1:34" ht="13.5" customHeight="1">
      <c r="A121" s="291"/>
      <c r="B121" s="146"/>
      <c r="C121" s="146"/>
      <c r="D121" s="146"/>
      <c r="E121" s="146"/>
      <c r="F121" s="146"/>
      <c r="G121" s="146"/>
      <c r="H121" s="146"/>
      <c r="I121" s="146"/>
      <c r="J121" s="146"/>
      <c r="K121" s="146"/>
      <c r="L121" s="146"/>
      <c r="M121" s="146"/>
      <c r="N121" s="146"/>
      <c r="O121" s="146"/>
      <c r="P121" s="146"/>
      <c r="Q121" s="146"/>
      <c r="R121" s="146"/>
      <c r="S121" s="146"/>
      <c r="T121" s="146"/>
      <c r="U121" s="147"/>
      <c r="V121" s="147"/>
      <c r="W121" s="147"/>
      <c r="X121" s="147"/>
      <c r="Y121" s="147"/>
      <c r="Z121" s="147"/>
      <c r="AA121" s="147"/>
      <c r="AB121" s="147"/>
      <c r="AC121" s="148"/>
      <c r="AD121" s="147"/>
      <c r="AE121" s="147"/>
      <c r="AF121" s="149"/>
      <c r="AG121" s="311" t="s">
        <v>52</v>
      </c>
      <c r="AH121" s="312">
        <f>R1</f>
        <v>0</v>
      </c>
    </row>
    <row r="122" spans="1:34" s="10" customFormat="1" ht="18.75">
      <c r="A122" s="291"/>
      <c r="B122" s="146"/>
      <c r="C122" s="146"/>
      <c r="D122" s="146"/>
      <c r="E122" s="146"/>
      <c r="F122" s="146"/>
      <c r="G122" s="146"/>
      <c r="H122" s="146"/>
      <c r="I122" s="146"/>
      <c r="J122" s="146"/>
      <c r="K122" s="146"/>
      <c r="L122" s="146"/>
      <c r="M122" s="146"/>
      <c r="N122" s="146"/>
      <c r="O122" s="146"/>
      <c r="P122" s="146"/>
      <c r="Q122" s="146"/>
      <c r="R122" s="146"/>
      <c r="S122" s="146"/>
      <c r="T122" s="146"/>
      <c r="U122" s="147"/>
      <c r="V122" s="147"/>
      <c r="W122" s="150"/>
      <c r="X122" s="150"/>
      <c r="Y122" s="150"/>
      <c r="Z122" s="150"/>
      <c r="AA122" s="150"/>
      <c r="AB122" s="150"/>
      <c r="AC122" s="151"/>
      <c r="AD122" s="150"/>
      <c r="AE122" s="150"/>
      <c r="AF122" s="152"/>
      <c r="AG122" s="62" t="s">
        <v>122</v>
      </c>
      <c r="AH122" s="200">
        <f>R1</f>
        <v>0</v>
      </c>
    </row>
    <row r="123" spans="1:34" s="10" customFormat="1">
      <c r="A123" s="291"/>
      <c r="B123" s="146"/>
      <c r="C123" s="146"/>
      <c r="D123" s="146"/>
      <c r="E123" s="146"/>
      <c r="F123" s="146"/>
      <c r="G123" s="146"/>
      <c r="H123" s="146"/>
      <c r="I123" s="146"/>
      <c r="J123" s="3"/>
      <c r="K123" s="146"/>
      <c r="L123" s="146"/>
      <c r="M123" s="146"/>
      <c r="N123" s="146"/>
      <c r="O123" s="146"/>
      <c r="P123" s="146"/>
      <c r="Q123" s="146"/>
      <c r="R123" s="146"/>
      <c r="S123" s="146"/>
      <c r="T123" s="146"/>
      <c r="U123" s="147"/>
      <c r="V123" s="147"/>
      <c r="W123" s="150"/>
      <c r="X123" s="150"/>
      <c r="Y123" s="150"/>
      <c r="AG123" s="142"/>
      <c r="AH123" s="739" t="s">
        <v>27</v>
      </c>
    </row>
    <row r="124" spans="1:34" s="11" customFormat="1">
      <c r="A124" s="291"/>
      <c r="B124" s="146"/>
      <c r="C124" s="146"/>
      <c r="D124" s="146"/>
      <c r="E124" s="242" t="str">
        <f>IF(E132&lt;=E125,"","НЕВЕРНО!")</f>
        <v/>
      </c>
      <c r="F124" s="242" t="str">
        <f t="shared" ref="F124:L124" si="4">IF(F132&lt;=F125,"","НЕВЕРНО!")</f>
        <v/>
      </c>
      <c r="G124" s="242" t="str">
        <f t="shared" si="4"/>
        <v/>
      </c>
      <c r="H124" s="242" t="str">
        <f t="shared" si="4"/>
        <v/>
      </c>
      <c r="I124" s="242" t="str">
        <f t="shared" si="4"/>
        <v/>
      </c>
      <c r="J124" s="242" t="str">
        <f t="shared" si="4"/>
        <v/>
      </c>
      <c r="K124" s="242" t="str">
        <f t="shared" si="4"/>
        <v/>
      </c>
      <c r="L124" s="242" t="str">
        <f t="shared" si="4"/>
        <v/>
      </c>
      <c r="M124" s="146"/>
      <c r="N124" s="146"/>
      <c r="O124" s="153"/>
      <c r="P124" s="153"/>
      <c r="Q124" s="153"/>
      <c r="R124" s="153"/>
      <c r="S124" s="153"/>
      <c r="T124" s="153"/>
      <c r="U124" s="154"/>
      <c r="V124" s="154"/>
      <c r="W124" s="155"/>
      <c r="X124" s="155"/>
      <c r="AG124" s="142"/>
      <c r="AH124" s="142"/>
    </row>
    <row r="125" spans="1:34" s="11" customFormat="1" ht="15">
      <c r="A125" s="1183" t="s">
        <v>39</v>
      </c>
      <c r="B125" s="1184"/>
      <c r="C125" s="1184"/>
      <c r="D125" s="1185"/>
      <c r="E125" s="20">
        <v>27</v>
      </c>
      <c r="F125" s="20">
        <v>27</v>
      </c>
      <c r="G125" s="20">
        <v>27</v>
      </c>
      <c r="H125" s="20">
        <v>27</v>
      </c>
      <c r="I125" s="20">
        <v>32</v>
      </c>
      <c r="J125" s="20">
        <v>32</v>
      </c>
      <c r="K125" s="20">
        <v>32</v>
      </c>
      <c r="L125" s="20">
        <v>32</v>
      </c>
      <c r="M125" s="12"/>
      <c r="N125" s="12"/>
      <c r="O125" s="23"/>
      <c r="P125" s="23"/>
      <c r="Q125" s="23"/>
      <c r="R125" s="1194" t="s">
        <v>50</v>
      </c>
      <c r="S125" s="1194"/>
      <c r="T125" s="1097" t="s">
        <v>52</v>
      </c>
      <c r="U125" s="1097"/>
      <c r="V125" s="1097"/>
      <c r="W125" s="1097"/>
      <c r="X125" s="24"/>
      <c r="AC125" s="142"/>
      <c r="AD125" s="142"/>
    </row>
    <row r="126" spans="1:34" s="11" customFormat="1" ht="15.75" thickBot="1">
      <c r="A126" s="290"/>
      <c r="B126" s="1142"/>
      <c r="C126" s="1142"/>
      <c r="D126" s="67"/>
      <c r="E126" s="156"/>
      <c r="F126" s="157"/>
      <c r="G126" s="157"/>
      <c r="H126" s="157" t="s">
        <v>7</v>
      </c>
      <c r="I126" s="157"/>
      <c r="J126" s="157"/>
      <c r="K126" s="157"/>
      <c r="L126" s="158"/>
      <c r="M126" s="12"/>
      <c r="N126" s="26"/>
      <c r="O126" s="25"/>
      <c r="P126" s="26"/>
      <c r="Q126" s="23"/>
      <c r="R126" s="1194"/>
      <c r="S126" s="1195"/>
      <c r="T126" s="1136" t="s">
        <v>32</v>
      </c>
      <c r="U126" s="1172"/>
      <c r="V126" s="1136" t="s">
        <v>89</v>
      </c>
      <c r="W126" s="1137"/>
      <c r="X126" s="27"/>
      <c r="AC126" s="142"/>
      <c r="AD126" s="142"/>
    </row>
    <row r="127" spans="1:34" s="162" customFormat="1" ht="22.5">
      <c r="A127" s="1182" t="str">
        <f>IF(C128=C129+C130,"","НЕВЕРНО!")</f>
        <v/>
      </c>
      <c r="B127" s="1182"/>
      <c r="C127" s="804" t="s">
        <v>9</v>
      </c>
      <c r="D127" s="805"/>
      <c r="E127" s="159">
        <v>1</v>
      </c>
      <c r="F127" s="160">
        <v>2</v>
      </c>
      <c r="G127" s="160">
        <v>3</v>
      </c>
      <c r="H127" s="160">
        <v>4</v>
      </c>
      <c r="I127" s="160">
        <v>5</v>
      </c>
      <c r="J127" s="160">
        <v>6</v>
      </c>
      <c r="K127" s="160">
        <v>7</v>
      </c>
      <c r="L127" s="160">
        <v>8</v>
      </c>
      <c r="M127" s="887">
        <v>9</v>
      </c>
      <c r="N127" s="161">
        <v>8</v>
      </c>
      <c r="O127" s="25"/>
      <c r="P127" s="26"/>
      <c r="Q127" s="28"/>
      <c r="R127" s="21" t="s">
        <v>90</v>
      </c>
      <c r="S127" s="21" t="s">
        <v>91</v>
      </c>
      <c r="T127" s="1138"/>
      <c r="U127" s="1173"/>
      <c r="V127" s="1138"/>
      <c r="W127" s="1139"/>
      <c r="X127" s="29"/>
      <c r="AC127" s="196"/>
    </row>
    <row r="128" spans="1:34" ht="15.75">
      <c r="A128" s="292" t="s">
        <v>10</v>
      </c>
      <c r="B128" s="895"/>
      <c r="C128" s="1140">
        <f t="shared" ref="C128:C133" si="5">SUM(E128:N128)</f>
        <v>10552</v>
      </c>
      <c r="D128" s="1141"/>
      <c r="E128" s="163">
        <f>AH112</f>
        <v>1110</v>
      </c>
      <c r="F128" s="164">
        <f>AH101</f>
        <v>1094</v>
      </c>
      <c r="G128" s="164">
        <f>AH90</f>
        <v>1110</v>
      </c>
      <c r="H128" s="164">
        <f>AH79</f>
        <v>1100</v>
      </c>
      <c r="I128" s="164">
        <f>AH68</f>
        <v>1020</v>
      </c>
      <c r="J128" s="164">
        <f>AH57</f>
        <v>1026</v>
      </c>
      <c r="K128" s="164">
        <f>AH46</f>
        <v>1020</v>
      </c>
      <c r="L128" s="164">
        <f>AH35</f>
        <v>1020</v>
      </c>
      <c r="M128" s="888">
        <f>AH24</f>
        <v>1026</v>
      </c>
      <c r="N128" s="165">
        <f>AH13</f>
        <v>1026</v>
      </c>
      <c r="O128" s="25"/>
      <c r="P128" s="30"/>
      <c r="Q128" s="31" t="s">
        <v>6</v>
      </c>
      <c r="R128" s="32">
        <v>32</v>
      </c>
      <c r="S128" s="32">
        <v>39</v>
      </c>
      <c r="T128" s="1153">
        <f>T129+T130</f>
        <v>35</v>
      </c>
      <c r="U128" s="1154"/>
      <c r="V128" s="1095">
        <f>V129+V130</f>
        <v>1190</v>
      </c>
      <c r="W128" s="1096"/>
      <c r="X128" s="166" t="str">
        <f>IF(AND(T128&gt;R128,T128&lt;S128),"","НЕВЕРНО!")</f>
        <v/>
      </c>
      <c r="AC128" s="3"/>
      <c r="AF128" s="9"/>
      <c r="AG128" s="4"/>
    </row>
    <row r="129" spans="1:33" s="6" customFormat="1" ht="15">
      <c r="A129" s="293" t="s">
        <v>4</v>
      </c>
      <c r="B129" s="896"/>
      <c r="C129" s="1103">
        <f t="shared" si="5"/>
        <v>5620</v>
      </c>
      <c r="D129" s="1104"/>
      <c r="E129" s="167">
        <f>AH113</f>
        <v>624</v>
      </c>
      <c r="F129" s="20">
        <f>AH102</f>
        <v>608</v>
      </c>
      <c r="G129" s="20">
        <f>AH91</f>
        <v>624</v>
      </c>
      <c r="H129" s="20">
        <f>AH80</f>
        <v>614</v>
      </c>
      <c r="I129" s="20">
        <f>AH69</f>
        <v>534</v>
      </c>
      <c r="J129" s="20">
        <f>AH58</f>
        <v>540</v>
      </c>
      <c r="K129" s="20">
        <f>AH47</f>
        <v>516</v>
      </c>
      <c r="L129" s="20">
        <f>AH36</f>
        <v>516</v>
      </c>
      <c r="M129" s="169">
        <f>AH25</f>
        <v>522</v>
      </c>
      <c r="N129" s="168">
        <f>AH14</f>
        <v>522</v>
      </c>
      <c r="O129" s="33"/>
      <c r="P129" s="34"/>
      <c r="Q129" s="35" t="s">
        <v>53</v>
      </c>
      <c r="R129" s="36">
        <v>24</v>
      </c>
      <c r="S129" s="36">
        <v>29</v>
      </c>
      <c r="T129" s="1170">
        <f>D111+H111+C100+F100+H100+C89+C78+D67+G89</f>
        <v>25</v>
      </c>
      <c r="U129" s="1171"/>
      <c r="V129" s="1143">
        <f>T129*$AG$6</f>
        <v>850</v>
      </c>
      <c r="W129" s="1144"/>
      <c r="X129" s="37"/>
      <c r="AC129" s="198"/>
    </row>
    <row r="130" spans="1:33" ht="15">
      <c r="A130" s="293" t="s">
        <v>3</v>
      </c>
      <c r="B130" s="896"/>
      <c r="C130" s="1103">
        <f t="shared" si="5"/>
        <v>4932</v>
      </c>
      <c r="D130" s="1104"/>
      <c r="E130" s="167">
        <f>AG114</f>
        <v>486</v>
      </c>
      <c r="F130" s="20">
        <f>AG103</f>
        <v>486</v>
      </c>
      <c r="G130" s="20">
        <f>AG92</f>
        <v>486</v>
      </c>
      <c r="H130" s="20">
        <f>AG81</f>
        <v>486</v>
      </c>
      <c r="I130" s="20">
        <f>AG70</f>
        <v>486</v>
      </c>
      <c r="J130" s="20">
        <f>AG59</f>
        <v>486</v>
      </c>
      <c r="K130" s="20">
        <f>AG48</f>
        <v>504</v>
      </c>
      <c r="L130" s="20">
        <f>AG37</f>
        <v>504</v>
      </c>
      <c r="M130" s="169">
        <f>AG26</f>
        <v>504</v>
      </c>
      <c r="N130" s="168">
        <f>AG15</f>
        <v>504</v>
      </c>
      <c r="O130" s="25"/>
      <c r="P130" s="34"/>
      <c r="Q130" s="35" t="s">
        <v>54</v>
      </c>
      <c r="R130" s="38">
        <v>8</v>
      </c>
      <c r="S130" s="39">
        <v>10</v>
      </c>
      <c r="T130" s="1114">
        <f>F78+F67+C56+F56</f>
        <v>10</v>
      </c>
      <c r="U130" s="1115"/>
      <c r="V130" s="1143">
        <f>T130*$AG$6</f>
        <v>340</v>
      </c>
      <c r="W130" s="1144"/>
      <c r="X130" s="34"/>
      <c r="AC130" s="3"/>
      <c r="AF130" s="9"/>
      <c r="AG130" s="4"/>
    </row>
    <row r="131" spans="1:33" ht="15.75" thickBot="1">
      <c r="A131" s="293" t="s">
        <v>82</v>
      </c>
      <c r="B131" s="896"/>
      <c r="C131" s="1103">
        <f t="shared" si="5"/>
        <v>2430</v>
      </c>
      <c r="D131" s="1104"/>
      <c r="E131" s="167">
        <f>AH115</f>
        <v>198</v>
      </c>
      <c r="F131" s="169">
        <f>AH104</f>
        <v>216</v>
      </c>
      <c r="G131" s="20">
        <f>AH93</f>
        <v>234</v>
      </c>
      <c r="H131" s="20">
        <f>AH82</f>
        <v>216</v>
      </c>
      <c r="I131" s="20">
        <f>AH71</f>
        <v>288</v>
      </c>
      <c r="J131" s="20">
        <f>AH60</f>
        <v>252</v>
      </c>
      <c r="K131" s="20">
        <f>AH49</f>
        <v>270</v>
      </c>
      <c r="L131" s="20">
        <f>AH38</f>
        <v>234</v>
      </c>
      <c r="M131" s="169">
        <f>AH27</f>
        <v>216</v>
      </c>
      <c r="N131" s="168">
        <f>AH16</f>
        <v>306</v>
      </c>
      <c r="O131" s="25"/>
      <c r="P131" s="34"/>
      <c r="Q131" s="40" t="s">
        <v>55</v>
      </c>
      <c r="R131" s="41"/>
      <c r="S131" s="42"/>
      <c r="T131" s="1145">
        <f>F67+F56</f>
        <v>5</v>
      </c>
      <c r="U131" s="1146"/>
      <c r="V131" s="1145">
        <f>F68+F57</f>
        <v>170</v>
      </c>
      <c r="W131" s="1146"/>
      <c r="X131" s="34"/>
      <c r="AC131" s="3"/>
      <c r="AF131" s="9"/>
      <c r="AG131" s="4"/>
    </row>
    <row r="132" spans="1:33" ht="15.75">
      <c r="A132" s="293" t="s">
        <v>11</v>
      </c>
      <c r="B132" s="896"/>
      <c r="C132" s="1103">
        <f t="shared" si="5"/>
        <v>274</v>
      </c>
      <c r="D132" s="1104"/>
      <c r="E132" s="167">
        <f>E130/A109</f>
        <v>27</v>
      </c>
      <c r="F132" s="169">
        <f>F130/A98</f>
        <v>27</v>
      </c>
      <c r="G132" s="170">
        <f>G130/A87</f>
        <v>27</v>
      </c>
      <c r="H132" s="20">
        <f>H130/A76</f>
        <v>27</v>
      </c>
      <c r="I132" s="20">
        <f>I130/A65</f>
        <v>27</v>
      </c>
      <c r="J132" s="20">
        <f>J130/A54</f>
        <v>27</v>
      </c>
      <c r="K132" s="20">
        <f>K130/A43</f>
        <v>28</v>
      </c>
      <c r="L132" s="20">
        <f>L130/A32</f>
        <v>28</v>
      </c>
      <c r="M132" s="169">
        <f>M130/A21</f>
        <v>28</v>
      </c>
      <c r="N132" s="168">
        <f>N130/A10</f>
        <v>28</v>
      </c>
      <c r="O132" s="25"/>
      <c r="P132" s="43"/>
      <c r="Q132" s="31" t="s">
        <v>8</v>
      </c>
      <c r="R132" s="44">
        <v>90</v>
      </c>
      <c r="S132" s="44">
        <v>98</v>
      </c>
      <c r="T132" s="1153">
        <f>T133+T134</f>
        <v>96</v>
      </c>
      <c r="U132" s="1154"/>
      <c r="V132" s="1155">
        <f>V133+V134</f>
        <v>3264</v>
      </c>
      <c r="W132" s="1156"/>
      <c r="X132" s="166" t="str">
        <f>IF(AND(T132&gt;=R132,T132&lt;=S132),"","НЕВЕРНО!")</f>
        <v/>
      </c>
      <c r="AC132" s="3"/>
      <c r="AF132" s="9"/>
      <c r="AG132" s="4"/>
    </row>
    <row r="133" spans="1:33" ht="15">
      <c r="A133" s="293" t="s">
        <v>30</v>
      </c>
      <c r="B133" s="896"/>
      <c r="C133" s="1103">
        <f t="shared" si="5"/>
        <v>135</v>
      </c>
      <c r="D133" s="1104"/>
      <c r="E133" s="167">
        <f>AG115</f>
        <v>11</v>
      </c>
      <c r="F133" s="20">
        <f>AG104</f>
        <v>12</v>
      </c>
      <c r="G133" s="170">
        <f>AG93</f>
        <v>13</v>
      </c>
      <c r="H133" s="20">
        <f>AG82</f>
        <v>12</v>
      </c>
      <c r="I133" s="20">
        <f>AG71</f>
        <v>16</v>
      </c>
      <c r="J133" s="20">
        <f>AG60</f>
        <v>14</v>
      </c>
      <c r="K133" s="20">
        <f>AG49</f>
        <v>15</v>
      </c>
      <c r="L133" s="20">
        <f>AG38</f>
        <v>13</v>
      </c>
      <c r="M133" s="169">
        <f>AG27</f>
        <v>12</v>
      </c>
      <c r="N133" s="168">
        <f>AG16</f>
        <v>17</v>
      </c>
      <c r="O133" s="43"/>
      <c r="P133" s="45"/>
      <c r="Q133" s="35" t="s">
        <v>53</v>
      </c>
      <c r="R133" s="38">
        <v>74</v>
      </c>
      <c r="S133" s="38">
        <v>78</v>
      </c>
      <c r="T133" s="1147">
        <f>L111+Q111+U111+Y111+M100+K89+O89+Q100+U100+Y100+S89+V89+AA89+K78+N78+Q78+W67+AA67+K56</f>
        <v>77</v>
      </c>
      <c r="U133" s="1148"/>
      <c r="V133" s="1143">
        <f>T133*$AG$6</f>
        <v>2618</v>
      </c>
      <c r="W133" s="1144"/>
      <c r="X133" s="46"/>
      <c r="AC133" s="3"/>
      <c r="AF133" s="9"/>
      <c r="AG133" s="4"/>
    </row>
    <row r="134" spans="1:33" ht="15">
      <c r="A134" s="293"/>
      <c r="B134" s="896"/>
      <c r="C134" s="1103"/>
      <c r="D134" s="1104"/>
      <c r="E134" s="167"/>
      <c r="F134" s="20"/>
      <c r="G134" s="170"/>
      <c r="H134" s="20"/>
      <c r="I134" s="20"/>
      <c r="J134" s="20"/>
      <c r="K134" s="20"/>
      <c r="L134" s="20"/>
      <c r="M134" s="169"/>
      <c r="N134" s="168"/>
      <c r="O134" s="43"/>
      <c r="P134" s="47"/>
      <c r="Q134" s="35" t="s">
        <v>54</v>
      </c>
      <c r="R134" s="38">
        <v>16</v>
      </c>
      <c r="S134" s="39">
        <v>20</v>
      </c>
      <c r="T134" s="1147">
        <f>H78+V78+AE67+T56+Z45</f>
        <v>19</v>
      </c>
      <c r="U134" s="1148"/>
      <c r="V134" s="1143">
        <f>T134*$AG$6</f>
        <v>646</v>
      </c>
      <c r="W134" s="1144"/>
      <c r="X134" s="46"/>
      <c r="AC134" s="3"/>
      <c r="AG134" s="4"/>
    </row>
    <row r="135" spans="1:33" ht="15.75" thickBot="1">
      <c r="A135" s="293"/>
      <c r="B135" s="896"/>
      <c r="C135" s="804"/>
      <c r="D135" s="805"/>
      <c r="E135" s="167"/>
      <c r="F135" s="20"/>
      <c r="G135" s="170"/>
      <c r="H135" s="20"/>
      <c r="I135" s="20"/>
      <c r="J135" s="20"/>
      <c r="K135" s="20"/>
      <c r="L135" s="20"/>
      <c r="M135" s="169"/>
      <c r="N135" s="168"/>
      <c r="O135" s="43"/>
      <c r="P135" s="45"/>
      <c r="Q135" s="48" t="s">
        <v>55</v>
      </c>
      <c r="R135" s="41"/>
      <c r="S135" s="42"/>
      <c r="T135" s="1226">
        <f>AE67</f>
        <v>4</v>
      </c>
      <c r="U135" s="1227"/>
      <c r="V135" s="1226">
        <f>AE68</f>
        <v>136</v>
      </c>
      <c r="W135" s="1227"/>
      <c r="X135" s="49"/>
      <c r="Y135" s="12"/>
      <c r="Z135" s="7"/>
      <c r="AA135" s="7"/>
      <c r="AB135" s="7"/>
      <c r="AC135" s="197"/>
      <c r="AD135" s="133"/>
      <c r="AE135" s="5"/>
      <c r="AG135" s="4"/>
    </row>
    <row r="136" spans="1:33" ht="15.75">
      <c r="A136" s="293" t="s">
        <v>12</v>
      </c>
      <c r="B136" s="896"/>
      <c r="C136" s="1101">
        <f>SUM(E136:L136)</f>
        <v>0</v>
      </c>
      <c r="D136" s="1102"/>
      <c r="E136" s="171"/>
      <c r="F136" s="172"/>
      <c r="G136" s="172"/>
      <c r="H136" s="172"/>
      <c r="I136" s="172"/>
      <c r="J136" s="172"/>
      <c r="K136" s="172"/>
      <c r="L136" s="172"/>
      <c r="M136" s="889"/>
      <c r="N136" s="173"/>
      <c r="O136" s="43"/>
      <c r="P136" s="43"/>
      <c r="Q136" s="50" t="s">
        <v>92</v>
      </c>
      <c r="R136" s="44">
        <v>145</v>
      </c>
      <c r="S136" s="44">
        <v>155</v>
      </c>
      <c r="T136" s="1149">
        <f>T137+T138</f>
        <v>155</v>
      </c>
      <c r="U136" s="1150"/>
      <c r="V136" s="1151">
        <f>V137+V138</f>
        <v>5270</v>
      </c>
      <c r="W136" s="1152"/>
      <c r="X136" s="166" t="str">
        <f>IF(AND(T136&gt;=R136,T136&lt;=S136),"","НЕВЕРНО!")</f>
        <v/>
      </c>
      <c r="AC136" s="3"/>
      <c r="AG136" s="4"/>
    </row>
    <row r="137" spans="1:33" ht="15">
      <c r="A137" s="293" t="s">
        <v>13</v>
      </c>
      <c r="B137" s="896"/>
      <c r="C137" s="1101">
        <f>SUM(E137:L137)</f>
        <v>14</v>
      </c>
      <c r="D137" s="1102"/>
      <c r="E137" s="345">
        <v>1</v>
      </c>
      <c r="F137" s="346">
        <v>1</v>
      </c>
      <c r="G137" s="346">
        <v>2</v>
      </c>
      <c r="H137" s="346">
        <v>2</v>
      </c>
      <c r="I137" s="346">
        <v>2</v>
      </c>
      <c r="J137" s="346">
        <v>2</v>
      </c>
      <c r="K137" s="346">
        <v>2</v>
      </c>
      <c r="L137" s="346">
        <v>2</v>
      </c>
      <c r="M137" s="890">
        <v>2</v>
      </c>
      <c r="N137" s="347">
        <v>2</v>
      </c>
      <c r="O137" s="51"/>
      <c r="P137" s="43"/>
      <c r="Q137" s="35" t="s">
        <v>53</v>
      </c>
      <c r="R137" s="38">
        <v>117</v>
      </c>
      <c r="S137" s="38">
        <v>123</v>
      </c>
      <c r="T137" s="1114">
        <f>AE111+AD100+AE89+N67+R67+O56+D45+I45+M45+AE45+F34+K34+U34+Z34+E12+J12+O12+T12+Y12+AB12+T78+X56+AB56+AE34+G23+L23+P34</f>
        <v>123</v>
      </c>
      <c r="U137" s="1115"/>
      <c r="V137" s="1143">
        <f>T137*$AG$6</f>
        <v>4182</v>
      </c>
      <c r="W137" s="1144"/>
      <c r="X137" s="52"/>
      <c r="AC137" s="3"/>
      <c r="AG137" s="4"/>
    </row>
    <row r="138" spans="1:33" ht="15">
      <c r="A138" s="293" t="s">
        <v>14</v>
      </c>
      <c r="B138" s="896"/>
      <c r="C138" s="1101">
        <f>SUM(E138:L138)</f>
        <v>30</v>
      </c>
      <c r="D138" s="1102"/>
      <c r="E138" s="345">
        <v>4</v>
      </c>
      <c r="F138" s="346">
        <v>4</v>
      </c>
      <c r="G138" s="346">
        <v>4</v>
      </c>
      <c r="H138" s="346">
        <v>3</v>
      </c>
      <c r="I138" s="346">
        <v>4</v>
      </c>
      <c r="J138" s="346">
        <v>3</v>
      </c>
      <c r="K138" s="346">
        <v>4</v>
      </c>
      <c r="L138" s="346">
        <v>4</v>
      </c>
      <c r="M138" s="890">
        <v>4</v>
      </c>
      <c r="N138" s="347">
        <v>4</v>
      </c>
      <c r="O138" s="51"/>
      <c r="P138" s="43"/>
      <c r="Q138" s="35" t="s">
        <v>54</v>
      </c>
      <c r="R138" s="38">
        <v>28</v>
      </c>
      <c r="S138" s="39">
        <v>32</v>
      </c>
      <c r="T138" s="1114">
        <f>AA78+J67+Q45+T45+AB23+W23+Q23</f>
        <v>32</v>
      </c>
      <c r="U138" s="1115"/>
      <c r="V138" s="1143">
        <f>T138*$AG$6</f>
        <v>1088</v>
      </c>
      <c r="W138" s="1144"/>
      <c r="X138" s="52"/>
      <c r="AC138" s="3"/>
      <c r="AG138" s="4"/>
    </row>
    <row r="139" spans="1:33" ht="15.75" thickBot="1">
      <c r="A139" s="293" t="s">
        <v>88</v>
      </c>
      <c r="B139" s="896"/>
      <c r="C139" s="1101">
        <f>SUM(E139:L139)</f>
        <v>32</v>
      </c>
      <c r="D139" s="1102"/>
      <c r="E139" s="345">
        <v>3</v>
      </c>
      <c r="F139" s="346">
        <v>4</v>
      </c>
      <c r="G139" s="346">
        <v>4</v>
      </c>
      <c r="H139" s="346">
        <v>7</v>
      </c>
      <c r="I139" s="346">
        <v>4</v>
      </c>
      <c r="J139" s="346">
        <v>5</v>
      </c>
      <c r="K139" s="346">
        <v>3</v>
      </c>
      <c r="L139" s="346">
        <v>2</v>
      </c>
      <c r="M139" s="890">
        <v>2</v>
      </c>
      <c r="N139" s="347">
        <v>3</v>
      </c>
      <c r="O139" s="51"/>
      <c r="P139" s="43"/>
      <c r="Q139" s="48" t="s">
        <v>55</v>
      </c>
      <c r="R139" s="41"/>
      <c r="S139" s="42"/>
      <c r="T139" s="1226">
        <f>AA78+T45+Q23+AB23</f>
        <v>18</v>
      </c>
      <c r="U139" s="1227"/>
      <c r="V139" s="1143">
        <f>AA79+T46+Q24+AB24</f>
        <v>612</v>
      </c>
      <c r="W139" s="1144"/>
      <c r="X139" s="52"/>
      <c r="AC139" s="3"/>
      <c r="AG139" s="4"/>
    </row>
    <row r="140" spans="1:33" ht="16.5" customHeight="1" thickBot="1">
      <c r="A140" s="293" t="s">
        <v>15</v>
      </c>
      <c r="B140" s="896"/>
      <c r="C140" s="1101">
        <f>SUM(E140:L140)</f>
        <v>4</v>
      </c>
      <c r="D140" s="1102"/>
      <c r="E140" s="891">
        <v>1</v>
      </c>
      <c r="F140" s="892">
        <v>1</v>
      </c>
      <c r="G140" s="892">
        <v>1</v>
      </c>
      <c r="H140" s="892">
        <v>1</v>
      </c>
      <c r="I140" s="892"/>
      <c r="J140" s="892"/>
      <c r="K140" s="892"/>
      <c r="L140" s="892"/>
      <c r="M140" s="893"/>
      <c r="N140" s="894"/>
      <c r="O140" s="51"/>
      <c r="P140" s="43"/>
      <c r="Q140" s="53" t="s">
        <v>93</v>
      </c>
      <c r="R140" s="885">
        <f>ТС_ППС!D116</f>
        <v>18</v>
      </c>
      <c r="S140" s="58">
        <f>ТС_ППС!E116</f>
        <v>21</v>
      </c>
      <c r="T140" s="1206">
        <v>18</v>
      </c>
      <c r="U140" s="1207"/>
      <c r="V140" s="1208">
        <f>T140*$AG$5</f>
        <v>648</v>
      </c>
      <c r="W140" s="1209"/>
      <c r="X140" s="52"/>
      <c r="Y140" s="1218" t="s">
        <v>557</v>
      </c>
      <c r="Z140" s="1218"/>
      <c r="AA140" s="1218"/>
      <c r="AB140" s="1218"/>
      <c r="AC140" s="1218"/>
      <c r="AD140" s="1218"/>
      <c r="AE140" s="1218"/>
      <c r="AG140" s="4"/>
    </row>
    <row r="141" spans="1:33" ht="16.5" thickBot="1">
      <c r="C141" s="175"/>
      <c r="D141" s="3"/>
      <c r="O141" s="51"/>
      <c r="P141" s="43"/>
      <c r="Q141" s="53" t="s">
        <v>41</v>
      </c>
      <c r="R141" s="886">
        <f>ТС_ППС!D121</f>
        <v>21</v>
      </c>
      <c r="S141" s="886">
        <v>24</v>
      </c>
      <c r="T141" s="1206">
        <v>24</v>
      </c>
      <c r="U141" s="1207"/>
      <c r="V141" s="1208">
        <f>T141*AG5</f>
        <v>864</v>
      </c>
      <c r="W141" s="1209"/>
      <c r="X141" s="52"/>
      <c r="Y141" s="1218"/>
      <c r="Z141" s="1218"/>
      <c r="AA141" s="1218"/>
      <c r="AB141" s="1218"/>
      <c r="AC141" s="1218"/>
      <c r="AD141" s="1218"/>
      <c r="AE141" s="1218"/>
      <c r="AG141" s="4"/>
    </row>
    <row r="142" spans="1:33" ht="21" thickBot="1">
      <c r="C142" s="176"/>
      <c r="D142" s="130"/>
      <c r="E142" s="150"/>
      <c r="F142" s="150"/>
      <c r="G142" s="150"/>
      <c r="H142" s="150"/>
      <c r="I142" s="150"/>
      <c r="L142" s="178"/>
      <c r="O142" s="52"/>
      <c r="P142" s="43"/>
      <c r="Q142" s="53" t="s">
        <v>87</v>
      </c>
      <c r="R142" s="1204">
        <f>ТС_ППС!D115</f>
        <v>2</v>
      </c>
      <c r="S142" s="1205"/>
      <c r="T142" s="1206">
        <f>AE100+AE78</f>
        <v>2</v>
      </c>
      <c r="U142" s="1207"/>
      <c r="V142" s="1208">
        <f>AF112+AE101+AF101+AF90+AE79+AF79</f>
        <v>396</v>
      </c>
      <c r="W142" s="1209"/>
      <c r="X142" s="166" t="str">
        <f>IF(T142=R142,"","НЕВЕРНО!")</f>
        <v/>
      </c>
      <c r="AA142" s="737"/>
      <c r="AB142" s="737"/>
      <c r="AC142" s="737"/>
      <c r="AD142" s="737"/>
      <c r="AE142" s="737"/>
      <c r="AF142" s="737"/>
      <c r="AG142" s="737"/>
    </row>
    <row r="143" spans="1:33" ht="21" thickBot="1">
      <c r="C143" s="176"/>
      <c r="D143" s="7"/>
      <c r="E143" s="12"/>
      <c r="F143" s="12"/>
      <c r="G143" s="177"/>
      <c r="H143" s="145"/>
      <c r="O143" s="54"/>
      <c r="P143" s="55"/>
      <c r="Q143" s="56" t="s">
        <v>94</v>
      </c>
      <c r="R143" s="1210">
        <f>ТС_ППС!D124</f>
        <v>330</v>
      </c>
      <c r="S143" s="1211"/>
      <c r="T143" s="1210">
        <f>T128+T132+T136+T140+T141+T142</f>
        <v>330</v>
      </c>
      <c r="U143" s="1211"/>
      <c r="V143" s="1212">
        <f>V128+V132+V136+V140+V141+V142</f>
        <v>11632</v>
      </c>
      <c r="W143" s="1213"/>
      <c r="X143" s="166" t="str">
        <f>IF(T143=R143,"","НЕВЕРНО!")</f>
        <v/>
      </c>
      <c r="AA143" s="737"/>
      <c r="AB143" s="737"/>
      <c r="AC143" s="737"/>
      <c r="AD143" s="737"/>
      <c r="AF143" s="9"/>
      <c r="AG143" s="4"/>
    </row>
    <row r="144" spans="1:33" ht="15">
      <c r="C144" s="175"/>
      <c r="D144" s="7"/>
      <c r="E144" s="12"/>
      <c r="F144" s="12"/>
      <c r="O144" s="52"/>
      <c r="P144" s="52"/>
      <c r="Q144" s="179" t="s">
        <v>95</v>
      </c>
      <c r="R144" s="1214">
        <v>400</v>
      </c>
      <c r="S144" s="1215"/>
      <c r="T144" s="1217"/>
      <c r="U144" s="1189"/>
      <c r="V144" s="1217">
        <f>V142</f>
        <v>396</v>
      </c>
      <c r="W144" s="1189"/>
      <c r="X144" s="166" t="str">
        <f>IF(V144&lt;R144,"","НЕВЕРНО!")</f>
        <v/>
      </c>
      <c r="AC144" s="3"/>
      <c r="AG144" s="4"/>
    </row>
    <row r="145" spans="1:35" ht="15">
      <c r="C145" s="175"/>
      <c r="D145" s="7"/>
      <c r="E145" s="12"/>
      <c r="F145" s="12"/>
      <c r="G145" s="167"/>
      <c r="O145" s="52"/>
      <c r="P145" s="52"/>
      <c r="Q145" s="180" t="s">
        <v>96</v>
      </c>
      <c r="R145" s="1198">
        <v>0.55000000000000004</v>
      </c>
      <c r="S145" s="1199"/>
      <c r="T145" s="1200"/>
      <c r="U145" s="1201"/>
      <c r="V145" s="1200">
        <f>C131/C130</f>
        <v>0.49270072992700731</v>
      </c>
      <c r="W145" s="1201"/>
      <c r="X145" s="166" t="str">
        <f>IF(V145&lt;R145,"","НЕВЕРНО!")</f>
        <v/>
      </c>
      <c r="AC145" s="3"/>
      <c r="AG145" s="4"/>
    </row>
    <row r="146" spans="1:35">
      <c r="A146" s="7"/>
      <c r="B146" s="7"/>
      <c r="C146" s="7"/>
      <c r="D146" s="132"/>
      <c r="E146" s="131"/>
      <c r="F146" s="131"/>
      <c r="G146" s="131"/>
      <c r="H146" s="131"/>
      <c r="I146" s="7"/>
      <c r="J146" s="7"/>
      <c r="K146" s="132"/>
      <c r="L146" s="131"/>
      <c r="M146" s="131"/>
      <c r="N146" s="133"/>
      <c r="O146" s="37"/>
      <c r="P146" s="37"/>
      <c r="Q146" s="180" t="s">
        <v>97</v>
      </c>
      <c r="R146" s="1196"/>
      <c r="S146" s="1197"/>
      <c r="T146" s="1202">
        <f>T129+T133+T137</f>
        <v>225</v>
      </c>
      <c r="U146" s="1203"/>
      <c r="V146" s="1196"/>
      <c r="W146" s="1197"/>
      <c r="X146" s="181"/>
      <c r="AC146" s="3"/>
      <c r="AG146" s="4"/>
    </row>
    <row r="147" spans="1:35" ht="15">
      <c r="C147" s="7"/>
      <c r="D147" s="132"/>
      <c r="E147" s="131"/>
      <c r="F147" s="131"/>
      <c r="G147" s="131"/>
      <c r="H147" s="131"/>
      <c r="J147" s="7"/>
      <c r="K147" s="132"/>
      <c r="L147" s="131"/>
      <c r="M147" s="131"/>
      <c r="N147" s="131"/>
      <c r="O147" s="52"/>
      <c r="P147" s="52"/>
      <c r="Q147" s="180" t="s">
        <v>98</v>
      </c>
      <c r="R147" s="1190"/>
      <c r="S147" s="1191"/>
      <c r="T147" s="1114">
        <f>T130+T134+T138</f>
        <v>61</v>
      </c>
      <c r="U147" s="1115"/>
      <c r="V147" s="1114"/>
      <c r="W147" s="1115"/>
      <c r="X147" s="52"/>
      <c r="AC147" s="3"/>
      <c r="AG147" s="4"/>
    </row>
    <row r="148" spans="1:35" ht="15">
      <c r="C148" s="7"/>
      <c r="D148" s="132"/>
      <c r="E148" s="131"/>
      <c r="F148" s="131"/>
      <c r="G148" s="131"/>
      <c r="H148" s="131"/>
      <c r="I148" s="5"/>
      <c r="J148" s="131"/>
      <c r="K148" s="132"/>
      <c r="L148" s="131"/>
      <c r="M148" s="131"/>
      <c r="N148" s="131"/>
      <c r="O148" s="52"/>
      <c r="P148" s="52"/>
      <c r="Q148" s="57" t="s">
        <v>99</v>
      </c>
      <c r="R148" s="1190"/>
      <c r="S148" s="1191"/>
      <c r="T148" s="1192">
        <f>T131+T135+T139</f>
        <v>27</v>
      </c>
      <c r="U148" s="1193"/>
      <c r="V148" s="1114"/>
      <c r="W148" s="1115"/>
      <c r="X148" s="52"/>
      <c r="AC148" s="3"/>
      <c r="AG148" s="4"/>
    </row>
    <row r="149" spans="1:35" ht="15">
      <c r="I149" s="131"/>
      <c r="J149" s="131"/>
      <c r="K149" s="174"/>
      <c r="L149" s="5"/>
      <c r="M149" s="17"/>
      <c r="N149" s="17"/>
      <c r="O149" s="52"/>
      <c r="P149" s="52"/>
      <c r="Q149" s="182" t="s">
        <v>100</v>
      </c>
      <c r="R149" s="1186">
        <v>0.33329999999999999</v>
      </c>
      <c r="S149" s="1187"/>
      <c r="T149" s="1188">
        <f>T148/T147</f>
        <v>0.44262295081967212</v>
      </c>
      <c r="U149" s="1189"/>
      <c r="V149" s="1188"/>
      <c r="W149" s="1189"/>
      <c r="X149" s="166" t="str">
        <f>IF(T149&gt;=R149,"","НЕВЕРНО!")</f>
        <v/>
      </c>
      <c r="AC149" s="3"/>
      <c r="AF149" s="9"/>
      <c r="AG149" s="4"/>
    </row>
    <row r="150" spans="1:35" ht="15.75">
      <c r="A150" s="52"/>
      <c r="B150" s="64" t="s">
        <v>26</v>
      </c>
      <c r="C150" s="52"/>
      <c r="D150" s="52"/>
      <c r="E150" s="52"/>
      <c r="F150" s="52"/>
      <c r="G150" s="52"/>
      <c r="H150" s="52"/>
    </row>
    <row r="151" spans="1:35" s="52" customFormat="1" ht="15.75">
      <c r="B151" s="64"/>
      <c r="X151" s="4"/>
      <c r="Y151" s="4"/>
      <c r="Z151" s="4"/>
      <c r="AA151" s="4"/>
      <c r="AB151" s="4"/>
      <c r="AC151" s="4"/>
      <c r="AD151" s="4"/>
      <c r="AE151" s="4"/>
      <c r="AF151" s="4"/>
      <c r="AG151" s="3"/>
      <c r="AH151" s="4"/>
      <c r="AI151" s="65"/>
    </row>
    <row r="152" spans="1:35" s="52" customFormat="1" ht="15">
      <c r="A152" s="60"/>
      <c r="B152" s="313" t="s">
        <v>31</v>
      </c>
      <c r="C152" s="68"/>
      <c r="D152" s="68"/>
      <c r="E152" s="68"/>
      <c r="F152" s="66" t="s">
        <v>207</v>
      </c>
      <c r="G152" s="66"/>
      <c r="H152" s="66"/>
      <c r="M152" s="313"/>
      <c r="N152" s="313" t="s">
        <v>695</v>
      </c>
      <c r="O152" s="68"/>
      <c r="P152" s="68"/>
      <c r="Q152" s="69"/>
      <c r="R152" s="70"/>
      <c r="S152" s="66" t="str">
        <f>J5</f>
        <v>Н.А. Мустафин, А.Ф. Казак</v>
      </c>
      <c r="Y152" s="313"/>
      <c r="AA152" s="313" t="s">
        <v>237</v>
      </c>
      <c r="AB152" s="68"/>
      <c r="AC152" s="68"/>
      <c r="AD152" s="68"/>
      <c r="AE152" s="70"/>
      <c r="AF152" s="66" t="s">
        <v>236</v>
      </c>
      <c r="AG152" s="76"/>
    </row>
    <row r="153" spans="1:35" s="66" customFormat="1" ht="15">
      <c r="A153" s="60"/>
      <c r="B153" s="313"/>
      <c r="J153" s="52"/>
      <c r="K153" s="52"/>
      <c r="L153" s="52"/>
      <c r="M153" s="313"/>
      <c r="N153" s="313"/>
      <c r="Y153" s="28"/>
      <c r="Z153" s="52"/>
      <c r="AA153" s="28"/>
      <c r="AB153" s="52"/>
      <c r="AC153" s="52"/>
      <c r="AD153" s="52"/>
      <c r="AE153" s="52"/>
      <c r="AF153" s="52"/>
      <c r="AG153" s="76"/>
      <c r="AH153" s="52"/>
    </row>
    <row r="154" spans="1:35" s="66" customFormat="1" ht="15">
      <c r="A154" s="60"/>
      <c r="B154" s="313"/>
      <c r="M154" s="313"/>
      <c r="N154" s="313"/>
      <c r="Y154" s="28"/>
      <c r="Z154" s="52"/>
      <c r="AA154" s="28"/>
      <c r="AB154" s="52"/>
      <c r="AC154" s="52"/>
      <c r="AD154" s="52"/>
      <c r="AE154" s="52"/>
      <c r="AF154" s="52"/>
      <c r="AG154" s="76"/>
      <c r="AH154" s="52"/>
    </row>
    <row r="155" spans="1:35" s="66" customFormat="1" ht="15">
      <c r="A155" s="60"/>
      <c r="B155" s="313" t="s">
        <v>27</v>
      </c>
      <c r="C155" s="68"/>
      <c r="D155" s="68"/>
      <c r="E155" s="68"/>
      <c r="F155" s="66" t="s">
        <v>208</v>
      </c>
      <c r="L155" s="52"/>
      <c r="M155" s="313"/>
      <c r="N155" s="313" t="s">
        <v>123</v>
      </c>
      <c r="O155" s="68"/>
      <c r="P155" s="68"/>
      <c r="Q155" s="68"/>
      <c r="R155" s="70"/>
      <c r="S155" s="66" t="s">
        <v>236</v>
      </c>
      <c r="Z155" s="313"/>
      <c r="AA155" s="313" t="s">
        <v>124</v>
      </c>
      <c r="AB155" s="68"/>
      <c r="AC155" s="68"/>
      <c r="AD155" s="68"/>
      <c r="AE155" s="70"/>
      <c r="AF155" s="66" t="s">
        <v>236</v>
      </c>
      <c r="AG155" s="199"/>
      <c r="AH155" s="60"/>
    </row>
    <row r="156" spans="1:35" s="66" customFormat="1" ht="15">
      <c r="A156" s="52"/>
      <c r="B156" s="52"/>
      <c r="C156" s="52"/>
      <c r="D156" s="52"/>
      <c r="E156" s="52"/>
      <c r="F156" s="52"/>
      <c r="G156" s="52"/>
      <c r="H156" s="52"/>
      <c r="M156" s="313"/>
      <c r="N156" s="313"/>
      <c r="O156" s="157"/>
      <c r="P156" s="157"/>
      <c r="Q156" s="72"/>
      <c r="R156" s="71"/>
      <c r="Y156" s="52"/>
      <c r="Z156" s="28"/>
      <c r="AA156" s="28"/>
      <c r="AB156" s="52"/>
      <c r="AC156" s="52"/>
      <c r="AD156" s="52"/>
      <c r="AE156" s="52"/>
      <c r="AF156" s="52"/>
      <c r="AG156" s="76"/>
      <c r="AH156" s="52"/>
    </row>
    <row r="157" spans="1:35" s="52" customFormat="1" ht="15">
      <c r="J157" s="66"/>
      <c r="K157" s="66"/>
      <c r="L157" s="66"/>
      <c r="M157" s="313"/>
      <c r="N157" s="313"/>
      <c r="O157" s="157"/>
      <c r="P157" s="157"/>
      <c r="Q157" s="72"/>
      <c r="R157" s="71"/>
      <c r="S157" s="66"/>
      <c r="T157" s="66"/>
      <c r="U157" s="66"/>
      <c r="X157" s="66"/>
      <c r="Z157" s="28"/>
      <c r="AA157" s="28"/>
      <c r="AG157" s="76"/>
    </row>
    <row r="158" spans="1:35" s="52" customFormat="1" ht="15">
      <c r="Z158" s="313"/>
      <c r="AA158" s="313" t="s">
        <v>125</v>
      </c>
      <c r="AB158" s="68"/>
      <c r="AC158" s="68"/>
      <c r="AD158" s="68"/>
      <c r="AE158" s="70"/>
      <c r="AF158" s="636" t="s">
        <v>218</v>
      </c>
      <c r="AG158" s="199"/>
    </row>
    <row r="159" spans="1:35" s="52" customFormat="1">
      <c r="A159" s="4"/>
      <c r="B159" s="4"/>
      <c r="C159" s="4"/>
      <c r="D159" s="4"/>
      <c r="E159" s="4"/>
      <c r="F159" s="4"/>
      <c r="G159" s="4"/>
      <c r="H159" s="4"/>
      <c r="Y159" s="4"/>
      <c r="Z159" s="4"/>
      <c r="AA159" s="4"/>
      <c r="AB159" s="4"/>
      <c r="AC159" s="4"/>
      <c r="AD159" s="4"/>
      <c r="AE159" s="4"/>
      <c r="AF159" s="4"/>
      <c r="AG159" s="3"/>
      <c r="AH159" s="4"/>
    </row>
    <row r="160" spans="1:35">
      <c r="M160" s="52"/>
      <c r="N160" s="52"/>
      <c r="O160" s="52"/>
      <c r="P160" s="52"/>
      <c r="Q160" s="52"/>
      <c r="R160" s="52"/>
      <c r="S160" s="52"/>
      <c r="T160" s="52"/>
      <c r="U160" s="73"/>
      <c r="X160" s="52"/>
    </row>
    <row r="161" spans="10:28">
      <c r="M161" s="52"/>
      <c r="N161" s="52"/>
      <c r="O161" s="52"/>
      <c r="P161" s="52"/>
      <c r="Q161" s="52"/>
      <c r="R161" s="52"/>
      <c r="S161" s="52"/>
      <c r="T161" s="52"/>
      <c r="U161" s="52"/>
      <c r="X161" s="52"/>
    </row>
    <row r="164" spans="10:28">
      <c r="J164" s="348"/>
      <c r="K164" s="348"/>
      <c r="L164" s="372"/>
      <c r="M164" s="405"/>
      <c r="N164" s="405"/>
      <c r="O164" s="405"/>
      <c r="P164" s="372"/>
      <c r="Q164" s="372"/>
      <c r="R164" s="372"/>
      <c r="S164" s="406"/>
      <c r="T164" s="406"/>
      <c r="U164" s="406"/>
      <c r="V164" s="468"/>
      <c r="W164" s="468"/>
      <c r="X164" s="468"/>
      <c r="Y164" s="407"/>
      <c r="Z164" s="407"/>
      <c r="AA164" s="407"/>
      <c r="AB164" s="407"/>
    </row>
    <row r="165" spans="10:28">
      <c r="J165" s="348"/>
      <c r="K165" s="348"/>
      <c r="L165" s="405"/>
      <c r="M165" s="405"/>
      <c r="N165" s="405"/>
      <c r="O165" s="405"/>
      <c r="P165" s="372"/>
      <c r="Q165" s="372"/>
      <c r="R165" s="372"/>
      <c r="S165" s="406"/>
      <c r="T165" s="406"/>
      <c r="U165" s="406"/>
      <c r="V165" s="468"/>
      <c r="W165" s="468"/>
      <c r="X165" s="407"/>
      <c r="Y165" s="407"/>
      <c r="Z165" s="407"/>
      <c r="AA165" s="407"/>
      <c r="AB165" s="407"/>
    </row>
    <row r="166" spans="10:28">
      <c r="J166" s="348"/>
      <c r="K166" s="348"/>
      <c r="L166" s="405"/>
      <c r="M166" s="405"/>
      <c r="N166" s="405"/>
      <c r="O166" s="405"/>
      <c r="P166" s="372"/>
      <c r="Q166" s="372"/>
      <c r="R166" s="372"/>
      <c r="S166" s="406"/>
      <c r="T166" s="406"/>
      <c r="U166" s="406"/>
      <c r="V166" s="468"/>
      <c r="W166" s="468"/>
      <c r="X166" s="407"/>
      <c r="Y166" s="407"/>
      <c r="Z166" s="407"/>
      <c r="AA166" s="407"/>
      <c r="AB166" s="407"/>
    </row>
    <row r="167" spans="10:28">
      <c r="J167" s="475"/>
      <c r="K167" s="476"/>
      <c r="L167" s="477"/>
      <c r="M167" s="477"/>
      <c r="N167" s="476"/>
      <c r="O167" s="476"/>
      <c r="P167" s="477"/>
      <c r="Q167" s="477"/>
      <c r="R167" s="476"/>
      <c r="S167" s="477"/>
      <c r="T167" s="477"/>
      <c r="U167" s="476"/>
      <c r="V167" s="478"/>
      <c r="W167" s="478"/>
      <c r="X167" s="477"/>
      <c r="Y167" s="477"/>
      <c r="Z167" s="477"/>
      <c r="AA167" s="477"/>
      <c r="AB167" s="476"/>
    </row>
    <row r="168" spans="10:28">
      <c r="J168" s="312"/>
      <c r="K168" s="469"/>
      <c r="L168" s="469"/>
      <c r="M168" s="312"/>
      <c r="N168" s="469"/>
      <c r="O168" s="469"/>
      <c r="P168" s="312"/>
      <c r="Q168" s="312"/>
      <c r="R168" s="470"/>
      <c r="S168" s="312"/>
      <c r="T168" s="312"/>
      <c r="U168" s="312"/>
      <c r="V168" s="469"/>
      <c r="W168" s="470"/>
      <c r="X168" s="312"/>
      <c r="Y168" s="312"/>
      <c r="Z168" s="312"/>
      <c r="AA168" s="312"/>
      <c r="AB168" s="312"/>
    </row>
    <row r="169" spans="10:28">
      <c r="J169" s="312"/>
      <c r="K169" s="470"/>
      <c r="L169" s="469"/>
      <c r="M169" s="469"/>
      <c r="N169" s="470"/>
      <c r="O169" s="470"/>
      <c r="P169" s="312"/>
      <c r="Q169" s="312"/>
      <c r="R169" s="470"/>
      <c r="S169" s="312"/>
      <c r="T169" s="312"/>
      <c r="U169" s="470"/>
      <c r="V169" s="469"/>
      <c r="W169" s="470"/>
      <c r="X169" s="312"/>
      <c r="Y169" s="312"/>
      <c r="Z169" s="312"/>
      <c r="AA169" s="312"/>
      <c r="AB169" s="470"/>
    </row>
    <row r="170" spans="10:28">
      <c r="J170" s="312"/>
      <c r="K170" s="470"/>
      <c r="L170" s="469"/>
      <c r="M170" s="469"/>
      <c r="N170" s="470"/>
      <c r="O170" s="470"/>
      <c r="P170" s="312"/>
      <c r="Q170" s="312"/>
      <c r="R170" s="470"/>
      <c r="S170" s="312"/>
      <c r="T170" s="312"/>
      <c r="U170" s="470"/>
      <c r="V170" s="469"/>
      <c r="W170" s="470"/>
      <c r="X170" s="312"/>
      <c r="Y170" s="312"/>
      <c r="Z170" s="312"/>
      <c r="AA170" s="312"/>
      <c r="AB170" s="470"/>
    </row>
    <row r="171" spans="10:28">
      <c r="J171" s="344"/>
      <c r="K171" s="364"/>
      <c r="L171" s="344"/>
      <c r="M171" s="364"/>
      <c r="N171" s="364"/>
      <c r="O171" s="364"/>
      <c r="P171" s="344"/>
      <c r="Q171" s="471"/>
      <c r="R171" s="364"/>
      <c r="S171" s="344"/>
      <c r="T171" s="471"/>
      <c r="U171" s="471"/>
      <c r="V171" s="344"/>
      <c r="W171" s="364"/>
      <c r="X171" s="344"/>
      <c r="Y171" s="471"/>
      <c r="Z171" s="472"/>
      <c r="AA171" s="472"/>
      <c r="AB171" s="472"/>
    </row>
    <row r="172" spans="10:28">
      <c r="J172" s="344"/>
      <c r="K172" s="402"/>
      <c r="L172" s="344"/>
      <c r="M172" s="364"/>
      <c r="N172" s="402"/>
      <c r="O172" s="364"/>
      <c r="P172" s="344"/>
      <c r="Q172" s="471"/>
      <c r="R172" s="471"/>
      <c r="S172" s="344"/>
      <c r="T172" s="402"/>
      <c r="U172" s="402"/>
      <c r="V172" s="344"/>
      <c r="W172" s="364"/>
      <c r="X172" s="344"/>
      <c r="Y172" s="402"/>
      <c r="Z172" s="473"/>
      <c r="AA172" s="473"/>
      <c r="AB172" s="473"/>
    </row>
    <row r="173" spans="10:28">
      <c r="J173" s="344"/>
      <c r="K173" s="364"/>
      <c r="L173" s="344"/>
      <c r="M173" s="364"/>
      <c r="N173" s="364"/>
      <c r="O173" s="364"/>
      <c r="P173" s="344"/>
      <c r="Q173" s="471"/>
      <c r="R173" s="364"/>
      <c r="S173" s="344"/>
      <c r="T173" s="402"/>
      <c r="U173" s="402"/>
      <c r="V173" s="344"/>
      <c r="W173" s="364"/>
      <c r="X173" s="344"/>
      <c r="Y173" s="402"/>
      <c r="Z173" s="473"/>
      <c r="AA173" s="473"/>
      <c r="AB173" s="473"/>
    </row>
    <row r="174" spans="10:28">
      <c r="J174" s="469"/>
      <c r="K174" s="474"/>
      <c r="L174" s="469"/>
      <c r="M174" s="473"/>
      <c r="N174" s="474"/>
      <c r="O174" s="474"/>
      <c r="P174" s="469"/>
      <c r="Q174" s="474"/>
      <c r="R174" s="473"/>
      <c r="S174" s="469"/>
      <c r="T174" s="473"/>
      <c r="U174" s="473"/>
      <c r="V174" s="469"/>
      <c r="W174" s="473"/>
      <c r="X174" s="469"/>
      <c r="Y174" s="473"/>
      <c r="Z174" s="473"/>
      <c r="AA174" s="473"/>
      <c r="AB174" s="473"/>
    </row>
    <row r="188" spans="3:3">
      <c r="C188" s="5"/>
    </row>
    <row r="189" spans="3:3">
      <c r="C189" s="5"/>
    </row>
    <row r="190" spans="3:3">
      <c r="C190" s="5"/>
    </row>
    <row r="191" spans="3:3">
      <c r="C191" s="5"/>
    </row>
    <row r="192" spans="3:3">
      <c r="C192" s="5"/>
    </row>
    <row r="193" spans="3:4">
      <c r="C193" s="5"/>
    </row>
    <row r="194" spans="3:4">
      <c r="C194" s="5"/>
    </row>
    <row r="195" spans="3:4">
      <c r="C195" s="5"/>
    </row>
    <row r="196" spans="3:4">
      <c r="C196" s="5"/>
    </row>
    <row r="197" spans="3:4">
      <c r="C197" s="5"/>
    </row>
    <row r="198" spans="3:4">
      <c r="C198" s="5"/>
    </row>
    <row r="199" spans="3:4">
      <c r="C199" s="5"/>
    </row>
    <row r="200" spans="3:4">
      <c r="C200" s="5"/>
    </row>
    <row r="201" spans="3:4">
      <c r="C201" s="5"/>
    </row>
    <row r="202" spans="3:4">
      <c r="C202" s="5"/>
    </row>
    <row r="203" spans="3:4">
      <c r="C203" s="5"/>
    </row>
    <row r="204" spans="3:4">
      <c r="C204" s="5"/>
      <c r="D204" s="5"/>
    </row>
    <row r="205" spans="3:4">
      <c r="C205" s="5"/>
      <c r="D205" s="5"/>
    </row>
    <row r="206" spans="3:4">
      <c r="C206" s="5"/>
      <c r="D206" s="5"/>
    </row>
    <row r="207" spans="3:4">
      <c r="C207" s="5"/>
      <c r="D207" s="5"/>
    </row>
    <row r="208" spans="3:4">
      <c r="C208" s="5"/>
      <c r="D208" s="5"/>
    </row>
    <row r="209" spans="3:4">
      <c r="C209" s="5"/>
      <c r="D209" s="5"/>
    </row>
    <row r="210" spans="3:4">
      <c r="C210" s="5"/>
      <c r="D210" s="5"/>
    </row>
    <row r="211" spans="3:4">
      <c r="C211" s="5"/>
      <c r="D211" s="5"/>
    </row>
    <row r="212" spans="3:4">
      <c r="C212" s="5"/>
      <c r="D212" s="5"/>
    </row>
    <row r="213" spans="3:4">
      <c r="C213" s="5"/>
      <c r="D213" s="5"/>
    </row>
    <row r="214" spans="3:4">
      <c r="C214" s="5"/>
      <c r="D214" s="5"/>
    </row>
    <row r="215" spans="3:4">
      <c r="C215" s="5"/>
      <c r="D215" s="5"/>
    </row>
    <row r="216" spans="3:4">
      <c r="C216" s="5"/>
      <c r="D216" s="5"/>
    </row>
    <row r="217" spans="3:4">
      <c r="C217" s="5"/>
      <c r="D217" s="5"/>
    </row>
  </sheetData>
  <mergeCells count="162">
    <mergeCell ref="R75:T77"/>
    <mergeCell ref="U75:V77"/>
    <mergeCell ref="T144:U144"/>
    <mergeCell ref="V144:W144"/>
    <mergeCell ref="Y140:AE141"/>
    <mergeCell ref="W75:AA77"/>
    <mergeCell ref="B75:C77"/>
    <mergeCell ref="D75:F77"/>
    <mergeCell ref="V97:Y99"/>
    <mergeCell ref="Z97:AD99"/>
    <mergeCell ref="D97:F99"/>
    <mergeCell ref="L86:O88"/>
    <mergeCell ref="G75:H77"/>
    <mergeCell ref="V141:W141"/>
    <mergeCell ref="T141:U141"/>
    <mergeCell ref="T139:U139"/>
    <mergeCell ref="V139:W139"/>
    <mergeCell ref="V137:W137"/>
    <mergeCell ref="T133:U133"/>
    <mergeCell ref="T135:U135"/>
    <mergeCell ref="V135:W135"/>
    <mergeCell ref="T140:U140"/>
    <mergeCell ref="V140:W140"/>
    <mergeCell ref="R108:U110"/>
    <mergeCell ref="V108:Y110"/>
    <mergeCell ref="R125:S126"/>
    <mergeCell ref="V146:W146"/>
    <mergeCell ref="R145:S145"/>
    <mergeCell ref="T145:U145"/>
    <mergeCell ref="V145:W145"/>
    <mergeCell ref="R146:S146"/>
    <mergeCell ref="T146:U146"/>
    <mergeCell ref="T86:V88"/>
    <mergeCell ref="R97:U99"/>
    <mergeCell ref="R142:S142"/>
    <mergeCell ref="T142:U142"/>
    <mergeCell ref="V142:W142"/>
    <mergeCell ref="R143:S143"/>
    <mergeCell ref="T143:U143"/>
    <mergeCell ref="V143:W143"/>
    <mergeCell ref="R144:S144"/>
    <mergeCell ref="R149:S149"/>
    <mergeCell ref="T149:U149"/>
    <mergeCell ref="V149:W149"/>
    <mergeCell ref="R147:S147"/>
    <mergeCell ref="T147:U147"/>
    <mergeCell ref="V148:W148"/>
    <mergeCell ref="V147:W147"/>
    <mergeCell ref="R148:S148"/>
    <mergeCell ref="T148:U148"/>
    <mergeCell ref="AH3:AH8"/>
    <mergeCell ref="AF86:AF88"/>
    <mergeCell ref="AF8:AG8"/>
    <mergeCell ref="AG53:AH55"/>
    <mergeCell ref="B7:AE7"/>
    <mergeCell ref="T130:U130"/>
    <mergeCell ref="E108:H110"/>
    <mergeCell ref="T128:U128"/>
    <mergeCell ref="T129:U129"/>
    <mergeCell ref="T126:U127"/>
    <mergeCell ref="I108:L110"/>
    <mergeCell ref="M108:Q110"/>
    <mergeCell ref="B97:C99"/>
    <mergeCell ref="G97:H99"/>
    <mergeCell ref="F9:J11"/>
    <mergeCell ref="K9:O11"/>
    <mergeCell ref="Z9:AB11"/>
    <mergeCell ref="AC9:AE11"/>
    <mergeCell ref="H20:L22"/>
    <mergeCell ref="R20:W22"/>
    <mergeCell ref="A127:B127"/>
    <mergeCell ref="V129:W129"/>
    <mergeCell ref="A125:D125"/>
    <mergeCell ref="I97:M99"/>
    <mergeCell ref="C140:D140"/>
    <mergeCell ref="C129:D129"/>
    <mergeCell ref="C137:D137"/>
    <mergeCell ref="C136:D136"/>
    <mergeCell ref="C139:D139"/>
    <mergeCell ref="V126:W127"/>
    <mergeCell ref="C128:D128"/>
    <mergeCell ref="T137:U137"/>
    <mergeCell ref="B126:C126"/>
    <mergeCell ref="V130:W130"/>
    <mergeCell ref="T131:U131"/>
    <mergeCell ref="V133:W133"/>
    <mergeCell ref="T134:U134"/>
    <mergeCell ref="T136:U136"/>
    <mergeCell ref="V136:W136"/>
    <mergeCell ref="V134:W134"/>
    <mergeCell ref="V138:W138"/>
    <mergeCell ref="T132:U132"/>
    <mergeCell ref="V132:W132"/>
    <mergeCell ref="V131:W131"/>
    <mergeCell ref="AE75:AF77"/>
    <mergeCell ref="V128:W128"/>
    <mergeCell ref="T125:W125"/>
    <mergeCell ref="AF108:AF110"/>
    <mergeCell ref="C138:D138"/>
    <mergeCell ref="C132:D132"/>
    <mergeCell ref="C133:D133"/>
    <mergeCell ref="C134:D134"/>
    <mergeCell ref="C130:D130"/>
    <mergeCell ref="C131:D131"/>
    <mergeCell ref="D86:G88"/>
    <mergeCell ref="B86:C88"/>
    <mergeCell ref="H86:K88"/>
    <mergeCell ref="T138:U138"/>
    <mergeCell ref="W86:AA88"/>
    <mergeCell ref="Z108:AE110"/>
    <mergeCell ref="AE97:AF99"/>
    <mergeCell ref="L75:N77"/>
    <mergeCell ref="O75:Q77"/>
    <mergeCell ref="I75:K77"/>
    <mergeCell ref="AB86:AE88"/>
    <mergeCell ref="P86:S88"/>
    <mergeCell ref="B108:D110"/>
    <mergeCell ref="N97:Q99"/>
    <mergeCell ref="R1:S1"/>
    <mergeCell ref="N3:X3"/>
    <mergeCell ref="F5:I5"/>
    <mergeCell ref="C5:E5"/>
    <mergeCell ref="B9:E11"/>
    <mergeCell ref="AC3:AD3"/>
    <mergeCell ref="AC4:AD4"/>
    <mergeCell ref="AA5:AE5"/>
    <mergeCell ref="AB75:AD77"/>
    <mergeCell ref="G64:J66"/>
    <mergeCell ref="K64:N66"/>
    <mergeCell ref="O64:R66"/>
    <mergeCell ref="S64:W66"/>
    <mergeCell ref="X64:AA66"/>
    <mergeCell ref="AB64:AE66"/>
    <mergeCell ref="B53:C55"/>
    <mergeCell ref="G53:K55"/>
    <mergeCell ref="L53:O55"/>
    <mergeCell ref="P53:T55"/>
    <mergeCell ref="U53:X55"/>
    <mergeCell ref="Y53:AB55"/>
    <mergeCell ref="D53:F55"/>
    <mergeCell ref="B64:D66"/>
    <mergeCell ref="E64:F66"/>
    <mergeCell ref="U42:Z44"/>
    <mergeCell ref="P9:T11"/>
    <mergeCell ref="U9:Y11"/>
    <mergeCell ref="AC53:AE55"/>
    <mergeCell ref="B42:D44"/>
    <mergeCell ref="J42:M44"/>
    <mergeCell ref="N42:Q44"/>
    <mergeCell ref="R42:T44"/>
    <mergeCell ref="E42:I44"/>
    <mergeCell ref="AC20:AE22"/>
    <mergeCell ref="AA31:AE33"/>
    <mergeCell ref="B31:F33"/>
    <mergeCell ref="B20:G22"/>
    <mergeCell ref="G31:K33"/>
    <mergeCell ref="L31:P33"/>
    <mergeCell ref="Q31:U33"/>
    <mergeCell ref="V31:Z33"/>
    <mergeCell ref="X20:AB22"/>
    <mergeCell ref="M20:Q22"/>
    <mergeCell ref="AA42:AE44"/>
  </mergeCells>
  <phoneticPr fontId="0" type="noConversion"/>
  <pageMargins left="0.31496062992125984" right="0.11811023622047245" top="0.35433070866141736" bottom="0.4017857142857143" header="0.15748031496062992" footer="7.874015748031496E-2"/>
  <pageSetup paperSize="9" scale="65" orientation="landscape" r:id="rId1"/>
  <headerFooter alignWithMargins="0">
    <oddFooter>&amp;R&amp;P</oddFooter>
  </headerFooter>
  <rowBreaks count="2" manualBreakCount="2">
    <brk id="63" max="33" man="1"/>
    <brk id="119" max="33" man="1"/>
  </rowBreaks>
  <customProperties>
    <customPr name="DVSECTIONID" r:id="rId2"/>
  </customProperties>
  <ignoredErrors>
    <ignoredError sqref="F130:N130 E13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B2:O20"/>
  <sheetViews>
    <sheetView view="pageBreakPreview" zoomScale="80" zoomScaleNormal="77" zoomScaleSheetLayoutView="80" workbookViewId="0">
      <selection activeCell="B16" sqref="B16:C18"/>
    </sheetView>
  </sheetViews>
  <sheetFormatPr defaultRowHeight="12.75"/>
  <cols>
    <col min="1" max="1" width="2.140625" style="4" customWidth="1"/>
    <col min="2" max="2" width="26.7109375" style="52" customWidth="1"/>
    <col min="3" max="3" width="8.140625" style="162" customWidth="1"/>
    <col min="4" max="4" width="2.85546875" style="52" customWidth="1"/>
    <col min="5" max="5" width="26.7109375" style="52" customWidth="1"/>
    <col min="6" max="6" width="7.85546875" style="162" customWidth="1"/>
    <col min="7" max="7" width="2.85546875" style="52" customWidth="1"/>
    <col min="8" max="8" width="26.7109375" style="52" customWidth="1"/>
    <col min="9" max="9" width="7.85546875" style="162" customWidth="1"/>
    <col min="10" max="10" width="2.85546875" style="52" customWidth="1"/>
    <col min="11" max="11" width="26.7109375" style="52" customWidth="1"/>
    <col min="12" max="12" width="8.42578125" style="162" customWidth="1"/>
    <col min="13" max="13" width="2.85546875" style="52" customWidth="1"/>
    <col min="14" max="14" width="26.7109375" style="52" customWidth="1"/>
    <col min="15" max="15" width="8.42578125" style="52" customWidth="1"/>
    <col min="16" max="16384" width="9.140625" style="4"/>
  </cols>
  <sheetData>
    <row r="2" spans="2:15" ht="18.75">
      <c r="K2" s="1228" t="s">
        <v>211</v>
      </c>
      <c r="L2" s="1228"/>
      <c r="M2" s="1228"/>
      <c r="N2" s="1228"/>
      <c r="O2" s="647">
        <f>Шахм!R1</f>
        <v>0</v>
      </c>
    </row>
    <row r="3" spans="2:15" ht="14.25">
      <c r="K3" s="300"/>
      <c r="L3" s="300"/>
      <c r="M3" s="300"/>
      <c r="N3" s="300"/>
    </row>
    <row r="4" spans="2:15" ht="15">
      <c r="H4" s="325"/>
      <c r="I4" s="326"/>
      <c r="J4" s="325"/>
      <c r="K4" s="325"/>
      <c r="L4" s="326"/>
      <c r="M4" s="325"/>
      <c r="N4" s="325"/>
      <c r="O4" s="325"/>
    </row>
    <row r="5" spans="2:15" customFormat="1" ht="14.25">
      <c r="B5" s="1235" t="s">
        <v>212</v>
      </c>
      <c r="C5" s="1236"/>
      <c r="D5" s="257"/>
      <c r="E5" s="1235" t="s">
        <v>213</v>
      </c>
      <c r="F5" s="1236"/>
      <c r="G5" s="257"/>
      <c r="H5" s="1233" t="s">
        <v>666</v>
      </c>
      <c r="I5" s="1234"/>
      <c r="J5" s="327"/>
      <c r="K5" s="1233" t="s">
        <v>671</v>
      </c>
      <c r="L5" s="1234"/>
      <c r="M5" s="522"/>
      <c r="N5" s="1229" t="s">
        <v>672</v>
      </c>
      <c r="O5" s="1230"/>
    </row>
    <row r="6" spans="2:15" s="111" customFormat="1" ht="31.5">
      <c r="B6" s="294" t="s">
        <v>120</v>
      </c>
      <c r="C6" s="206" t="s">
        <v>111</v>
      </c>
      <c r="D6" s="257"/>
      <c r="E6" s="294" t="s">
        <v>110</v>
      </c>
      <c r="F6" s="206" t="s">
        <v>104</v>
      </c>
      <c r="G6" s="46" t="s">
        <v>553</v>
      </c>
      <c r="H6" s="525" t="s">
        <v>259</v>
      </c>
      <c r="I6" s="527" t="s">
        <v>219</v>
      </c>
      <c r="J6" s="735" t="s">
        <v>553</v>
      </c>
      <c r="K6" s="525" t="s">
        <v>261</v>
      </c>
      <c r="L6" s="527" t="s">
        <v>214</v>
      </c>
      <c r="M6" s="324"/>
      <c r="N6" s="521" t="s">
        <v>279</v>
      </c>
      <c r="O6" s="517" t="s">
        <v>280</v>
      </c>
    </row>
    <row r="7" spans="2:15" s="111" customFormat="1" ht="47.25">
      <c r="B7" s="294" t="s">
        <v>103</v>
      </c>
      <c r="C7" s="206" t="s">
        <v>104</v>
      </c>
      <c r="D7" s="257"/>
      <c r="E7" s="294" t="s">
        <v>106</v>
      </c>
      <c r="F7" s="206" t="s">
        <v>107</v>
      </c>
      <c r="G7" s="257"/>
      <c r="H7" s="525" t="s">
        <v>262</v>
      </c>
      <c r="I7" s="527" t="s">
        <v>219</v>
      </c>
      <c r="J7" s="323"/>
      <c r="K7" s="525" t="s">
        <v>264</v>
      </c>
      <c r="L7" s="527" t="s">
        <v>214</v>
      </c>
      <c r="M7" s="324"/>
      <c r="N7" s="524" t="s">
        <v>661</v>
      </c>
      <c r="O7" s="517" t="s">
        <v>280</v>
      </c>
    </row>
    <row r="8" spans="2:15" s="111" customFormat="1" ht="47.25">
      <c r="B8" s="294" t="s">
        <v>121</v>
      </c>
      <c r="C8" s="206" t="s">
        <v>105</v>
      </c>
      <c r="D8" s="257"/>
      <c r="E8" s="294" t="s">
        <v>189</v>
      </c>
      <c r="F8" s="206" t="s">
        <v>105</v>
      </c>
      <c r="G8" s="257"/>
      <c r="H8" s="298"/>
      <c r="I8" s="296"/>
      <c r="L8" s="297"/>
      <c r="O8" s="297"/>
    </row>
    <row r="9" spans="2:15" s="111" customFormat="1" ht="31.5">
      <c r="B9" s="294" t="s">
        <v>108</v>
      </c>
      <c r="C9" s="206" t="s">
        <v>105</v>
      </c>
      <c r="D9" s="257"/>
      <c r="E9" s="294" t="s">
        <v>109</v>
      </c>
      <c r="F9" s="206" t="s">
        <v>105</v>
      </c>
      <c r="G9" s="257"/>
      <c r="H9" s="298"/>
      <c r="I9" s="296"/>
      <c r="L9" s="297"/>
      <c r="O9" s="297"/>
    </row>
    <row r="10" spans="2:15" s="111" customFormat="1" ht="31.5">
      <c r="B10" s="294" t="s">
        <v>179</v>
      </c>
      <c r="C10" s="206" t="s">
        <v>180</v>
      </c>
      <c r="D10" s="257"/>
      <c r="E10" s="294" t="s">
        <v>181</v>
      </c>
      <c r="F10" s="206" t="s">
        <v>180</v>
      </c>
      <c r="G10" s="257"/>
      <c r="H10" s="298"/>
      <c r="I10" s="296"/>
      <c r="L10" s="297"/>
      <c r="O10" s="297"/>
    </row>
    <row r="11" spans="2:15" s="111" customFormat="1" ht="31.5">
      <c r="B11" s="294" t="s">
        <v>182</v>
      </c>
      <c r="C11" s="299" t="s">
        <v>183</v>
      </c>
      <c r="D11" s="257"/>
      <c r="E11" s="294" t="s">
        <v>184</v>
      </c>
      <c r="F11" s="299" t="s">
        <v>183</v>
      </c>
      <c r="G11" s="257"/>
      <c r="H11" s="298"/>
      <c r="I11" s="296"/>
      <c r="L11" s="297"/>
      <c r="O11" s="297"/>
    </row>
    <row r="12" spans="2:15" s="111" customFormat="1" ht="31.5">
      <c r="B12" s="294" t="s">
        <v>185</v>
      </c>
      <c r="C12" s="299" t="s">
        <v>119</v>
      </c>
      <c r="D12" s="257"/>
      <c r="E12" s="294" t="s">
        <v>186</v>
      </c>
      <c r="F12" s="299" t="s">
        <v>119</v>
      </c>
      <c r="G12" s="257"/>
      <c r="H12" s="298"/>
      <c r="I12" s="296"/>
      <c r="L12" s="297"/>
      <c r="O12" s="297"/>
    </row>
    <row r="13" spans="2:15" s="111" customFormat="1" ht="15.75">
      <c r="B13" s="294" t="s">
        <v>187</v>
      </c>
      <c r="C13" s="206" t="s">
        <v>118</v>
      </c>
      <c r="D13" s="257"/>
      <c r="E13" s="294" t="s">
        <v>188</v>
      </c>
      <c r="F13" s="206" t="s">
        <v>118</v>
      </c>
      <c r="G13" s="257"/>
      <c r="H13" s="298"/>
      <c r="I13" s="296"/>
      <c r="L13" s="297"/>
      <c r="O13" s="297"/>
    </row>
    <row r="14" spans="2:15" customFormat="1" ht="15.75">
      <c r="B14" s="111"/>
      <c r="C14" s="111"/>
      <c r="D14" s="111"/>
      <c r="E14" s="301"/>
      <c r="F14" s="111"/>
      <c r="G14" s="111"/>
      <c r="H14" s="111"/>
      <c r="I14" s="297"/>
      <c r="J14" s="111"/>
      <c r="K14" s="111"/>
      <c r="L14" s="297"/>
      <c r="M14" s="111"/>
      <c r="N14" s="111"/>
      <c r="O14" s="297"/>
    </row>
    <row r="15" spans="2:15" customFormat="1">
      <c r="B15" s="52"/>
      <c r="C15" s="162"/>
      <c r="D15" s="52"/>
      <c r="E15" s="52"/>
      <c r="F15" s="162"/>
      <c r="G15" s="257"/>
      <c r="H15" s="52"/>
      <c r="I15" s="162"/>
      <c r="J15" s="257"/>
      <c r="K15" s="52"/>
      <c r="L15" s="162"/>
      <c r="M15" s="111"/>
      <c r="N15" s="111"/>
      <c r="O15" s="297"/>
    </row>
    <row r="16" spans="2:15" customFormat="1" ht="15">
      <c r="B16" s="1231" t="s">
        <v>256</v>
      </c>
      <c r="C16" s="1232"/>
      <c r="D16" s="330"/>
      <c r="E16" s="52"/>
      <c r="F16" s="162"/>
      <c r="G16" s="331"/>
      <c r="H16" s="52"/>
      <c r="I16" s="162"/>
      <c r="J16" s="526"/>
      <c r="K16" s="52"/>
      <c r="L16" s="162"/>
      <c r="M16" s="526"/>
      <c r="N16" s="52"/>
      <c r="O16" s="52"/>
    </row>
    <row r="17" spans="2:15" s="111" customFormat="1" ht="15.75">
      <c r="B17" s="525" t="s">
        <v>668</v>
      </c>
      <c r="C17" s="517" t="s">
        <v>219</v>
      </c>
      <c r="D17" s="328"/>
      <c r="G17" s="328"/>
      <c r="J17" s="519"/>
      <c r="M17" s="519"/>
    </row>
    <row r="18" spans="2:15" s="111" customFormat="1" ht="50.25" customHeight="1">
      <c r="B18" s="525" t="s">
        <v>662</v>
      </c>
      <c r="C18" s="517" t="s">
        <v>219</v>
      </c>
      <c r="D18" s="329"/>
      <c r="G18" s="329"/>
      <c r="J18" s="520"/>
      <c r="M18" s="520"/>
    </row>
    <row r="19" spans="2:15" s="111" customFormat="1" ht="15.75">
      <c r="B19" s="295"/>
      <c r="C19" s="47"/>
      <c r="D19" s="257"/>
      <c r="E19" s="295"/>
      <c r="F19" s="47"/>
      <c r="G19" s="257"/>
      <c r="H19" s="295"/>
      <c r="I19" s="296"/>
      <c r="J19" s="257"/>
      <c r="K19" s="295"/>
      <c r="L19" s="47"/>
      <c r="M19" s="257"/>
      <c r="N19" s="295"/>
      <c r="O19" s="47"/>
    </row>
    <row r="20" spans="2:15" s="111" customFormat="1">
      <c r="B20" s="52"/>
      <c r="C20" s="162"/>
      <c r="D20" s="52"/>
      <c r="E20" s="52"/>
      <c r="F20" s="162"/>
      <c r="G20" s="52"/>
      <c r="H20" s="52"/>
      <c r="I20" s="162"/>
      <c r="J20" s="52"/>
      <c r="K20" s="52"/>
      <c r="L20" s="162"/>
      <c r="O20" s="297"/>
    </row>
  </sheetData>
  <mergeCells count="7">
    <mergeCell ref="K2:N2"/>
    <mergeCell ref="N5:O5"/>
    <mergeCell ref="B16:C16"/>
    <mergeCell ref="K5:L5"/>
    <mergeCell ref="H5:I5"/>
    <mergeCell ref="B5:C5"/>
    <mergeCell ref="E5:F5"/>
  </mergeCells>
  <phoneticPr fontId="5" type="noConversion"/>
  <printOptions horizontalCentered="1"/>
  <pageMargins left="0.19685039370078741" right="0.19685039370078741" top="0.47244094488188981" bottom="0.39370078740157483" header="0.15748031496062992" footer="0.19685039370078741"/>
  <pageSetup paperSize="9" scale="76" orientation="landscape" r:id="rId1"/>
  <customProperties>
    <customPr name="DVSECTION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>
  <sheetPr codeName="Лист3"/>
  <dimension ref="A1:O144"/>
  <sheetViews>
    <sheetView tabSelected="1" view="pageBreakPreview" topLeftCell="A10" zoomScale="110" zoomScaleSheetLayoutView="110" workbookViewId="0">
      <selection activeCell="A194" sqref="A194"/>
    </sheetView>
  </sheetViews>
  <sheetFormatPr defaultRowHeight="12.75"/>
  <cols>
    <col min="1" max="1" width="8" style="13" customWidth="1"/>
    <col min="2" max="2" width="23" style="297" customWidth="1"/>
    <col min="3" max="3" width="11.5703125" style="297" customWidth="1"/>
    <col min="4" max="5" width="4.5703125" style="13" customWidth="1"/>
    <col min="6" max="6" width="39.140625" style="297" customWidth="1"/>
    <col min="7" max="7" width="7.85546875" style="308" customWidth="1"/>
    <col min="8" max="8" width="9.7109375" style="308" customWidth="1"/>
    <col min="9" max="9" width="19.5703125" style="309" customWidth="1"/>
    <col min="10" max="16384" width="9.140625" style="13"/>
  </cols>
  <sheetData>
    <row r="1" spans="1:15" ht="24" customHeight="1">
      <c r="A1" s="60"/>
      <c r="B1" s="52"/>
      <c r="C1" s="51"/>
      <c r="D1" s="7"/>
      <c r="E1" s="7"/>
      <c r="F1" s="253" t="s">
        <v>126</v>
      </c>
      <c r="G1" s="252">
        <f>Шахм!R1</f>
        <v>0</v>
      </c>
      <c r="H1" s="262"/>
      <c r="I1" s="332">
        <f ca="1">Шахм!C5</f>
        <v>40805</v>
      </c>
    </row>
    <row r="2" spans="1:15" ht="18" customHeight="1">
      <c r="A2" s="60"/>
      <c r="B2" s="52"/>
      <c r="C2" s="74" t="s">
        <v>204</v>
      </c>
      <c r="D2" s="1262" t="str">
        <f>Шахм!N3</f>
        <v>090301  "Компьютерная безопасность"</v>
      </c>
      <c r="E2" s="1262"/>
      <c r="F2" s="1262"/>
      <c r="G2" s="1262"/>
      <c r="H2" s="1262"/>
      <c r="I2" s="1262"/>
      <c r="J2" s="1262"/>
      <c r="K2" s="248"/>
    </row>
    <row r="3" spans="1:15" ht="39" customHeight="1">
      <c r="B3" s="258" t="str">
        <f>Шахм!B4</f>
        <v xml:space="preserve">Специализация №8 </v>
      </c>
      <c r="C3" s="259">
        <f>Шахм!E4</f>
        <v>0</v>
      </c>
      <c r="D3" s="1263" t="str">
        <f>Шахм!F4</f>
        <v>"Информационная безопасность объектов информатизации на базе компьютерных систем"</v>
      </c>
      <c r="E3" s="1263"/>
      <c r="F3" s="1263"/>
      <c r="G3" s="1263"/>
      <c r="H3" s="1263"/>
      <c r="I3" s="1263"/>
    </row>
    <row r="4" spans="1:15" ht="6.75" customHeight="1">
      <c r="A4" s="246"/>
      <c r="B4" s="260"/>
      <c r="C4" s="260"/>
      <c r="D4" s="16"/>
      <c r="E4" s="16"/>
      <c r="F4" s="303"/>
      <c r="G4" s="304"/>
      <c r="H4" s="305"/>
      <c r="I4" s="306"/>
    </row>
    <row r="5" spans="1:15" s="297" customFormat="1" ht="22.5" customHeight="1">
      <c r="A5" s="1271" t="s">
        <v>50</v>
      </c>
      <c r="B5" s="1271"/>
      <c r="C5" s="1271"/>
      <c r="D5" s="1271"/>
      <c r="E5" s="1272"/>
      <c r="F5" s="1270" t="s">
        <v>16</v>
      </c>
      <c r="G5" s="1271"/>
      <c r="H5" s="1271"/>
      <c r="I5" s="1271"/>
      <c r="J5" s="558"/>
    </row>
    <row r="6" spans="1:15" s="297" customFormat="1" ht="39" customHeight="1">
      <c r="A6" s="19" t="s">
        <v>200</v>
      </c>
      <c r="B6" s="1268" t="s">
        <v>201</v>
      </c>
      <c r="C6" s="1273"/>
      <c r="D6" s="1268" t="s">
        <v>59</v>
      </c>
      <c r="E6" s="1269"/>
      <c r="F6" s="251" t="s">
        <v>201</v>
      </c>
      <c r="G6" s="251" t="s">
        <v>59</v>
      </c>
      <c r="H6" s="247" t="s">
        <v>202</v>
      </c>
      <c r="I6" s="19" t="s">
        <v>51</v>
      </c>
    </row>
    <row r="7" spans="1:15" s="297" customFormat="1" ht="25.5" customHeight="1">
      <c r="A7" s="559" t="s">
        <v>584</v>
      </c>
      <c r="B7" s="1266" t="s">
        <v>60</v>
      </c>
      <c r="C7" s="1267"/>
      <c r="D7" s="533">
        <v>32</v>
      </c>
      <c r="E7" s="533">
        <v>39</v>
      </c>
      <c r="F7" s="560" t="s">
        <v>60</v>
      </c>
      <c r="G7" s="861">
        <f>G8+G15</f>
        <v>35</v>
      </c>
      <c r="H7" s="517"/>
      <c r="I7" s="528"/>
    </row>
    <row r="8" spans="1:15" s="640" customFormat="1" ht="13.5">
      <c r="A8" s="535" t="s">
        <v>589</v>
      </c>
      <c r="B8" s="1254" t="s">
        <v>61</v>
      </c>
      <c r="C8" s="1255"/>
      <c r="D8" s="529">
        <v>24</v>
      </c>
      <c r="E8" s="529">
        <v>29</v>
      </c>
      <c r="F8" s="535" t="s">
        <v>61</v>
      </c>
      <c r="G8" s="862">
        <f>SUM(G9:G14)</f>
        <v>25</v>
      </c>
      <c r="H8" s="638"/>
      <c r="I8" s="639"/>
    </row>
    <row r="9" spans="1:15" s="640" customFormat="1">
      <c r="A9" s="561"/>
      <c r="B9" s="1276" t="s">
        <v>21</v>
      </c>
      <c r="C9" s="1277"/>
      <c r="D9" s="562"/>
      <c r="E9" s="561"/>
      <c r="F9" s="561" t="s">
        <v>21</v>
      </c>
      <c r="G9" s="863">
        <f>Шахм!F100</f>
        <v>3</v>
      </c>
      <c r="H9" s="517" t="s">
        <v>105</v>
      </c>
      <c r="I9" s="528"/>
      <c r="K9" s="897"/>
      <c r="L9" s="897"/>
      <c r="M9" s="897"/>
      <c r="N9" s="897"/>
      <c r="O9" s="897"/>
    </row>
    <row r="10" spans="1:15" s="297" customFormat="1">
      <c r="A10" s="561"/>
      <c r="B10" s="1276" t="s">
        <v>585</v>
      </c>
      <c r="C10" s="1277"/>
      <c r="D10" s="562"/>
      <c r="E10" s="561"/>
      <c r="F10" s="561" t="s">
        <v>58</v>
      </c>
      <c r="G10" s="863">
        <f>Шахм!H111</f>
        <v>4</v>
      </c>
      <c r="H10" s="517" t="s">
        <v>111</v>
      </c>
      <c r="I10" s="528"/>
      <c r="K10" s="302"/>
      <c r="L10" s="302"/>
      <c r="M10" s="302"/>
      <c r="N10" s="302"/>
      <c r="O10" s="302"/>
    </row>
    <row r="11" spans="1:15" s="297" customFormat="1" ht="13.5">
      <c r="A11" s="561"/>
      <c r="B11" s="1276" t="s">
        <v>17</v>
      </c>
      <c r="C11" s="1277"/>
      <c r="D11" s="562"/>
      <c r="E11" s="561"/>
      <c r="F11" s="561" t="s">
        <v>17</v>
      </c>
      <c r="G11" s="863">
        <f>Шахм!D111+Шахм!C100+Шахм!C89+Шахм!C78</f>
        <v>9</v>
      </c>
      <c r="H11" s="517" t="s">
        <v>117</v>
      </c>
      <c r="I11" s="528"/>
      <c r="K11" s="302"/>
      <c r="L11" s="898"/>
      <c r="M11" s="899"/>
      <c r="N11" s="900"/>
      <c r="O11" s="302"/>
    </row>
    <row r="12" spans="1:15" s="297" customFormat="1">
      <c r="A12" s="561"/>
      <c r="B12" s="1276" t="s">
        <v>586</v>
      </c>
      <c r="C12" s="1277"/>
      <c r="D12" s="561"/>
      <c r="E12" s="517"/>
      <c r="F12" s="563" t="s">
        <v>22</v>
      </c>
      <c r="G12" s="864">
        <f>Шахм!H100</f>
        <v>2</v>
      </c>
      <c r="H12" s="517" t="s">
        <v>118</v>
      </c>
      <c r="I12" s="531"/>
      <c r="K12" s="302"/>
      <c r="L12" s="901"/>
      <c r="M12" s="902"/>
      <c r="N12" s="900"/>
      <c r="O12" s="302"/>
    </row>
    <row r="13" spans="1:15" s="297" customFormat="1">
      <c r="A13" s="561"/>
      <c r="B13" s="1276" t="s">
        <v>19</v>
      </c>
      <c r="C13" s="1277"/>
      <c r="D13" s="561"/>
      <c r="E13" s="517"/>
      <c r="F13" s="254" t="s">
        <v>19</v>
      </c>
      <c r="G13" s="865">
        <f>Шахм!D67</f>
        <v>3</v>
      </c>
      <c r="H13" s="517" t="s">
        <v>111</v>
      </c>
      <c r="I13" s="531"/>
      <c r="K13" s="302"/>
      <c r="L13" s="302"/>
      <c r="M13" s="302"/>
      <c r="N13" s="302"/>
      <c r="O13" s="302"/>
    </row>
    <row r="14" spans="1:15" s="297" customFormat="1">
      <c r="B14" s="809" t="s">
        <v>587</v>
      </c>
      <c r="C14" s="810"/>
      <c r="D14" s="811"/>
      <c r="E14" s="811"/>
      <c r="F14" s="254" t="s">
        <v>268</v>
      </c>
      <c r="G14" s="865">
        <f>Шахм!G89</f>
        <v>4</v>
      </c>
      <c r="H14" s="517" t="s">
        <v>119</v>
      </c>
      <c r="I14" s="531"/>
      <c r="K14" s="302"/>
      <c r="L14" s="302"/>
      <c r="M14" s="302"/>
      <c r="N14" s="302"/>
      <c r="O14" s="302"/>
    </row>
    <row r="15" spans="1:15" s="566" customFormat="1" ht="13.5">
      <c r="A15" s="535" t="s">
        <v>590</v>
      </c>
      <c r="B15" s="1254" t="s">
        <v>64</v>
      </c>
      <c r="C15" s="1255"/>
      <c r="D15" s="552">
        <v>8</v>
      </c>
      <c r="E15" s="529">
        <v>10</v>
      </c>
      <c r="F15" s="535" t="s">
        <v>64</v>
      </c>
      <c r="G15" s="862">
        <f>SUM(G16:G18)</f>
        <v>10</v>
      </c>
      <c r="H15" s="517"/>
      <c r="I15" s="531"/>
      <c r="K15" s="903"/>
      <c r="L15" s="904"/>
      <c r="M15" s="903"/>
      <c r="N15" s="903"/>
      <c r="O15" s="903"/>
    </row>
    <row r="16" spans="1:15" s="566" customFormat="1" ht="25.5">
      <c r="A16" s="574"/>
      <c r="B16" s="812"/>
      <c r="C16" s="813"/>
      <c r="D16" s="571"/>
      <c r="E16" s="578"/>
      <c r="F16" s="254" t="s">
        <v>65</v>
      </c>
      <c r="G16" s="865">
        <v>3</v>
      </c>
      <c r="H16" s="517" t="s">
        <v>183</v>
      </c>
      <c r="I16" s="528"/>
      <c r="K16" s="903"/>
      <c r="L16" s="903"/>
      <c r="M16" s="903"/>
      <c r="N16" s="903"/>
      <c r="O16" s="903"/>
    </row>
    <row r="17" spans="1:11" s="566" customFormat="1">
      <c r="A17" s="567"/>
      <c r="B17" s="568"/>
      <c r="C17" s="569"/>
      <c r="D17" s="567"/>
      <c r="E17" s="570"/>
      <c r="F17" s="254" t="s">
        <v>20</v>
      </c>
      <c r="G17" s="865">
        <f>Шахм!C56</f>
        <v>2</v>
      </c>
      <c r="H17" s="517" t="s">
        <v>104</v>
      </c>
      <c r="I17" s="531"/>
    </row>
    <row r="18" spans="1:11" s="297" customFormat="1" ht="13.5">
      <c r="A18" s="571"/>
      <c r="B18" s="572"/>
      <c r="C18" s="573"/>
      <c r="D18" s="574"/>
      <c r="E18" s="575"/>
      <c r="F18" s="535" t="s">
        <v>66</v>
      </c>
      <c r="G18" s="866">
        <f>G19+G28</f>
        <v>5</v>
      </c>
      <c r="H18" s="517"/>
      <c r="I18" s="528"/>
    </row>
    <row r="19" spans="1:11" s="297" customFormat="1">
      <c r="A19" s="571"/>
      <c r="B19" s="576"/>
      <c r="C19" s="577"/>
      <c r="D19" s="571"/>
      <c r="E19" s="578"/>
      <c r="F19" s="552" t="s">
        <v>269</v>
      </c>
      <c r="G19" s="865">
        <f>Шахм!F67</f>
        <v>2</v>
      </c>
      <c r="H19" s="517"/>
      <c r="I19" s="528"/>
    </row>
    <row r="20" spans="1:11" s="297" customFormat="1">
      <c r="A20" s="571"/>
      <c r="B20" s="576"/>
      <c r="C20" s="577"/>
      <c r="D20" s="571"/>
      <c r="E20" s="578"/>
      <c r="F20" s="254" t="str">
        <f>ПрилШахм!B6</f>
        <v>Мировая культура: история и современность</v>
      </c>
      <c r="G20" s="867"/>
      <c r="H20" s="517" t="str">
        <f>ПрилШахм!C6</f>
        <v>ИКГП</v>
      </c>
      <c r="I20" s="531" t="s">
        <v>190</v>
      </c>
    </row>
    <row r="21" spans="1:11" s="297" customFormat="1">
      <c r="A21" s="571"/>
      <c r="B21" s="576"/>
      <c r="C21" s="577"/>
      <c r="D21" s="571"/>
      <c r="E21" s="578"/>
      <c r="F21" s="254" t="str">
        <f>ПрилШахм!B7</f>
        <v>Организационное поведение</v>
      </c>
      <c r="G21" s="867"/>
      <c r="H21" s="517" t="str">
        <f>ПрилШахм!C7</f>
        <v>СП</v>
      </c>
      <c r="I21" s="531" t="s">
        <v>297</v>
      </c>
    </row>
    <row r="22" spans="1:11" s="297" customFormat="1" ht="25.5">
      <c r="A22" s="571"/>
      <c r="B22" s="576"/>
      <c r="C22" s="577"/>
      <c r="D22" s="571"/>
      <c r="E22" s="578"/>
      <c r="F22" s="254" t="str">
        <f>ПрилШахм!B8</f>
        <v>Психология личности. Теория и практика самопознания</v>
      </c>
      <c r="G22" s="867"/>
      <c r="H22" s="517" t="str">
        <f>ПрилШахм!C8</f>
        <v>ФЛ</v>
      </c>
      <c r="I22" s="531" t="s">
        <v>191</v>
      </c>
    </row>
    <row r="23" spans="1:11" s="297" customFormat="1">
      <c r="A23" s="571"/>
      <c r="B23" s="576"/>
      <c r="C23" s="577"/>
      <c r="D23" s="571"/>
      <c r="E23" s="578"/>
      <c r="F23" s="254" t="str">
        <f>ПрилШахм!B9</f>
        <v>Профессиональная этика</v>
      </c>
      <c r="G23" s="867"/>
      <c r="H23" s="517" t="str">
        <f>ПрилШахм!C9</f>
        <v>ФЛ</v>
      </c>
      <c r="I23" s="531" t="s">
        <v>192</v>
      </c>
    </row>
    <row r="24" spans="1:11" s="297" customFormat="1">
      <c r="A24" s="571"/>
      <c r="B24" s="576"/>
      <c r="C24" s="577"/>
      <c r="D24" s="571"/>
      <c r="E24" s="578"/>
      <c r="F24" s="254" t="str">
        <f>ПрилШахм!B10</f>
        <v>Основы обеспечения качества</v>
      </c>
      <c r="G24" s="867"/>
      <c r="H24" s="517" t="str">
        <f>ПрилШахм!C10</f>
        <v>МСК</v>
      </c>
      <c r="I24" s="531" t="s">
        <v>298</v>
      </c>
    </row>
    <row r="25" spans="1:11" s="297" customFormat="1">
      <c r="A25" s="571"/>
      <c r="B25" s="576"/>
      <c r="C25" s="577"/>
      <c r="D25" s="571"/>
      <c r="E25" s="578"/>
      <c r="F25" s="254" t="str">
        <f>ПрилШахм!B11</f>
        <v>Маркетинг</v>
      </c>
      <c r="G25" s="867"/>
      <c r="H25" s="517" t="str">
        <f>ПрилШахм!C11</f>
        <v>ИМ</v>
      </c>
      <c r="I25" s="531" t="s">
        <v>299</v>
      </c>
    </row>
    <row r="26" spans="1:11" s="297" customFormat="1">
      <c r="A26" s="571"/>
      <c r="B26" s="576"/>
      <c r="C26" s="577"/>
      <c r="D26" s="571"/>
      <c r="E26" s="578"/>
      <c r="F26" s="254" t="str">
        <f>ПрилШахм!B12</f>
        <v>Управление личными финансами</v>
      </c>
      <c r="G26" s="867"/>
      <c r="H26" s="517" t="str">
        <f>ПрилШахм!C12</f>
        <v>ПЭ</v>
      </c>
      <c r="I26" s="531" t="s">
        <v>300</v>
      </c>
    </row>
    <row r="27" spans="1:11" s="297" customFormat="1">
      <c r="A27" s="571"/>
      <c r="B27" s="576"/>
      <c r="C27" s="577"/>
      <c r="D27" s="571"/>
      <c r="E27" s="578"/>
      <c r="F27" s="254" t="str">
        <f>ПрилШахм!B13</f>
        <v>Основы бизнеса</v>
      </c>
      <c r="G27" s="868"/>
      <c r="H27" s="517" t="str">
        <f>ПрилШахм!C13</f>
        <v>ЭТ</v>
      </c>
      <c r="I27" s="531" t="s">
        <v>301</v>
      </c>
    </row>
    <row r="28" spans="1:11" s="297" customFormat="1">
      <c r="A28" s="571"/>
      <c r="B28" s="576"/>
      <c r="C28" s="577"/>
      <c r="D28" s="571"/>
      <c r="E28" s="578"/>
      <c r="F28" s="552" t="s">
        <v>270</v>
      </c>
      <c r="G28" s="865">
        <f>Шахм!F56</f>
        <v>3</v>
      </c>
      <c r="H28" s="517"/>
      <c r="I28" s="531"/>
      <c r="K28" s="302"/>
    </row>
    <row r="29" spans="1:11" s="297" customFormat="1">
      <c r="A29" s="571"/>
      <c r="B29" s="576"/>
      <c r="C29" s="577"/>
      <c r="D29" s="571"/>
      <c r="E29" s="578"/>
      <c r="F29" s="254" t="str">
        <f>ПрилШахм!E6</f>
        <v xml:space="preserve">Межличностное общение </v>
      </c>
      <c r="G29" s="869"/>
      <c r="H29" s="517" t="str">
        <f>ПрилШахм!F6</f>
        <v>СП</v>
      </c>
      <c r="I29" s="531" t="s">
        <v>302</v>
      </c>
    </row>
    <row r="30" spans="1:11" s="297" customFormat="1">
      <c r="A30" s="571"/>
      <c r="B30" s="576"/>
      <c r="C30" s="577"/>
      <c r="D30" s="571"/>
      <c r="E30" s="578"/>
      <c r="F30" s="254" t="str">
        <f>ПрилШахм!E7</f>
        <v>Русский язык и культура речи</v>
      </c>
      <c r="G30" s="867"/>
      <c r="H30" s="517" t="str">
        <f>ПрилШахм!F7</f>
        <v>РЯ</v>
      </c>
      <c r="I30" s="531" t="s">
        <v>193</v>
      </c>
      <c r="K30" s="302"/>
    </row>
    <row r="31" spans="1:11" s="297" customFormat="1">
      <c r="A31" s="571"/>
      <c r="B31" s="576"/>
      <c r="C31" s="577"/>
      <c r="D31" s="571"/>
      <c r="E31" s="578"/>
      <c r="F31" s="254" t="str">
        <f>ПрилШахм!E8</f>
        <v xml:space="preserve">Теория и практика аргументации </v>
      </c>
      <c r="G31" s="867"/>
      <c r="H31" s="517" t="str">
        <f>ПрилШахм!F8</f>
        <v>ФЛ</v>
      </c>
      <c r="I31" s="531" t="s">
        <v>194</v>
      </c>
    </row>
    <row r="32" spans="1:11" s="297" customFormat="1">
      <c r="A32" s="571"/>
      <c r="B32" s="576"/>
      <c r="C32" s="577"/>
      <c r="D32" s="571"/>
      <c r="E32" s="578"/>
      <c r="F32" s="254" t="str">
        <f>ПрилШахм!E9</f>
        <v>Психология делового общения</v>
      </c>
      <c r="G32" s="867"/>
      <c r="H32" s="517" t="str">
        <f>ПрилШахм!F9</f>
        <v>ФЛ</v>
      </c>
      <c r="I32" s="531" t="s">
        <v>195</v>
      </c>
    </row>
    <row r="33" spans="1:12" s="297" customFormat="1">
      <c r="A33" s="571"/>
      <c r="B33" s="576"/>
      <c r="C33" s="577"/>
      <c r="D33" s="571"/>
      <c r="E33" s="578"/>
      <c r="F33" s="579" t="str">
        <f>ПрилШахм!E10</f>
        <v>Управленческие решения</v>
      </c>
      <c r="G33" s="867"/>
      <c r="H33" s="517" t="str">
        <f>ПрилШахм!F10</f>
        <v>МСК</v>
      </c>
      <c r="I33" s="531" t="s">
        <v>303</v>
      </c>
    </row>
    <row r="34" spans="1:12" s="297" customFormat="1">
      <c r="A34" s="571"/>
      <c r="B34" s="576"/>
      <c r="C34" s="577"/>
      <c r="D34" s="571"/>
      <c r="E34" s="578"/>
      <c r="F34" s="579" t="str">
        <f>ПрилШахм!E11</f>
        <v>Основы управления коллективом</v>
      </c>
      <c r="G34" s="867"/>
      <c r="H34" s="517" t="str">
        <f>ПрилШахм!F11</f>
        <v>ИМ</v>
      </c>
      <c r="I34" s="531" t="s">
        <v>304</v>
      </c>
    </row>
    <row r="35" spans="1:12" s="297" customFormat="1">
      <c r="A35" s="571"/>
      <c r="B35" s="576"/>
      <c r="C35" s="577"/>
      <c r="D35" s="571"/>
      <c r="E35" s="578"/>
      <c r="F35" s="579" t="str">
        <f>ПрилШахм!E12</f>
        <v>Бизнес-планирование</v>
      </c>
      <c r="G35" s="867"/>
      <c r="H35" s="517" t="str">
        <f>ПрилШахм!F12</f>
        <v>ПЭ</v>
      </c>
      <c r="I35" s="531" t="s">
        <v>305</v>
      </c>
    </row>
    <row r="36" spans="1:12" s="297" customFormat="1">
      <c r="A36" s="580"/>
      <c r="B36" s="581"/>
      <c r="C36" s="582"/>
      <c r="D36" s="580"/>
      <c r="E36" s="583"/>
      <c r="F36" s="579" t="str">
        <f>ПрилШахм!E13</f>
        <v>Рынок ценных бумаг</v>
      </c>
      <c r="G36" s="869"/>
      <c r="H36" s="517" t="str">
        <f>ПрилШахм!F13</f>
        <v>ЭТ</v>
      </c>
      <c r="I36" s="531" t="s">
        <v>306</v>
      </c>
    </row>
    <row r="37" spans="1:12" s="297" customFormat="1" ht="27" customHeight="1">
      <c r="A37" s="584" t="s">
        <v>588</v>
      </c>
      <c r="B37" s="1266" t="s">
        <v>68</v>
      </c>
      <c r="C37" s="1267"/>
      <c r="D37" s="550">
        <v>90</v>
      </c>
      <c r="E37" s="550">
        <v>98</v>
      </c>
      <c r="F37" s="551" t="s">
        <v>68</v>
      </c>
      <c r="G37" s="870">
        <f>G38+G58</f>
        <v>96</v>
      </c>
      <c r="H37" s="517"/>
      <c r="I37" s="528"/>
    </row>
    <row r="38" spans="1:12" s="640" customFormat="1" ht="13.5">
      <c r="A38" s="641" t="s">
        <v>605</v>
      </c>
      <c r="B38" s="1282" t="s">
        <v>61</v>
      </c>
      <c r="C38" s="1283"/>
      <c r="D38" s="642">
        <v>74</v>
      </c>
      <c r="E38" s="643">
        <v>78</v>
      </c>
      <c r="F38" s="641" t="s">
        <v>61</v>
      </c>
      <c r="G38" s="871">
        <f>SUM(G39:G57)</f>
        <v>77</v>
      </c>
      <c r="H38" s="638"/>
      <c r="I38" s="639"/>
    </row>
    <row r="39" spans="1:12" s="297" customFormat="1">
      <c r="A39" s="567"/>
      <c r="B39" s="1278" t="s">
        <v>84</v>
      </c>
      <c r="C39" s="1279"/>
      <c r="D39" s="587"/>
      <c r="E39" s="555"/>
      <c r="F39" s="523" t="s">
        <v>84</v>
      </c>
      <c r="G39" s="872">
        <f>Шахм!Q111</f>
        <v>5</v>
      </c>
      <c r="H39" s="517" t="s">
        <v>220</v>
      </c>
      <c r="I39" s="528"/>
      <c r="L39" s="588"/>
    </row>
    <row r="40" spans="1:12" s="297" customFormat="1" ht="25.5">
      <c r="A40" s="567"/>
      <c r="B40" s="821"/>
      <c r="C40" s="822"/>
      <c r="D40" s="587"/>
      <c r="E40" s="555"/>
      <c r="F40" s="618" t="s">
        <v>273</v>
      </c>
      <c r="G40" s="873">
        <v>4</v>
      </c>
      <c r="H40" s="19" t="s">
        <v>220</v>
      </c>
      <c r="I40" s="528"/>
      <c r="L40" s="588"/>
    </row>
    <row r="41" spans="1:12" s="297" customFormat="1" ht="25.5">
      <c r="A41" s="567"/>
      <c r="B41" s="821"/>
      <c r="C41" s="822"/>
      <c r="D41" s="587"/>
      <c r="E41" s="555"/>
      <c r="F41" s="618" t="s">
        <v>225</v>
      </c>
      <c r="G41" s="873">
        <v>4</v>
      </c>
      <c r="H41" s="19" t="s">
        <v>220</v>
      </c>
      <c r="I41" s="528"/>
      <c r="L41" s="588"/>
    </row>
    <row r="42" spans="1:12" s="297" customFormat="1">
      <c r="A42" s="567"/>
      <c r="B42" s="1274" t="s">
        <v>591</v>
      </c>
      <c r="C42" s="1275"/>
      <c r="D42" s="587"/>
      <c r="E42" s="555"/>
      <c r="F42" s="598" t="s">
        <v>83</v>
      </c>
      <c r="G42" s="872">
        <f>Шахм!U111</f>
        <v>4</v>
      </c>
      <c r="H42" s="517" t="s">
        <v>220</v>
      </c>
      <c r="I42" s="528"/>
      <c r="L42" s="588"/>
    </row>
    <row r="43" spans="1:12" s="297" customFormat="1">
      <c r="A43" s="561"/>
      <c r="B43" s="1280" t="s">
        <v>592</v>
      </c>
      <c r="C43" s="1281"/>
      <c r="D43" s="523"/>
      <c r="E43" s="527"/>
      <c r="F43" s="618" t="s">
        <v>226</v>
      </c>
      <c r="G43" s="873">
        <v>4</v>
      </c>
      <c r="H43" s="19" t="s">
        <v>220</v>
      </c>
      <c r="I43" s="528"/>
      <c r="L43" s="588"/>
    </row>
    <row r="44" spans="1:12" s="297" customFormat="1">
      <c r="A44" s="561"/>
      <c r="B44" s="814"/>
      <c r="C44" s="815"/>
      <c r="D44" s="523"/>
      <c r="E44" s="527"/>
      <c r="F44" s="618" t="s">
        <v>686</v>
      </c>
      <c r="G44" s="873">
        <v>3</v>
      </c>
      <c r="H44" s="19" t="s">
        <v>220</v>
      </c>
      <c r="I44" s="528"/>
      <c r="L44" s="588"/>
    </row>
    <row r="45" spans="1:12" s="297" customFormat="1" ht="26.25" customHeight="1">
      <c r="A45" s="552"/>
      <c r="B45" s="1248" t="s">
        <v>271</v>
      </c>
      <c r="C45" s="1249"/>
      <c r="D45" s="516"/>
      <c r="E45" s="534"/>
      <c r="F45" s="516" t="s">
        <v>271</v>
      </c>
      <c r="G45" s="874">
        <f>Шахм!O89</f>
        <v>4</v>
      </c>
      <c r="H45" s="517" t="s">
        <v>220</v>
      </c>
      <c r="I45" s="528"/>
      <c r="L45" s="588"/>
    </row>
    <row r="46" spans="1:12" s="297" customFormat="1" ht="27.75" customHeight="1">
      <c r="A46" s="552"/>
      <c r="B46" s="1248" t="s">
        <v>272</v>
      </c>
      <c r="C46" s="1249"/>
      <c r="D46" s="516"/>
      <c r="E46" s="534"/>
      <c r="F46" s="516" t="s">
        <v>272</v>
      </c>
      <c r="G46" s="874">
        <v>4</v>
      </c>
      <c r="H46" s="517" t="s">
        <v>220</v>
      </c>
      <c r="I46" s="528"/>
      <c r="L46" s="588"/>
    </row>
    <row r="47" spans="1:12" s="297" customFormat="1">
      <c r="A47" s="552"/>
      <c r="B47" s="1248" t="s">
        <v>223</v>
      </c>
      <c r="C47" s="1249"/>
      <c r="D47" s="516"/>
      <c r="E47" s="534"/>
      <c r="F47" s="518" t="s">
        <v>223</v>
      </c>
      <c r="G47" s="874">
        <f>Шахм!M100</f>
        <v>5</v>
      </c>
      <c r="H47" s="517" t="s">
        <v>220</v>
      </c>
      <c r="I47" s="528"/>
      <c r="L47" s="588"/>
    </row>
    <row r="48" spans="1:12" s="297" customFormat="1" ht="18.75" customHeight="1">
      <c r="A48" s="816"/>
      <c r="B48" s="1284" t="s">
        <v>593</v>
      </c>
      <c r="C48" s="1284"/>
      <c r="D48" s="816"/>
      <c r="E48" s="816"/>
      <c r="F48" s="816" t="s">
        <v>281</v>
      </c>
      <c r="G48" s="875">
        <v>5</v>
      </c>
      <c r="H48" s="206" t="s">
        <v>219</v>
      </c>
      <c r="I48" s="816"/>
    </row>
    <row r="49" spans="1:9" s="297" customFormat="1" ht="18.75" customHeight="1">
      <c r="A49" s="816"/>
      <c r="B49" s="1284" t="s">
        <v>594</v>
      </c>
      <c r="C49" s="1284"/>
      <c r="D49" s="816"/>
      <c r="E49" s="816"/>
      <c r="F49" s="618" t="s">
        <v>85</v>
      </c>
      <c r="G49" s="873">
        <f>Шахм!Y111</f>
        <v>4</v>
      </c>
      <c r="H49" s="19" t="s">
        <v>113</v>
      </c>
      <c r="I49" s="528"/>
    </row>
    <row r="50" spans="1:9" s="297" customFormat="1" ht="18.75" customHeight="1">
      <c r="A50" s="816"/>
      <c r="B50" s="1285"/>
      <c r="C50" s="1286"/>
      <c r="D50" s="816"/>
      <c r="E50" s="816"/>
      <c r="F50" s="523" t="s">
        <v>86</v>
      </c>
      <c r="G50" s="872">
        <f>Шахм!Y100</f>
        <v>4</v>
      </c>
      <c r="H50" s="517" t="s">
        <v>113</v>
      </c>
      <c r="I50" s="528"/>
    </row>
    <row r="51" spans="1:9" s="297" customFormat="1" ht="18.75" customHeight="1">
      <c r="A51" s="816"/>
      <c r="B51" s="1285"/>
      <c r="C51" s="1286"/>
      <c r="D51" s="816"/>
      <c r="E51" s="816"/>
      <c r="F51" s="523" t="s">
        <v>224</v>
      </c>
      <c r="G51" s="872">
        <f>Шахм!V89</f>
        <v>3</v>
      </c>
      <c r="H51" s="517" t="s">
        <v>113</v>
      </c>
      <c r="I51" s="528"/>
    </row>
    <row r="52" spans="1:9" s="297" customFormat="1">
      <c r="A52" s="820"/>
      <c r="B52" s="1287" t="s">
        <v>227</v>
      </c>
      <c r="C52" s="1287"/>
      <c r="D52" s="618"/>
      <c r="E52" s="251"/>
      <c r="F52" s="618" t="s">
        <v>227</v>
      </c>
      <c r="G52" s="873">
        <f>Шахм!L111</f>
        <v>4</v>
      </c>
      <c r="H52" s="19" t="s">
        <v>219</v>
      </c>
      <c r="I52" s="528" t="s">
        <v>307</v>
      </c>
    </row>
    <row r="53" spans="1:9" s="297" customFormat="1">
      <c r="A53" s="820"/>
      <c r="B53" s="823"/>
      <c r="C53" s="824"/>
      <c r="D53" s="618"/>
      <c r="E53" s="251"/>
      <c r="F53" s="618" t="s">
        <v>260</v>
      </c>
      <c r="G53" s="873">
        <v>4</v>
      </c>
      <c r="H53" s="19" t="s">
        <v>219</v>
      </c>
      <c r="I53" s="528" t="s">
        <v>331</v>
      </c>
    </row>
    <row r="54" spans="1:9" s="297" customFormat="1" ht="25.5">
      <c r="A54" s="820"/>
      <c r="B54" s="823"/>
      <c r="C54" s="824"/>
      <c r="D54" s="618"/>
      <c r="E54" s="251"/>
      <c r="F54" s="618" t="s">
        <v>598</v>
      </c>
      <c r="G54" s="873">
        <v>3</v>
      </c>
      <c r="H54" s="19" t="s">
        <v>219</v>
      </c>
      <c r="I54" s="528" t="s">
        <v>641</v>
      </c>
    </row>
    <row r="55" spans="1:9" s="297" customFormat="1">
      <c r="A55" s="820"/>
      <c r="B55" s="823"/>
      <c r="C55" s="824"/>
      <c r="D55" s="618"/>
      <c r="E55" s="251"/>
      <c r="F55" s="516" t="s">
        <v>231</v>
      </c>
      <c r="G55" s="874">
        <f>Шахм!AA89</f>
        <v>5</v>
      </c>
      <c r="H55" s="517" t="s">
        <v>101</v>
      </c>
      <c r="I55" s="541" t="s">
        <v>309</v>
      </c>
    </row>
    <row r="56" spans="1:9" s="297" customFormat="1">
      <c r="A56" s="820"/>
      <c r="B56" s="823"/>
      <c r="C56" s="824"/>
      <c r="D56" s="618"/>
      <c r="E56" s="251"/>
      <c r="F56" s="618" t="s">
        <v>221</v>
      </c>
      <c r="G56" s="873">
        <v>5</v>
      </c>
      <c r="H56" s="19" t="s">
        <v>219</v>
      </c>
      <c r="I56" s="528" t="s">
        <v>312</v>
      </c>
    </row>
    <row r="57" spans="1:9" s="297" customFormat="1">
      <c r="A57" s="820"/>
      <c r="B57" s="823"/>
      <c r="C57" s="824"/>
      <c r="D57" s="618"/>
      <c r="E57" s="251"/>
      <c r="F57" s="618" t="s">
        <v>254</v>
      </c>
      <c r="G57" s="873">
        <v>3</v>
      </c>
      <c r="H57" s="19" t="s">
        <v>220</v>
      </c>
      <c r="I57" s="528"/>
    </row>
    <row r="58" spans="1:9" s="297" customFormat="1" ht="13.5">
      <c r="A58" s="817" t="s">
        <v>606</v>
      </c>
      <c r="B58" s="1264" t="s">
        <v>64</v>
      </c>
      <c r="C58" s="1265"/>
      <c r="D58" s="818">
        <v>16</v>
      </c>
      <c r="E58" s="819">
        <v>20</v>
      </c>
      <c r="F58" s="818" t="s">
        <v>64</v>
      </c>
      <c r="G58" s="876">
        <f>SUM(G59:G63)</f>
        <v>19</v>
      </c>
      <c r="H58" s="19"/>
      <c r="I58" s="528"/>
    </row>
    <row r="59" spans="1:9" s="297" customFormat="1" ht="13.5">
      <c r="A59" s="851"/>
      <c r="B59" s="852"/>
      <c r="C59" s="853"/>
      <c r="D59" s="854"/>
      <c r="E59" s="855"/>
      <c r="F59" s="516" t="s">
        <v>522</v>
      </c>
      <c r="G59" s="874">
        <v>2</v>
      </c>
      <c r="H59" s="517" t="s">
        <v>101</v>
      </c>
      <c r="I59" s="544" t="s">
        <v>328</v>
      </c>
    </row>
    <row r="60" spans="1:9" s="297" customFormat="1" ht="13.5">
      <c r="A60" s="851"/>
      <c r="B60" s="852"/>
      <c r="C60" s="853"/>
      <c r="D60" s="854"/>
      <c r="E60" s="855"/>
      <c r="F60" s="618" t="s">
        <v>24</v>
      </c>
      <c r="G60" s="873">
        <f>Шахм!H78</f>
        <v>2</v>
      </c>
      <c r="H60" s="19" t="s">
        <v>114</v>
      </c>
      <c r="I60" s="528"/>
    </row>
    <row r="61" spans="1:9" s="297" customFormat="1">
      <c r="A61" s="567"/>
      <c r="B61" s="585"/>
      <c r="C61" s="586"/>
      <c r="D61" s="587"/>
      <c r="E61" s="555"/>
      <c r="F61" s="618" t="s">
        <v>274</v>
      </c>
      <c r="G61" s="873">
        <v>5</v>
      </c>
      <c r="H61" s="19" t="s">
        <v>214</v>
      </c>
      <c r="I61" s="528" t="s">
        <v>311</v>
      </c>
    </row>
    <row r="62" spans="1:9" s="297" customFormat="1">
      <c r="A62" s="567"/>
      <c r="B62" s="585"/>
      <c r="C62" s="586"/>
      <c r="D62" s="587"/>
      <c r="E62" s="555"/>
      <c r="F62" s="516" t="s">
        <v>284</v>
      </c>
      <c r="G62" s="874">
        <f>Шахм!Z45</f>
        <v>6</v>
      </c>
      <c r="H62" s="517" t="s">
        <v>219</v>
      </c>
      <c r="I62" s="541" t="s">
        <v>322</v>
      </c>
    </row>
    <row r="63" spans="1:9" s="297" customFormat="1" ht="13.5">
      <c r="A63" s="567"/>
      <c r="B63" s="585"/>
      <c r="C63" s="586"/>
      <c r="D63" s="587"/>
      <c r="E63" s="555"/>
      <c r="F63" s="535" t="s">
        <v>66</v>
      </c>
      <c r="G63" s="866">
        <f>G64</f>
        <v>4</v>
      </c>
      <c r="H63" s="517"/>
      <c r="I63" s="541"/>
    </row>
    <row r="64" spans="1:9" s="297" customFormat="1">
      <c r="A64" s="567"/>
      <c r="B64" s="585"/>
      <c r="C64" s="586"/>
      <c r="D64" s="587"/>
      <c r="E64" s="555"/>
      <c r="F64" s="552" t="s">
        <v>670</v>
      </c>
      <c r="G64" s="874">
        <v>4</v>
      </c>
      <c r="H64" s="517"/>
      <c r="I64" s="541"/>
    </row>
    <row r="65" spans="1:9" s="297" customFormat="1">
      <c r="A65" s="567"/>
      <c r="B65" s="585"/>
      <c r="C65" s="586"/>
      <c r="D65" s="587"/>
      <c r="E65" s="555"/>
      <c r="F65" s="516" t="s">
        <v>526</v>
      </c>
      <c r="G65" s="874"/>
      <c r="H65" s="517" t="s">
        <v>214</v>
      </c>
      <c r="I65" s="541" t="s">
        <v>332</v>
      </c>
    </row>
    <row r="66" spans="1:9" s="297" customFormat="1" ht="28.5" customHeight="1">
      <c r="A66" s="567"/>
      <c r="B66" s="585"/>
      <c r="C66" s="586"/>
      <c r="D66" s="587"/>
      <c r="E66" s="555"/>
      <c r="F66" s="516" t="s">
        <v>264</v>
      </c>
      <c r="G66" s="874"/>
      <c r="H66" s="517" t="s">
        <v>214</v>
      </c>
      <c r="I66" s="541"/>
    </row>
    <row r="67" spans="1:9" s="309" customFormat="1">
      <c r="A67" s="552" t="s">
        <v>607</v>
      </c>
      <c r="B67" s="1252" t="s">
        <v>72</v>
      </c>
      <c r="C67" s="1253"/>
      <c r="D67" s="542">
        <v>145</v>
      </c>
      <c r="E67" s="542">
        <v>155</v>
      </c>
      <c r="F67" s="553" t="s">
        <v>72</v>
      </c>
      <c r="G67" s="850">
        <f>G68+G98</f>
        <v>155</v>
      </c>
      <c r="H67" s="517"/>
      <c r="I67" s="541"/>
    </row>
    <row r="68" spans="1:9" s="645" customFormat="1" ht="12.75" customHeight="1">
      <c r="A68" s="535" t="s">
        <v>608</v>
      </c>
      <c r="B68" s="1254" t="s">
        <v>61</v>
      </c>
      <c r="C68" s="1255"/>
      <c r="D68" s="532">
        <v>117</v>
      </c>
      <c r="E68" s="537">
        <v>123</v>
      </c>
      <c r="F68" s="535" t="s">
        <v>61</v>
      </c>
      <c r="G68" s="877">
        <f>SUM(G69:G97)</f>
        <v>123</v>
      </c>
      <c r="H68" s="638"/>
      <c r="I68" s="644"/>
    </row>
    <row r="69" spans="1:9" s="309" customFormat="1">
      <c r="A69" s="552"/>
      <c r="B69" s="1248" t="s">
        <v>25</v>
      </c>
      <c r="C69" s="1249"/>
      <c r="D69" s="604"/>
      <c r="E69" s="540"/>
      <c r="F69" s="516" t="s">
        <v>25</v>
      </c>
      <c r="G69" s="874">
        <f>Шахм!D45</f>
        <v>3</v>
      </c>
      <c r="H69" s="517" t="s">
        <v>116</v>
      </c>
      <c r="I69" s="541"/>
    </row>
    <row r="70" spans="1:9" s="309" customFormat="1" ht="12.75" customHeight="1">
      <c r="A70" s="516"/>
      <c r="B70" s="1245" t="s">
        <v>609</v>
      </c>
      <c r="C70" s="1245"/>
      <c r="D70" s="516"/>
      <c r="E70" s="534"/>
      <c r="F70" s="516" t="s">
        <v>228</v>
      </c>
      <c r="G70" s="874">
        <f>Шахм!AE111</f>
        <v>6</v>
      </c>
      <c r="H70" s="517" t="s">
        <v>219</v>
      </c>
      <c r="I70" s="541" t="s">
        <v>308</v>
      </c>
    </row>
    <row r="71" spans="1:9" s="309" customFormat="1">
      <c r="A71" s="591"/>
      <c r="B71" s="1260"/>
      <c r="C71" s="1261"/>
      <c r="D71" s="591"/>
      <c r="E71" s="539"/>
      <c r="F71" s="516" t="s">
        <v>229</v>
      </c>
      <c r="G71" s="874">
        <f>Шахм!AD100</f>
        <v>5</v>
      </c>
      <c r="H71" s="517" t="s">
        <v>219</v>
      </c>
      <c r="I71" s="541" t="s">
        <v>308</v>
      </c>
    </row>
    <row r="72" spans="1:9" s="309" customFormat="1" ht="15" customHeight="1">
      <c r="A72" s="553"/>
      <c r="B72" s="1245" t="s">
        <v>610</v>
      </c>
      <c r="C72" s="1245"/>
      <c r="D72" s="553"/>
      <c r="E72" s="542"/>
      <c r="F72" s="516" t="s">
        <v>235</v>
      </c>
      <c r="G72" s="874">
        <f>Шахм!AE89</f>
        <v>4</v>
      </c>
      <c r="H72" s="517" t="s">
        <v>219</v>
      </c>
      <c r="I72" s="541" t="s">
        <v>314</v>
      </c>
    </row>
    <row r="73" spans="1:9" s="309" customFormat="1" ht="28.5" customHeight="1">
      <c r="A73" s="608"/>
      <c r="B73" s="825"/>
      <c r="C73" s="826"/>
      <c r="D73" s="608"/>
      <c r="E73" s="611"/>
      <c r="F73" s="523" t="s">
        <v>283</v>
      </c>
      <c r="G73" s="874">
        <f>Шахм!AB56</f>
        <v>4</v>
      </c>
      <c r="H73" s="517" t="s">
        <v>219</v>
      </c>
      <c r="I73" s="541" t="s">
        <v>321</v>
      </c>
    </row>
    <row r="74" spans="1:9" s="309" customFormat="1" ht="28.5" customHeight="1">
      <c r="A74" s="553"/>
      <c r="B74" s="1245" t="s">
        <v>611</v>
      </c>
      <c r="C74" s="1245"/>
      <c r="D74" s="553"/>
      <c r="E74" s="542"/>
      <c r="F74" s="523" t="s">
        <v>232</v>
      </c>
      <c r="G74" s="874">
        <v>4</v>
      </c>
      <c r="H74" s="517" t="s">
        <v>233</v>
      </c>
      <c r="I74" s="541" t="s">
        <v>313</v>
      </c>
    </row>
    <row r="75" spans="1:9" s="309" customFormat="1" ht="16.5" customHeight="1">
      <c r="A75" s="608"/>
      <c r="B75" s="827"/>
      <c r="C75" s="827"/>
      <c r="D75" s="608"/>
      <c r="E75" s="611"/>
      <c r="F75" s="516" t="s">
        <v>282</v>
      </c>
      <c r="G75" s="874">
        <f>Шахм!X56</f>
        <v>4</v>
      </c>
      <c r="H75" s="517" t="s">
        <v>219</v>
      </c>
      <c r="I75" s="541" t="s">
        <v>320</v>
      </c>
    </row>
    <row r="76" spans="1:9" s="309" customFormat="1" ht="16.5" customHeight="1">
      <c r="A76" s="553"/>
      <c r="B76" s="1245" t="s">
        <v>276</v>
      </c>
      <c r="C76" s="1245"/>
      <c r="D76" s="553"/>
      <c r="E76" s="542"/>
      <c r="F76" s="516" t="s">
        <v>276</v>
      </c>
      <c r="G76" s="874">
        <f>Шахм!O56</f>
        <v>4</v>
      </c>
      <c r="H76" s="517" t="s">
        <v>219</v>
      </c>
      <c r="I76" s="541" t="s">
        <v>316</v>
      </c>
    </row>
    <row r="77" spans="1:9" s="309" customFormat="1" ht="16.5" customHeight="1">
      <c r="A77" s="608"/>
      <c r="B77" s="1246" t="s">
        <v>613</v>
      </c>
      <c r="C77" s="1247"/>
      <c r="D77" s="553"/>
      <c r="E77" s="542"/>
      <c r="F77" s="605" t="s">
        <v>277</v>
      </c>
      <c r="G77" s="874">
        <f>Шахм!M45</f>
        <v>4</v>
      </c>
      <c r="H77" s="517" t="s">
        <v>219</v>
      </c>
      <c r="I77" s="541" t="s">
        <v>317</v>
      </c>
    </row>
    <row r="78" spans="1:9" s="309" customFormat="1" ht="16.5" customHeight="1">
      <c r="A78" s="553"/>
      <c r="B78" s="1245" t="s">
        <v>614</v>
      </c>
      <c r="C78" s="1245"/>
      <c r="D78" s="608"/>
      <c r="E78" s="611"/>
      <c r="F78" s="516" t="s">
        <v>275</v>
      </c>
      <c r="G78" s="874">
        <f>Шахм!N67</f>
        <v>4</v>
      </c>
      <c r="H78" s="517" t="s">
        <v>219</v>
      </c>
      <c r="I78" s="541" t="s">
        <v>315</v>
      </c>
    </row>
    <row r="79" spans="1:9" s="309" customFormat="1" ht="16.5" customHeight="1">
      <c r="A79" s="608"/>
      <c r="B79" s="827"/>
      <c r="C79" s="827"/>
      <c r="D79" s="608"/>
      <c r="E79" s="611"/>
      <c r="F79" s="591" t="s">
        <v>285</v>
      </c>
      <c r="G79" s="874">
        <v>5</v>
      </c>
      <c r="H79" s="517" t="s">
        <v>219</v>
      </c>
      <c r="I79" s="541" t="s">
        <v>323</v>
      </c>
    </row>
    <row r="80" spans="1:9" s="309" customFormat="1" ht="16.5" customHeight="1">
      <c r="A80" s="553"/>
      <c r="B80" s="1245" t="s">
        <v>615</v>
      </c>
      <c r="C80" s="1245"/>
      <c r="D80" s="553"/>
      <c r="E80" s="542"/>
      <c r="F80" s="516" t="s">
        <v>615</v>
      </c>
      <c r="G80" s="874">
        <v>5</v>
      </c>
      <c r="H80" s="517" t="s">
        <v>219</v>
      </c>
      <c r="I80" s="541" t="s">
        <v>326</v>
      </c>
    </row>
    <row r="81" spans="1:9" s="309" customFormat="1" ht="27" customHeight="1">
      <c r="A81" s="553"/>
      <c r="B81" s="1245" t="s">
        <v>617</v>
      </c>
      <c r="C81" s="1245"/>
      <c r="D81" s="553"/>
      <c r="E81" s="542"/>
      <c r="F81" s="604" t="s">
        <v>617</v>
      </c>
      <c r="G81" s="874">
        <v>5</v>
      </c>
      <c r="H81" s="517" t="s">
        <v>219</v>
      </c>
      <c r="I81" s="541" t="s">
        <v>618</v>
      </c>
    </row>
    <row r="82" spans="1:9" s="309" customFormat="1" ht="27" customHeight="1">
      <c r="A82" s="553"/>
      <c r="B82" s="1250"/>
      <c r="C82" s="1251"/>
      <c r="D82" s="553"/>
      <c r="E82" s="542"/>
      <c r="F82" s="604" t="s">
        <v>649</v>
      </c>
      <c r="G82" s="874">
        <v>5</v>
      </c>
      <c r="H82" s="517" t="s">
        <v>219</v>
      </c>
      <c r="I82" s="541" t="s">
        <v>650</v>
      </c>
    </row>
    <row r="83" spans="1:9" s="309" customFormat="1" ht="30" customHeight="1">
      <c r="A83" s="553"/>
      <c r="B83" s="1245" t="s">
        <v>619</v>
      </c>
      <c r="C83" s="1245"/>
      <c r="D83" s="553"/>
      <c r="E83" s="542"/>
      <c r="F83" s="604" t="s">
        <v>619</v>
      </c>
      <c r="G83" s="874">
        <v>4</v>
      </c>
      <c r="H83" s="517" t="s">
        <v>219</v>
      </c>
      <c r="I83" s="541" t="s">
        <v>620</v>
      </c>
    </row>
    <row r="84" spans="1:9" s="309" customFormat="1" ht="14.25" customHeight="1">
      <c r="A84" s="608"/>
      <c r="B84" s="1246" t="s">
        <v>621</v>
      </c>
      <c r="C84" s="1247"/>
      <c r="D84" s="608"/>
      <c r="E84" s="611"/>
      <c r="F84" s="1237" t="s">
        <v>622</v>
      </c>
      <c r="G84" s="1239">
        <v>5</v>
      </c>
      <c r="H84" s="1241" t="s">
        <v>219</v>
      </c>
      <c r="I84" s="1243" t="s">
        <v>618</v>
      </c>
    </row>
    <row r="85" spans="1:9" s="309" customFormat="1" ht="27" customHeight="1">
      <c r="A85" s="553"/>
      <c r="B85" s="1248" t="s">
        <v>623</v>
      </c>
      <c r="C85" s="1249"/>
      <c r="D85" s="553"/>
      <c r="E85" s="542"/>
      <c r="F85" s="1238"/>
      <c r="G85" s="1240"/>
      <c r="H85" s="1242"/>
      <c r="I85" s="1244"/>
    </row>
    <row r="86" spans="1:9" s="309" customFormat="1" ht="27" customHeight="1">
      <c r="A86" s="553"/>
      <c r="B86" s="1245" t="s">
        <v>624</v>
      </c>
      <c r="C86" s="1245"/>
      <c r="D86" s="553"/>
      <c r="E86" s="542"/>
      <c r="F86" s="830" t="s">
        <v>625</v>
      </c>
      <c r="G86" s="878">
        <v>5</v>
      </c>
      <c r="H86" s="828" t="s">
        <v>219</v>
      </c>
      <c r="I86" s="829" t="s">
        <v>626</v>
      </c>
    </row>
    <row r="87" spans="1:9" s="309" customFormat="1" ht="18.75" customHeight="1">
      <c r="A87" s="553"/>
      <c r="B87" s="1245" t="s">
        <v>627</v>
      </c>
      <c r="C87" s="1245"/>
      <c r="D87" s="553"/>
      <c r="E87" s="542"/>
      <c r="F87" s="830" t="s">
        <v>628</v>
      </c>
      <c r="G87" s="878">
        <v>5</v>
      </c>
      <c r="H87" s="828" t="s">
        <v>219</v>
      </c>
      <c r="I87" s="829" t="s">
        <v>325</v>
      </c>
    </row>
    <row r="88" spans="1:9" s="309" customFormat="1" ht="18.75" customHeight="1">
      <c r="A88" s="553"/>
      <c r="B88" s="1245" t="s">
        <v>629</v>
      </c>
      <c r="C88" s="1245"/>
      <c r="D88" s="553"/>
      <c r="E88" s="542"/>
      <c r="F88" s="523" t="s">
        <v>521</v>
      </c>
      <c r="G88" s="879">
        <v>3</v>
      </c>
      <c r="H88" s="517" t="s">
        <v>230</v>
      </c>
      <c r="I88" s="541" t="s">
        <v>327</v>
      </c>
    </row>
    <row r="89" spans="1:9" s="309" customFormat="1" ht="18.75" customHeight="1">
      <c r="A89" s="553"/>
      <c r="B89" s="1245" t="s">
        <v>631</v>
      </c>
      <c r="C89" s="1245"/>
      <c r="D89" s="553"/>
      <c r="E89" s="542"/>
      <c r="F89" s="516" t="s">
        <v>612</v>
      </c>
      <c r="G89" s="874">
        <v>5</v>
      </c>
      <c r="H89" s="517" t="s">
        <v>219</v>
      </c>
      <c r="I89" s="541" t="s">
        <v>616</v>
      </c>
    </row>
    <row r="90" spans="1:9" s="309" customFormat="1" ht="18.75" customHeight="1">
      <c r="A90" s="553"/>
      <c r="B90" s="1245" t="s">
        <v>632</v>
      </c>
      <c r="C90" s="1245"/>
      <c r="D90" s="553"/>
      <c r="E90" s="542"/>
      <c r="F90" s="516" t="s">
        <v>633</v>
      </c>
      <c r="G90" s="874">
        <v>5</v>
      </c>
      <c r="H90" s="517" t="s">
        <v>219</v>
      </c>
      <c r="I90" s="541" t="s">
        <v>634</v>
      </c>
    </row>
    <row r="91" spans="1:9" s="309" customFormat="1" ht="27" customHeight="1">
      <c r="A91" s="553"/>
      <c r="B91" s="1245" t="s">
        <v>635</v>
      </c>
      <c r="C91" s="1245"/>
      <c r="D91" s="553"/>
      <c r="E91" s="542"/>
      <c r="F91" s="604" t="s">
        <v>635</v>
      </c>
      <c r="G91" s="874">
        <v>5</v>
      </c>
      <c r="H91" s="517" t="s">
        <v>219</v>
      </c>
      <c r="I91" s="541" t="s">
        <v>637</v>
      </c>
    </row>
    <row r="92" spans="1:9" s="309" customFormat="1" ht="14.25" customHeight="1">
      <c r="A92" s="553"/>
      <c r="B92" s="1245" t="s">
        <v>638</v>
      </c>
      <c r="C92" s="1245"/>
      <c r="D92" s="553"/>
      <c r="E92" s="542"/>
      <c r="F92" s="604" t="s">
        <v>638</v>
      </c>
      <c r="G92" s="874">
        <v>6</v>
      </c>
      <c r="H92" s="517" t="s">
        <v>233</v>
      </c>
      <c r="I92" s="541" t="s">
        <v>639</v>
      </c>
    </row>
    <row r="93" spans="1:9" s="309" customFormat="1" ht="27" customHeight="1">
      <c r="A93" s="553"/>
      <c r="B93" s="1245" t="s">
        <v>640</v>
      </c>
      <c r="C93" s="1245"/>
      <c r="D93" s="553"/>
      <c r="E93" s="542"/>
      <c r="F93" s="604" t="s">
        <v>640</v>
      </c>
      <c r="G93" s="874">
        <v>5</v>
      </c>
      <c r="H93" s="517" t="s">
        <v>219</v>
      </c>
      <c r="I93" s="541" t="s">
        <v>642</v>
      </c>
    </row>
    <row r="94" spans="1:9" s="309" customFormat="1" ht="39.75" customHeight="1">
      <c r="A94" s="553"/>
      <c r="B94" s="1245" t="s">
        <v>643</v>
      </c>
      <c r="C94" s="1245"/>
      <c r="D94" s="553"/>
      <c r="E94" s="542"/>
      <c r="F94" s="1237" t="s">
        <v>644</v>
      </c>
      <c r="G94" s="1239">
        <v>5</v>
      </c>
      <c r="H94" s="1241" t="s">
        <v>219</v>
      </c>
      <c r="I94" s="1243" t="s">
        <v>618</v>
      </c>
    </row>
    <row r="95" spans="1:9" s="309" customFormat="1" ht="30" customHeight="1">
      <c r="A95" s="553"/>
      <c r="B95" s="1245" t="s">
        <v>645</v>
      </c>
      <c r="C95" s="1245"/>
      <c r="D95" s="553"/>
      <c r="E95" s="542"/>
      <c r="F95" s="1238"/>
      <c r="G95" s="1240"/>
      <c r="H95" s="1242"/>
      <c r="I95" s="1244"/>
    </row>
    <row r="96" spans="1:9" s="309" customFormat="1" ht="28.5" customHeight="1">
      <c r="A96" s="553"/>
      <c r="B96" s="1245" t="s">
        <v>646</v>
      </c>
      <c r="C96" s="1245"/>
      <c r="D96" s="553"/>
      <c r="E96" s="542"/>
      <c r="F96" s="830" t="s">
        <v>647</v>
      </c>
      <c r="G96" s="878">
        <v>3</v>
      </c>
      <c r="H96" s="828" t="s">
        <v>219</v>
      </c>
      <c r="I96" s="829" t="s">
        <v>648</v>
      </c>
    </row>
    <row r="97" spans="1:10" s="309" customFormat="1" ht="28.5" customHeight="1">
      <c r="A97" s="553"/>
      <c r="B97" s="859"/>
      <c r="C97" s="860"/>
      <c r="D97" s="553"/>
      <c r="E97" s="542"/>
      <c r="F97" s="516" t="s">
        <v>222</v>
      </c>
      <c r="G97" s="874">
        <f>Шахм!I45</f>
        <v>5</v>
      </c>
      <c r="H97" s="517" t="s">
        <v>219</v>
      </c>
      <c r="I97" s="541" t="s">
        <v>319</v>
      </c>
    </row>
    <row r="98" spans="1:10" s="309" customFormat="1" ht="17.25" customHeight="1">
      <c r="A98" s="535" t="s">
        <v>651</v>
      </c>
      <c r="B98" s="1258" t="s">
        <v>74</v>
      </c>
      <c r="C98" s="1259"/>
      <c r="D98" s="536">
        <v>28</v>
      </c>
      <c r="E98" s="537">
        <v>32</v>
      </c>
      <c r="F98" s="536" t="s">
        <v>64</v>
      </c>
      <c r="G98" s="877">
        <f>SUM(G99:G102)</f>
        <v>32</v>
      </c>
      <c r="H98" s="517"/>
      <c r="I98" s="541"/>
    </row>
    <row r="99" spans="1:10" s="309" customFormat="1" ht="17.25" customHeight="1">
      <c r="A99" s="833"/>
      <c r="B99" s="831"/>
      <c r="C99" s="835"/>
      <c r="D99" s="836"/>
      <c r="E99" s="832"/>
      <c r="F99" s="604" t="s">
        <v>234</v>
      </c>
      <c r="G99" s="874">
        <f>Шахм!J67</f>
        <v>4</v>
      </c>
      <c r="H99" s="517" t="s">
        <v>102</v>
      </c>
      <c r="I99" s="541" t="s">
        <v>310</v>
      </c>
    </row>
    <row r="100" spans="1:10" s="309" customFormat="1">
      <c r="A100" s="834"/>
      <c r="C100" s="834"/>
      <c r="D100" s="837"/>
      <c r="F100" s="523" t="s">
        <v>278</v>
      </c>
      <c r="G100" s="872">
        <f>Шахм!Q45</f>
        <v>4</v>
      </c>
      <c r="H100" s="517" t="s">
        <v>219</v>
      </c>
      <c r="I100" s="541" t="s">
        <v>318</v>
      </c>
    </row>
    <row r="101" spans="1:10" s="309" customFormat="1" ht="25.5">
      <c r="A101" s="591"/>
      <c r="B101" s="589"/>
      <c r="C101" s="590"/>
      <c r="D101" s="591"/>
      <c r="E101" s="539"/>
      <c r="F101" s="838" t="s">
        <v>559</v>
      </c>
      <c r="G101" s="881">
        <v>6</v>
      </c>
      <c r="H101" s="839" t="s">
        <v>219</v>
      </c>
      <c r="I101" s="840" t="s">
        <v>320</v>
      </c>
      <c r="J101" s="620"/>
    </row>
    <row r="102" spans="1:10" s="309" customFormat="1" ht="15.75" customHeight="1">
      <c r="A102" s="608"/>
      <c r="B102" s="621"/>
      <c r="C102" s="622"/>
      <c r="D102" s="623"/>
      <c r="E102" s="624"/>
      <c r="F102" s="536" t="s">
        <v>66</v>
      </c>
      <c r="G102" s="877">
        <f>G103+G106+G109+G112</f>
        <v>18</v>
      </c>
      <c r="H102" s="517"/>
      <c r="I102" s="541"/>
    </row>
    <row r="103" spans="1:10" s="309" customFormat="1" ht="15.75" customHeight="1">
      <c r="A103" s="608"/>
      <c r="B103" s="621"/>
      <c r="C103" s="622"/>
      <c r="D103" s="623"/>
      <c r="E103" s="624"/>
      <c r="F103" s="553" t="s">
        <v>676</v>
      </c>
      <c r="G103" s="882">
        <v>3</v>
      </c>
      <c r="H103" s="517"/>
      <c r="I103" s="842"/>
    </row>
    <row r="104" spans="1:10" s="309" customFormat="1" ht="15.75" customHeight="1">
      <c r="A104" s="608"/>
      <c r="B104" s="621"/>
      <c r="C104" s="622"/>
      <c r="D104" s="623"/>
      <c r="E104" s="624"/>
      <c r="F104" s="523" t="s">
        <v>279</v>
      </c>
      <c r="G104" s="874"/>
      <c r="H104" s="517" t="s">
        <v>280</v>
      </c>
      <c r="I104" s="541" t="s">
        <v>660</v>
      </c>
    </row>
    <row r="105" spans="1:10" s="309" customFormat="1" ht="15.75" customHeight="1">
      <c r="A105" s="608"/>
      <c r="B105" s="621"/>
      <c r="C105" s="622"/>
      <c r="D105" s="623"/>
      <c r="E105" s="624"/>
      <c r="F105" s="516" t="s">
        <v>661</v>
      </c>
      <c r="G105" s="883"/>
      <c r="H105" s="517" t="s">
        <v>280</v>
      </c>
      <c r="I105" s="842"/>
    </row>
    <row r="106" spans="1:10" s="309" customFormat="1" ht="15.75" customHeight="1">
      <c r="A106" s="608"/>
      <c r="B106" s="621"/>
      <c r="C106" s="622"/>
      <c r="D106" s="623"/>
      <c r="E106" s="624"/>
      <c r="F106" s="553" t="s">
        <v>677</v>
      </c>
      <c r="G106" s="882">
        <v>5</v>
      </c>
      <c r="H106" s="517"/>
      <c r="I106" s="842"/>
    </row>
    <row r="107" spans="1:10" s="309" customFormat="1" ht="15.75" customHeight="1">
      <c r="A107" s="608"/>
      <c r="B107" s="621"/>
      <c r="C107" s="622"/>
      <c r="D107" s="623"/>
      <c r="E107" s="624"/>
      <c r="F107" s="838" t="s">
        <v>286</v>
      </c>
      <c r="G107" s="881"/>
      <c r="H107" s="839" t="s">
        <v>219</v>
      </c>
      <c r="I107" s="840" t="s">
        <v>324</v>
      </c>
    </row>
    <row r="108" spans="1:10" s="309" customFormat="1" ht="15.75" customHeight="1">
      <c r="A108" s="628"/>
      <c r="B108" s="846"/>
      <c r="C108" s="847"/>
      <c r="D108" s="848"/>
      <c r="E108" s="849"/>
      <c r="F108" s="516" t="s">
        <v>662</v>
      </c>
      <c r="G108" s="877"/>
      <c r="H108" s="517" t="s">
        <v>219</v>
      </c>
      <c r="I108" s="829"/>
    </row>
    <row r="109" spans="1:10" s="309" customFormat="1" ht="15.75" customHeight="1">
      <c r="A109" s="608"/>
      <c r="B109" s="621"/>
      <c r="C109" s="622"/>
      <c r="D109" s="623"/>
      <c r="E109" s="624"/>
      <c r="F109" s="553" t="s">
        <v>694</v>
      </c>
      <c r="G109" s="882">
        <v>5</v>
      </c>
      <c r="H109" s="517"/>
      <c r="I109" s="842"/>
    </row>
    <row r="110" spans="1:10" s="309" customFormat="1" ht="15.75" customHeight="1">
      <c r="A110" s="608"/>
      <c r="B110" s="621"/>
      <c r="C110" s="622"/>
      <c r="D110" s="623"/>
      <c r="E110" s="624"/>
      <c r="F110" s="841" t="s">
        <v>657</v>
      </c>
      <c r="G110" s="880"/>
      <c r="H110" s="839" t="s">
        <v>233</v>
      </c>
      <c r="I110" s="840" t="s">
        <v>658</v>
      </c>
    </row>
    <row r="111" spans="1:10" s="309" customFormat="1" ht="15.75" customHeight="1">
      <c r="A111" s="608"/>
      <c r="B111" s="621"/>
      <c r="C111" s="622"/>
      <c r="D111" s="623"/>
      <c r="E111" s="624"/>
      <c r="F111" s="516" t="s">
        <v>267</v>
      </c>
      <c r="G111" s="877"/>
      <c r="H111" s="517" t="s">
        <v>233</v>
      </c>
      <c r="I111" s="541"/>
    </row>
    <row r="112" spans="1:10" s="309" customFormat="1" ht="15.75" customHeight="1">
      <c r="A112" s="608"/>
      <c r="B112" s="609"/>
      <c r="C112" s="610"/>
      <c r="D112" s="608"/>
      <c r="E112" s="611"/>
      <c r="F112" s="844" t="s">
        <v>667</v>
      </c>
      <c r="G112" s="884">
        <f>Шахм!AA78</f>
        <v>5</v>
      </c>
      <c r="H112" s="845"/>
      <c r="I112" s="843"/>
    </row>
    <row r="113" spans="1:9" s="309" customFormat="1">
      <c r="A113" s="608"/>
      <c r="B113" s="609"/>
      <c r="C113" s="610"/>
      <c r="D113" s="608"/>
      <c r="E113" s="611"/>
      <c r="F113" s="841" t="str">
        <f>ПрилШахм!H6</f>
        <v xml:space="preserve">Конструирование программ  </v>
      </c>
      <c r="G113" s="881"/>
      <c r="H113" s="839" t="str">
        <f>ПрилШахм!I6</f>
        <v>АСОИУ</v>
      </c>
      <c r="I113" s="840" t="s">
        <v>329</v>
      </c>
    </row>
    <row r="114" spans="1:9" s="309" customFormat="1">
      <c r="A114" s="608"/>
      <c r="B114" s="609"/>
      <c r="C114" s="610"/>
      <c r="D114" s="608"/>
      <c r="E114" s="611"/>
      <c r="F114" s="841" t="str">
        <f>ПрилШахм!H7</f>
        <v>Методы разработки программных изделий</v>
      </c>
      <c r="G114" s="881"/>
      <c r="H114" s="839" t="str">
        <f>ПрилШахм!I7</f>
        <v>АСОИУ</v>
      </c>
      <c r="I114" s="840" t="s">
        <v>330</v>
      </c>
    </row>
    <row r="115" spans="1:9" s="309" customFormat="1">
      <c r="A115" s="553" t="s">
        <v>663</v>
      </c>
      <c r="B115" s="1252" t="s">
        <v>18</v>
      </c>
      <c r="C115" s="1253"/>
      <c r="D115" s="1256">
        <v>2</v>
      </c>
      <c r="E115" s="1257"/>
      <c r="F115" s="553" t="s">
        <v>18</v>
      </c>
      <c r="G115" s="850">
        <f>Шахм!AE100+Шахм!AE78</f>
        <v>2</v>
      </c>
      <c r="H115" s="517"/>
      <c r="I115" s="541"/>
    </row>
    <row r="116" spans="1:9" s="309" customFormat="1" ht="25.5" customHeight="1">
      <c r="A116" s="553" t="s">
        <v>664</v>
      </c>
      <c r="B116" s="1252" t="s">
        <v>673</v>
      </c>
      <c r="C116" s="1253"/>
      <c r="D116" s="542">
        <v>18</v>
      </c>
      <c r="E116" s="856">
        <v>21</v>
      </c>
      <c r="F116" s="553" t="s">
        <v>77</v>
      </c>
      <c r="G116" s="850">
        <v>18</v>
      </c>
      <c r="H116" s="517"/>
      <c r="I116" s="541"/>
    </row>
    <row r="117" spans="1:9" s="309" customFormat="1">
      <c r="A117" s="553"/>
      <c r="B117" s="632"/>
      <c r="C117" s="633"/>
      <c r="D117" s="632"/>
      <c r="E117" s="635"/>
      <c r="F117" s="516" t="s">
        <v>80</v>
      </c>
      <c r="G117" s="874">
        <f>Шахм!AD78</f>
        <v>3</v>
      </c>
      <c r="H117" s="517" t="s">
        <v>219</v>
      </c>
      <c r="I117" s="541"/>
    </row>
    <row r="118" spans="1:9" s="297" customFormat="1">
      <c r="A118" s="553"/>
      <c r="B118" s="632"/>
      <c r="C118" s="633"/>
      <c r="D118" s="632"/>
      <c r="E118" s="635"/>
      <c r="F118" s="516" t="s">
        <v>81</v>
      </c>
      <c r="G118" s="874">
        <f>Шахм!AE56</f>
        <v>3</v>
      </c>
      <c r="H118" s="517" t="s">
        <v>219</v>
      </c>
      <c r="I118" s="541"/>
    </row>
    <row r="119" spans="1:9" s="297" customFormat="1">
      <c r="A119" s="553"/>
      <c r="B119" s="632"/>
      <c r="C119" s="633"/>
      <c r="D119" s="632"/>
      <c r="E119" s="635"/>
      <c r="F119" s="516" t="s">
        <v>674</v>
      </c>
      <c r="G119" s="874">
        <v>6</v>
      </c>
      <c r="H119" s="517" t="s">
        <v>219</v>
      </c>
      <c r="I119" s="541"/>
    </row>
    <row r="120" spans="1:9" s="297" customFormat="1">
      <c r="A120" s="553"/>
      <c r="B120" s="632"/>
      <c r="C120" s="633"/>
      <c r="D120" s="632"/>
      <c r="E120" s="635"/>
      <c r="F120" s="516" t="s">
        <v>112</v>
      </c>
      <c r="G120" s="874">
        <v>6</v>
      </c>
      <c r="H120" s="517" t="s">
        <v>219</v>
      </c>
      <c r="I120" s="541"/>
    </row>
    <row r="121" spans="1:9" s="297" customFormat="1" ht="30" customHeight="1">
      <c r="A121" s="553" t="s">
        <v>681</v>
      </c>
      <c r="B121" s="1252" t="s">
        <v>78</v>
      </c>
      <c r="C121" s="1253"/>
      <c r="D121" s="770">
        <v>21</v>
      </c>
      <c r="E121" s="771">
        <v>24</v>
      </c>
      <c r="F121" s="553" t="s">
        <v>340</v>
      </c>
      <c r="G121" s="850">
        <v>24</v>
      </c>
      <c r="H121" s="557"/>
      <c r="I121" s="528"/>
    </row>
    <row r="122" spans="1:9" s="297" customFormat="1">
      <c r="A122" s="333"/>
      <c r="B122" s="632"/>
      <c r="C122" s="633"/>
      <c r="D122" s="632"/>
      <c r="E122" s="635"/>
      <c r="F122" s="516" t="s">
        <v>680</v>
      </c>
      <c r="G122" s="865">
        <v>21</v>
      </c>
      <c r="H122" s="19" t="s">
        <v>219</v>
      </c>
      <c r="I122" s="549"/>
    </row>
    <row r="123" spans="1:9" s="297" customFormat="1">
      <c r="A123" s="333"/>
      <c r="B123" s="632"/>
      <c r="C123" s="633"/>
      <c r="D123" s="632"/>
      <c r="E123" s="635"/>
      <c r="F123" s="516" t="s">
        <v>679</v>
      </c>
      <c r="G123" s="865">
        <v>3</v>
      </c>
      <c r="H123" s="19"/>
      <c r="I123" s="549"/>
    </row>
    <row r="124" spans="1:9" s="297" customFormat="1" ht="25.5">
      <c r="A124" s="553"/>
      <c r="B124" s="1252" t="s">
        <v>79</v>
      </c>
      <c r="C124" s="1253"/>
      <c r="D124" s="1256">
        <v>330</v>
      </c>
      <c r="E124" s="1257"/>
      <c r="F124" s="553" t="s">
        <v>79</v>
      </c>
      <c r="G124" s="850">
        <f>SUM(G121,G116,G115,G67,G37,G7)</f>
        <v>330</v>
      </c>
      <c r="H124" s="557"/>
      <c r="I124" s="528"/>
    </row>
    <row r="125" spans="1:9" s="297" customFormat="1">
      <c r="G125" s="308"/>
      <c r="H125" s="308"/>
      <c r="I125" s="309"/>
    </row>
    <row r="126" spans="1:9" s="634" customFormat="1" ht="25.5" customHeight="1">
      <c r="A126" s="249"/>
      <c r="B126" s="249"/>
      <c r="C126" s="249"/>
      <c r="D126" s="310"/>
      <c r="E126" s="310" t="s">
        <v>695</v>
      </c>
      <c r="F126" s="255"/>
      <c r="G126" s="249" t="str">
        <f>Шахм!J5</f>
        <v>Н.А. Мустафин, А.Ф. Казак</v>
      </c>
      <c r="H126" s="249"/>
      <c r="I126" s="250"/>
    </row>
    <row r="127" spans="1:9" s="634" customFormat="1" ht="25.5" customHeight="1">
      <c r="A127" s="249"/>
      <c r="B127" s="249"/>
      <c r="C127" s="249"/>
      <c r="D127" s="310"/>
      <c r="E127" s="310" t="s">
        <v>288</v>
      </c>
      <c r="F127" s="255" t="str">
        <f>[1]Шахм!AD4</f>
        <v>АСОИУ</v>
      </c>
      <c r="G127" s="249" t="str">
        <f>Шахм!AF152</f>
        <v>Б.Я. Советов</v>
      </c>
      <c r="H127" s="249"/>
      <c r="I127" s="250"/>
    </row>
    <row r="128" spans="1:9" s="333" customFormat="1" ht="25.5" customHeight="1">
      <c r="A128" s="249"/>
      <c r="B128" s="261"/>
      <c r="C128" s="261"/>
      <c r="D128" s="310"/>
      <c r="E128" s="310" t="s">
        <v>127</v>
      </c>
      <c r="F128" s="256"/>
      <c r="G128" s="249" t="s">
        <v>205</v>
      </c>
      <c r="H128" s="249"/>
      <c r="I128" s="250"/>
    </row>
    <row r="129" spans="1:11" s="297" customFormat="1" ht="25.5" customHeight="1">
      <c r="A129" s="13"/>
      <c r="B129" s="47"/>
      <c r="C129" s="47"/>
      <c r="D129" s="5"/>
      <c r="E129" s="5"/>
      <c r="F129" s="73"/>
      <c r="G129" s="308"/>
      <c r="H129" s="308"/>
      <c r="I129" s="309"/>
    </row>
    <row r="130" spans="1:11" s="297" customFormat="1" ht="17.25" customHeight="1">
      <c r="A130" s="13"/>
      <c r="B130" s="47"/>
      <c r="C130" s="47"/>
      <c r="D130" s="5"/>
      <c r="E130" s="132"/>
      <c r="F130" s="73"/>
      <c r="G130" s="308"/>
      <c r="H130" s="308"/>
      <c r="I130" s="309"/>
    </row>
    <row r="131" spans="1:11" s="297" customFormat="1">
      <c r="A131" s="13"/>
      <c r="B131" s="47"/>
      <c r="C131" s="47"/>
      <c r="D131" s="5"/>
      <c r="E131" s="132"/>
      <c r="F131" s="73"/>
      <c r="G131" s="308"/>
      <c r="H131" s="308"/>
      <c r="I131" s="309"/>
    </row>
    <row r="132" spans="1:11" s="297" customFormat="1" ht="19.5" customHeight="1">
      <c r="A132" s="13"/>
      <c r="B132" s="47"/>
      <c r="C132" s="47"/>
      <c r="D132" s="5"/>
      <c r="E132" s="5"/>
      <c r="F132" s="73"/>
      <c r="G132" s="308"/>
      <c r="H132" s="308"/>
      <c r="I132" s="309"/>
    </row>
    <row r="133" spans="1:11" s="297" customFormat="1">
      <c r="A133" s="13"/>
      <c r="B133" s="302"/>
      <c r="C133" s="302"/>
      <c r="D133" s="307"/>
      <c r="E133" s="307"/>
      <c r="F133" s="302"/>
      <c r="G133" s="308"/>
      <c r="H133" s="308"/>
      <c r="I133" s="309"/>
    </row>
    <row r="134" spans="1:11" s="297" customFormat="1" ht="32.25" customHeight="1">
      <c r="A134" s="13"/>
      <c r="D134" s="13"/>
      <c r="E134" s="13"/>
      <c r="G134" s="308"/>
      <c r="H134" s="308"/>
      <c r="I134" s="309"/>
    </row>
    <row r="135" spans="1:11" s="309" customFormat="1">
      <c r="A135" s="13"/>
      <c r="B135" s="297"/>
      <c r="C135" s="297"/>
      <c r="D135" s="13"/>
      <c r="E135" s="13"/>
      <c r="F135" s="297"/>
      <c r="G135" s="308"/>
      <c r="H135" s="308"/>
    </row>
    <row r="136" spans="1:11" s="52" customFormat="1" ht="20.25" customHeight="1">
      <c r="A136" s="13"/>
      <c r="B136" s="297"/>
      <c r="C136" s="297"/>
      <c r="D136" s="13"/>
      <c r="E136" s="13"/>
      <c r="F136" s="297"/>
      <c r="G136" s="308"/>
      <c r="H136" s="308"/>
      <c r="I136" s="309"/>
      <c r="K136" s="73"/>
    </row>
    <row r="137" spans="1:11" s="52" customFormat="1" ht="20.25" customHeight="1">
      <c r="A137" s="13"/>
      <c r="B137" s="297"/>
      <c r="C137" s="297"/>
      <c r="D137" s="13"/>
      <c r="E137" s="13"/>
      <c r="F137" s="297"/>
      <c r="G137" s="308"/>
      <c r="H137" s="308"/>
      <c r="I137" s="309"/>
    </row>
    <row r="138" spans="1:11" s="52" customFormat="1" ht="20.25" customHeight="1">
      <c r="A138" s="13"/>
      <c r="B138" s="297"/>
      <c r="C138" s="297"/>
      <c r="D138" s="13"/>
      <c r="E138" s="13"/>
      <c r="F138" s="297"/>
      <c r="G138" s="308"/>
      <c r="H138" s="308"/>
      <c r="I138" s="309"/>
    </row>
    <row r="139" spans="1:11" s="297" customFormat="1" ht="20.25" customHeight="1">
      <c r="A139" s="13"/>
      <c r="D139" s="13"/>
      <c r="E139" s="13"/>
      <c r="G139" s="308"/>
      <c r="H139" s="308"/>
      <c r="I139" s="309"/>
    </row>
    <row r="140" spans="1:11" s="297" customFormat="1" ht="20.25" customHeight="1">
      <c r="A140" s="13"/>
      <c r="D140" s="13"/>
      <c r="E140" s="13"/>
      <c r="G140" s="308"/>
      <c r="H140" s="308"/>
      <c r="I140" s="309"/>
    </row>
    <row r="141" spans="1:11" s="297" customFormat="1">
      <c r="A141" s="13"/>
      <c r="D141" s="13"/>
      <c r="E141" s="13"/>
      <c r="G141" s="308"/>
      <c r="H141" s="308"/>
      <c r="I141" s="309"/>
    </row>
    <row r="142" spans="1:11" s="297" customFormat="1">
      <c r="A142" s="13"/>
      <c r="D142" s="13"/>
      <c r="E142" s="13"/>
      <c r="G142" s="308"/>
      <c r="H142" s="308"/>
      <c r="I142" s="309"/>
    </row>
    <row r="143" spans="1:11" s="297" customFormat="1">
      <c r="A143" s="13"/>
      <c r="D143" s="13"/>
      <c r="E143" s="13"/>
      <c r="G143" s="308"/>
      <c r="H143" s="308"/>
      <c r="I143" s="309"/>
    </row>
    <row r="144" spans="1:11" s="297" customFormat="1">
      <c r="A144" s="13"/>
      <c r="D144" s="13"/>
      <c r="E144" s="13"/>
      <c r="G144" s="308"/>
      <c r="H144" s="308"/>
      <c r="I144" s="309"/>
    </row>
  </sheetData>
  <mergeCells count="70">
    <mergeCell ref="B47:C47"/>
    <mergeCell ref="B48:C48"/>
    <mergeCell ref="B49:C49"/>
    <mergeCell ref="B50:C50"/>
    <mergeCell ref="B52:C52"/>
    <mergeCell ref="B51:C51"/>
    <mergeCell ref="B8:C8"/>
    <mergeCell ref="B10:C10"/>
    <mergeCell ref="B9:C9"/>
    <mergeCell ref="B11:C11"/>
    <mergeCell ref="B38:C38"/>
    <mergeCell ref="B12:C12"/>
    <mergeCell ref="D2:J2"/>
    <mergeCell ref="D3:I3"/>
    <mergeCell ref="B15:C15"/>
    <mergeCell ref="B58:C58"/>
    <mergeCell ref="B37:C37"/>
    <mergeCell ref="D6:E6"/>
    <mergeCell ref="F5:I5"/>
    <mergeCell ref="A5:E5"/>
    <mergeCell ref="B6:C6"/>
    <mergeCell ref="B7:C7"/>
    <mergeCell ref="B42:C42"/>
    <mergeCell ref="B13:C13"/>
    <mergeCell ref="B39:C39"/>
    <mergeCell ref="B43:C43"/>
    <mergeCell ref="B45:C45"/>
    <mergeCell ref="B46:C46"/>
    <mergeCell ref="B124:C124"/>
    <mergeCell ref="D124:E124"/>
    <mergeCell ref="B69:C69"/>
    <mergeCell ref="B98:C98"/>
    <mergeCell ref="B115:C115"/>
    <mergeCell ref="D115:E115"/>
    <mergeCell ref="B116:C116"/>
    <mergeCell ref="B121:C121"/>
    <mergeCell ref="B76:C76"/>
    <mergeCell ref="B77:C77"/>
    <mergeCell ref="B78:C78"/>
    <mergeCell ref="B80:C80"/>
    <mergeCell ref="B89:C89"/>
    <mergeCell ref="B90:C90"/>
    <mergeCell ref="B70:C70"/>
    <mergeCell ref="B71:C71"/>
    <mergeCell ref="B72:C72"/>
    <mergeCell ref="B74:C74"/>
    <mergeCell ref="B67:C67"/>
    <mergeCell ref="B68:C68"/>
    <mergeCell ref="I84:I85"/>
    <mergeCell ref="F84:F85"/>
    <mergeCell ref="G84:G85"/>
    <mergeCell ref="B86:C86"/>
    <mergeCell ref="B87:C87"/>
    <mergeCell ref="B88:C88"/>
    <mergeCell ref="B81:C81"/>
    <mergeCell ref="B83:C83"/>
    <mergeCell ref="B84:C84"/>
    <mergeCell ref="B85:C85"/>
    <mergeCell ref="B82:C82"/>
    <mergeCell ref="B96:C96"/>
    <mergeCell ref="B91:C91"/>
    <mergeCell ref="B92:C92"/>
    <mergeCell ref="B93:C93"/>
    <mergeCell ref="B94:C94"/>
    <mergeCell ref="B95:C95"/>
    <mergeCell ref="F94:F95"/>
    <mergeCell ref="G94:G95"/>
    <mergeCell ref="H94:H95"/>
    <mergeCell ref="H84:H85"/>
    <mergeCell ref="I94:I95"/>
  </mergeCells>
  <phoneticPr fontId="0" type="noConversion"/>
  <pageMargins left="0.51181102362204722" right="0.23622047244094491" top="0.27559055118110237" bottom="0.74803149606299213" header="0.23622047244094491" footer="0.23622047244094491"/>
  <pageSetup paperSize="9" scale="66" fitToHeight="2" orientation="portrait" r:id="rId1"/>
  <headerFooter alignWithMargins="0">
    <oddFooter>&amp;C&amp;F&amp;R&amp;P</oddFooter>
  </headerFooter>
  <rowBreaks count="1" manualBreakCount="1">
    <brk id="66" max="8" man="1"/>
  </rowBreaks>
  <customProperties>
    <customPr name="DVSECTION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>
  <sheetPr codeName="Лист4"/>
  <dimension ref="A1:K156"/>
  <sheetViews>
    <sheetView topLeftCell="B70" zoomScaleSheetLayoutView="110" workbookViewId="0">
      <selection activeCell="I53" sqref="I53"/>
    </sheetView>
  </sheetViews>
  <sheetFormatPr defaultRowHeight="12.75"/>
  <cols>
    <col min="1" max="1" width="8" style="13" customWidth="1"/>
    <col min="2" max="2" width="23" style="297" customWidth="1"/>
    <col min="3" max="3" width="10.42578125" style="297" customWidth="1"/>
    <col min="4" max="5" width="4.5703125" style="13" customWidth="1"/>
    <col min="6" max="6" width="38.7109375" style="297" customWidth="1"/>
    <col min="7" max="7" width="7.85546875" style="308" customWidth="1"/>
    <col min="8" max="16384" width="9.140625" style="13"/>
  </cols>
  <sheetData>
    <row r="1" spans="1:9" customFormat="1">
      <c r="A1" s="1288"/>
      <c r="B1" s="1288"/>
      <c r="D1" s="648"/>
      <c r="E1" s="649"/>
      <c r="G1" s="649" t="s">
        <v>338</v>
      </c>
    </row>
    <row r="2" spans="1:9" customFormat="1">
      <c r="A2" s="1288"/>
      <c r="B2" s="1288"/>
      <c r="D2" s="648"/>
      <c r="F2" s="649" t="s">
        <v>339</v>
      </c>
      <c r="G2" s="650">
        <f>Шахм!R1</f>
        <v>0</v>
      </c>
    </row>
    <row r="3" spans="1:9" customFormat="1">
      <c r="A3" s="1288"/>
      <c r="B3" s="1288"/>
    </row>
    <row r="4" spans="1:9" customFormat="1">
      <c r="A4" s="7"/>
      <c r="B4" s="7"/>
      <c r="G4" s="651" t="str">
        <f>[2]ТитЛист!$AC$4</f>
        <v>УТВЕРЖДАЮ</v>
      </c>
    </row>
    <row r="5" spans="1:9" customFormat="1">
      <c r="A5" s="7"/>
      <c r="B5" s="7"/>
      <c r="G5" s="82" t="str">
        <f>[2]ТитЛист!$AC$5</f>
        <v>Проректор по учебной работе</v>
      </c>
    </row>
    <row r="6" spans="1:9" customFormat="1">
      <c r="A6" s="7"/>
      <c r="B6" s="7"/>
      <c r="G6" s="82"/>
    </row>
    <row r="7" spans="1:9" customFormat="1">
      <c r="A7" s="7"/>
      <c r="B7" s="7"/>
      <c r="G7" s="4"/>
    </row>
    <row r="8" spans="1:9" customFormat="1">
      <c r="A8" s="7"/>
      <c r="B8" s="7"/>
      <c r="G8" s="82" t="str">
        <f>[3]ТитЛист!AC8</f>
        <v>_____________ Н. В. Лысенко</v>
      </c>
    </row>
    <row r="9" spans="1:9" customFormat="1">
      <c r="A9" s="7"/>
      <c r="B9" s="7"/>
      <c r="G9" s="652" t="str">
        <f>[3]ТитЛист!AC9</f>
        <v xml:space="preserve">  01   марта  2011 г.</v>
      </c>
    </row>
    <row r="10" spans="1:9" s="2" customFormat="1" ht="14.25" customHeight="1">
      <c r="A10" s="653"/>
      <c r="B10" s="653"/>
      <c r="C10" s="653"/>
      <c r="D10" s="653"/>
      <c r="E10" s="653"/>
      <c r="F10" s="653"/>
    </row>
    <row r="11" spans="1:9" ht="24" customHeight="1">
      <c r="A11" s="60"/>
      <c r="B11" s="52"/>
      <c r="C11" s="51"/>
      <c r="D11" s="7"/>
      <c r="E11" s="7"/>
      <c r="F11" s="253" t="s">
        <v>126</v>
      </c>
      <c r="G11" s="252">
        <f>Шахм!R1</f>
        <v>0</v>
      </c>
    </row>
    <row r="12" spans="1:9" ht="15.75">
      <c r="A12" s="60"/>
      <c r="B12" s="52"/>
      <c r="C12" s="74" t="s">
        <v>204</v>
      </c>
      <c r="D12" s="1289" t="str">
        <f>Шахм!N3</f>
        <v>090301  "Компьютерная безопасность"</v>
      </c>
      <c r="E12" s="1289"/>
      <c r="F12" s="1289"/>
      <c r="G12" s="1289"/>
      <c r="H12" s="1289"/>
      <c r="I12" s="248"/>
    </row>
    <row r="13" spans="1:9" s="101" customFormat="1" ht="14.25">
      <c r="B13" s="74" t="str">
        <f>Шахм!B4</f>
        <v xml:space="preserve">Специализация №8 </v>
      </c>
      <c r="C13" s="259">
        <f>Шахм!E4</f>
        <v>0</v>
      </c>
      <c r="D13" s="1290" t="str">
        <f>Шахм!F4</f>
        <v>"Информационная безопасность объектов информатизации на базе компьютерных систем"</v>
      </c>
      <c r="E13" s="1290"/>
      <c r="F13" s="1290"/>
      <c r="G13" s="1290"/>
    </row>
    <row r="15" spans="1:9" ht="6.75" customHeight="1">
      <c r="A15" s="246"/>
      <c r="B15" s="260"/>
      <c r="C15" s="260"/>
      <c r="D15" s="16"/>
      <c r="E15" s="16"/>
      <c r="F15" s="303"/>
      <c r="G15" s="304"/>
    </row>
    <row r="16" spans="1:9" s="297" customFormat="1" ht="22.5" customHeight="1">
      <c r="A16" s="1271" t="s">
        <v>50</v>
      </c>
      <c r="B16" s="1271"/>
      <c r="C16" s="1271"/>
      <c r="D16" s="1271"/>
      <c r="E16" s="1272"/>
      <c r="F16" s="1270" t="s">
        <v>16</v>
      </c>
      <c r="G16" s="1271"/>
      <c r="H16" s="558"/>
    </row>
    <row r="17" spans="1:7" s="297" customFormat="1" ht="39" customHeight="1">
      <c r="A17" s="19" t="s">
        <v>200</v>
      </c>
      <c r="B17" s="1268" t="s">
        <v>201</v>
      </c>
      <c r="C17" s="1273"/>
      <c r="D17" s="1268" t="s">
        <v>59</v>
      </c>
      <c r="E17" s="1269"/>
      <c r="F17" s="251" t="s">
        <v>201</v>
      </c>
      <c r="G17" s="251" t="s">
        <v>59</v>
      </c>
    </row>
    <row r="18" spans="1:7" s="297" customFormat="1" ht="25.5" customHeight="1">
      <c r="A18" s="559" t="s">
        <v>203</v>
      </c>
      <c r="B18" s="1293" t="s">
        <v>60</v>
      </c>
      <c r="C18" s="1294"/>
      <c r="D18" s="667">
        <v>27</v>
      </c>
      <c r="E18" s="667">
        <v>37</v>
      </c>
      <c r="F18" s="668" t="str">
        <f>ТС_ППС!F7</f>
        <v>Гуманитарный, социальный и экономический цикл</v>
      </c>
      <c r="G18" s="667">
        <f>ТС_ППС!G7</f>
        <v>35</v>
      </c>
    </row>
    <row r="19" spans="1:7" s="640" customFormat="1" ht="13.5">
      <c r="A19" s="535" t="s">
        <v>62</v>
      </c>
      <c r="B19" s="1254" t="s">
        <v>61</v>
      </c>
      <c r="C19" s="1255"/>
      <c r="D19" s="532">
        <v>11</v>
      </c>
      <c r="E19" s="532">
        <v>21</v>
      </c>
      <c r="F19" s="535" t="str">
        <f>ТС_ППС!F8</f>
        <v>Базовая часть</v>
      </c>
      <c r="G19" s="532">
        <f>ТС_ППС!G8</f>
        <v>25</v>
      </c>
    </row>
    <row r="20" spans="1:7" s="297" customFormat="1">
      <c r="A20" s="561"/>
      <c r="B20" s="1276" t="s">
        <v>58</v>
      </c>
      <c r="C20" s="1277"/>
      <c r="D20" s="562"/>
      <c r="E20" s="561"/>
      <c r="F20" s="518" t="str">
        <f>ТС_ППС!F10</f>
        <v>История</v>
      </c>
      <c r="G20" s="655">
        <f>ТС_ППС!G10</f>
        <v>4</v>
      </c>
    </row>
    <row r="21" spans="1:7" s="297" customFormat="1">
      <c r="A21" s="561"/>
      <c r="B21" s="1276" t="s">
        <v>21</v>
      </c>
      <c r="C21" s="1277"/>
      <c r="D21" s="562"/>
      <c r="E21" s="561"/>
      <c r="F21" s="518" t="str">
        <f>ТС_ППС!F9</f>
        <v>Философия</v>
      </c>
      <c r="G21" s="655">
        <f>ТС_ППС!G9</f>
        <v>3</v>
      </c>
    </row>
    <row r="22" spans="1:7" s="297" customFormat="1">
      <c r="A22" s="561"/>
      <c r="B22" s="1276" t="s">
        <v>17</v>
      </c>
      <c r="C22" s="1277"/>
      <c r="D22" s="562"/>
      <c r="E22" s="561"/>
      <c r="F22" s="518" t="str">
        <f>ТС_ППС!F11</f>
        <v>Иностранный язык</v>
      </c>
      <c r="G22" s="655">
        <f>ТС_ППС!G11</f>
        <v>9</v>
      </c>
    </row>
    <row r="23" spans="1:7" s="297" customFormat="1">
      <c r="A23" s="561"/>
      <c r="B23" s="1297"/>
      <c r="C23" s="1298"/>
      <c r="D23" s="561"/>
      <c r="E23" s="517"/>
      <c r="F23" s="518" t="str">
        <f>ТС_ППС!F12</f>
        <v>Экономическая теория</v>
      </c>
      <c r="G23" s="655">
        <f>ТС_ППС!G12</f>
        <v>2</v>
      </c>
    </row>
    <row r="24" spans="1:7" s="297" customFormat="1" ht="13.5">
      <c r="A24" s="535" t="s">
        <v>63</v>
      </c>
      <c r="B24" s="1254" t="s">
        <v>64</v>
      </c>
      <c r="C24" s="1255"/>
      <c r="D24" s="552"/>
      <c r="E24" s="529"/>
      <c r="F24" s="535" t="str">
        <f>ТС_ППС!F15</f>
        <v>Вариативная часть</v>
      </c>
      <c r="G24" s="532">
        <f>ТС_ППС!G15</f>
        <v>10</v>
      </c>
    </row>
    <row r="25" spans="1:7" s="566" customFormat="1">
      <c r="A25" s="563"/>
      <c r="B25" s="564"/>
      <c r="C25" s="565"/>
      <c r="D25" s="563"/>
      <c r="E25" s="530"/>
      <c r="F25" s="518" t="str">
        <f>ТС_ППС!F13</f>
        <v>Правоведение</v>
      </c>
      <c r="G25" s="655">
        <f>ТС_ППС!G13</f>
        <v>3</v>
      </c>
    </row>
    <row r="26" spans="1:7" s="566" customFormat="1">
      <c r="A26" s="567"/>
      <c r="B26" s="568"/>
      <c r="C26" s="569"/>
      <c r="D26" s="567"/>
      <c r="E26" s="570"/>
      <c r="F26" s="518" t="str">
        <f>ТС_ППС!F17</f>
        <v>Социология</v>
      </c>
      <c r="G26" s="655">
        <f>ТС_ППС!G17</f>
        <v>2</v>
      </c>
    </row>
    <row r="27" spans="1:7" s="566" customFormat="1">
      <c r="A27" s="567"/>
      <c r="B27" s="568"/>
      <c r="C27" s="569"/>
      <c r="D27" s="567"/>
      <c r="E27" s="570"/>
      <c r="F27" s="518" t="str">
        <f>ТС_ППС!F14</f>
        <v>Экономика организации</v>
      </c>
      <c r="G27" s="655">
        <f>ТС_ППС!G14</f>
        <v>4</v>
      </c>
    </row>
    <row r="28" spans="1:7" s="566" customFormat="1">
      <c r="A28" s="567"/>
      <c r="B28" s="568"/>
      <c r="C28" s="569"/>
      <c r="D28" s="567"/>
      <c r="E28" s="570"/>
      <c r="F28" s="518" t="e">
        <f>ТС_ППС!#REF!</f>
        <v>#REF!</v>
      </c>
      <c r="G28" s="655" t="e">
        <f>ТС_ППС!#REF!</f>
        <v>#REF!</v>
      </c>
    </row>
    <row r="29" spans="1:7" s="297" customFormat="1" ht="13.5">
      <c r="A29" s="571"/>
      <c r="B29" s="572"/>
      <c r="C29" s="573"/>
      <c r="D29" s="574"/>
      <c r="E29" s="575"/>
      <c r="F29" s="535" t="str">
        <f>ТС_ППС!F18</f>
        <v>Дисциплины по выбору студентов</v>
      </c>
      <c r="G29" s="532">
        <f>ТС_ППС!G18</f>
        <v>5</v>
      </c>
    </row>
    <row r="30" spans="1:7" s="297" customFormat="1">
      <c r="A30" s="571"/>
      <c r="B30" s="576"/>
      <c r="C30" s="577"/>
      <c r="D30" s="571"/>
      <c r="E30" s="578"/>
      <c r="F30" s="518" t="str">
        <f>ТС_ППС!F19</f>
        <v xml:space="preserve">       ДВС №1, 5 сем.</v>
      </c>
      <c r="G30" s="655">
        <f>ТС_ППС!G19</f>
        <v>2</v>
      </c>
    </row>
    <row r="31" spans="1:7" s="297" customFormat="1">
      <c r="A31" s="571"/>
      <c r="B31" s="576"/>
      <c r="C31" s="577"/>
      <c r="D31" s="571"/>
      <c r="E31" s="578"/>
      <c r="F31" s="518" t="str">
        <f>ТС_ППС!F20</f>
        <v>Мировая культура: история и современность</v>
      </c>
      <c r="G31" s="659"/>
    </row>
    <row r="32" spans="1:7" s="297" customFormat="1">
      <c r="A32" s="571"/>
      <c r="B32" s="576"/>
      <c r="C32" s="577"/>
      <c r="D32" s="571"/>
      <c r="E32" s="578"/>
      <c r="F32" s="661" t="str">
        <f>ТС_ППС!F21</f>
        <v>Организационное поведение</v>
      </c>
      <c r="G32" s="662"/>
    </row>
    <row r="33" spans="1:11" s="297" customFormat="1" ht="25.5">
      <c r="A33" s="571"/>
      <c r="B33" s="576"/>
      <c r="C33" s="577"/>
      <c r="D33" s="571"/>
      <c r="E33" s="578"/>
      <c r="F33" s="661" t="str">
        <f>ТС_ППС!F22</f>
        <v>Психология личности. Теория и практика самопознания</v>
      </c>
      <c r="G33" s="662"/>
    </row>
    <row r="34" spans="1:11" s="297" customFormat="1">
      <c r="A34" s="571"/>
      <c r="B34" s="576"/>
      <c r="C34" s="577"/>
      <c r="D34" s="571"/>
      <c r="E34" s="578"/>
      <c r="F34" s="661" t="str">
        <f>ТС_ППС!F23</f>
        <v>Профессиональная этика</v>
      </c>
      <c r="G34" s="662"/>
      <c r="K34" s="302"/>
    </row>
    <row r="35" spans="1:11" s="297" customFormat="1">
      <c r="A35" s="571"/>
      <c r="B35" s="576"/>
      <c r="C35" s="577"/>
      <c r="D35" s="571"/>
      <c r="E35" s="578"/>
      <c r="F35" s="661" t="str">
        <f>ТС_ППС!F24</f>
        <v>Основы обеспечения качества</v>
      </c>
      <c r="G35" s="662"/>
    </row>
    <row r="36" spans="1:11" s="297" customFormat="1">
      <c r="A36" s="571"/>
      <c r="B36" s="576"/>
      <c r="C36" s="577"/>
      <c r="D36" s="571"/>
      <c r="E36" s="578"/>
      <c r="F36" s="661" t="str">
        <f>ТС_ППС!F25</f>
        <v>Маркетинг</v>
      </c>
      <c r="G36" s="662"/>
    </row>
    <row r="37" spans="1:11" s="297" customFormat="1">
      <c r="A37" s="571"/>
      <c r="B37" s="576"/>
      <c r="C37" s="577"/>
      <c r="D37" s="571"/>
      <c r="E37" s="578"/>
      <c r="F37" s="661" t="str">
        <f>ТС_ППС!F26</f>
        <v>Управление личными финансами</v>
      </c>
      <c r="G37" s="662"/>
    </row>
    <row r="38" spans="1:11" s="297" customFormat="1">
      <c r="A38" s="571"/>
      <c r="B38" s="576"/>
      <c r="C38" s="577"/>
      <c r="D38" s="571"/>
      <c r="E38" s="578"/>
      <c r="F38" s="518" t="str">
        <f>ТС_ППС!F27</f>
        <v>Основы бизнеса</v>
      </c>
      <c r="G38" s="660"/>
    </row>
    <row r="39" spans="1:11" s="297" customFormat="1">
      <c r="A39" s="571"/>
      <c r="B39" s="576"/>
      <c r="C39" s="577"/>
      <c r="D39" s="571"/>
      <c r="E39" s="578"/>
      <c r="F39" s="518" t="str">
        <f>ТС_ППС!F28</f>
        <v xml:space="preserve">       ДВС №2, 6 сем.</v>
      </c>
      <c r="G39" s="655">
        <f>ТС_ППС!G28</f>
        <v>3</v>
      </c>
      <c r="I39" s="302"/>
    </row>
    <row r="40" spans="1:11" s="297" customFormat="1">
      <c r="A40" s="571"/>
      <c r="B40" s="576"/>
      <c r="C40" s="577"/>
      <c r="D40" s="571"/>
      <c r="E40" s="578"/>
      <c r="F40" s="518" t="str">
        <f>ТС_ППС!F29</f>
        <v xml:space="preserve">Межличностное общение </v>
      </c>
      <c r="G40" s="659"/>
    </row>
    <row r="41" spans="1:11" s="297" customFormat="1">
      <c r="A41" s="571"/>
      <c r="B41" s="576"/>
      <c r="C41" s="577"/>
      <c r="D41" s="571"/>
      <c r="E41" s="578"/>
      <c r="F41" s="661" t="str">
        <f>ТС_ППС!F30</f>
        <v>Русский язык и культура речи</v>
      </c>
      <c r="G41" s="662"/>
      <c r="I41" s="302"/>
    </row>
    <row r="42" spans="1:11" s="297" customFormat="1">
      <c r="A42" s="571"/>
      <c r="B42" s="576"/>
      <c r="C42" s="577"/>
      <c r="D42" s="571"/>
      <c r="E42" s="578"/>
      <c r="F42" s="661" t="str">
        <f>ТС_ППС!F31</f>
        <v xml:space="preserve">Теория и практика аргументации </v>
      </c>
      <c r="G42" s="662"/>
    </row>
    <row r="43" spans="1:11" s="297" customFormat="1">
      <c r="A43" s="571"/>
      <c r="B43" s="576"/>
      <c r="C43" s="577"/>
      <c r="D43" s="571"/>
      <c r="E43" s="578"/>
      <c r="F43" s="661" t="str">
        <f>ТС_ППС!F32</f>
        <v>Психология делового общения</v>
      </c>
      <c r="G43" s="662"/>
    </row>
    <row r="44" spans="1:11" s="297" customFormat="1">
      <c r="A44" s="571"/>
      <c r="B44" s="576"/>
      <c r="C44" s="577"/>
      <c r="D44" s="571"/>
      <c r="E44" s="578"/>
      <c r="F44" s="661" t="str">
        <f>ТС_ППС!F33</f>
        <v>Управленческие решения</v>
      </c>
      <c r="G44" s="662"/>
    </row>
    <row r="45" spans="1:11" s="297" customFormat="1">
      <c r="A45" s="571"/>
      <c r="B45" s="576"/>
      <c r="C45" s="577"/>
      <c r="D45" s="571"/>
      <c r="E45" s="578"/>
      <c r="F45" s="661" t="str">
        <f>ТС_ППС!F34</f>
        <v>Основы управления коллективом</v>
      </c>
      <c r="G45" s="662"/>
    </row>
    <row r="46" spans="1:11" s="297" customFormat="1">
      <c r="A46" s="571"/>
      <c r="B46" s="576"/>
      <c r="C46" s="577"/>
      <c r="D46" s="571"/>
      <c r="E46" s="578"/>
      <c r="F46" s="661" t="str">
        <f>ТС_ППС!F35</f>
        <v>Бизнес-планирование</v>
      </c>
      <c r="G46" s="662"/>
    </row>
    <row r="47" spans="1:11" s="297" customFormat="1">
      <c r="A47" s="580"/>
      <c r="B47" s="581"/>
      <c r="C47" s="582"/>
      <c r="D47" s="580"/>
      <c r="E47" s="583"/>
      <c r="F47" s="518" t="str">
        <f>ТС_ППС!F36</f>
        <v>Рынок ценных бумаг</v>
      </c>
      <c r="G47" s="660"/>
    </row>
    <row r="48" spans="1:11" s="297" customFormat="1" ht="27" customHeight="1">
      <c r="A48" s="584" t="s">
        <v>67</v>
      </c>
      <c r="B48" s="1291" t="s">
        <v>68</v>
      </c>
      <c r="C48" s="1292"/>
      <c r="D48" s="738">
        <v>59</v>
      </c>
      <c r="E48" s="738">
        <v>69</v>
      </c>
      <c r="F48" s="669" t="str">
        <f>ТС_ППС!F37</f>
        <v>Математический и естественнонаучный цикл</v>
      </c>
      <c r="G48" s="670">
        <f>ТС_ППС!G37</f>
        <v>96</v>
      </c>
    </row>
    <row r="49" spans="1:10" s="640" customFormat="1" ht="13.5">
      <c r="A49" s="641" t="s">
        <v>69</v>
      </c>
      <c r="B49" s="1282" t="s">
        <v>61</v>
      </c>
      <c r="C49" s="1283"/>
      <c r="D49" s="642">
        <v>27</v>
      </c>
      <c r="E49" s="643">
        <v>37</v>
      </c>
      <c r="F49" s="535" t="str">
        <f>ТС_ППС!F38</f>
        <v>Базовая часть</v>
      </c>
      <c r="G49" s="532">
        <f>ТС_ППС!G38</f>
        <v>77</v>
      </c>
    </row>
    <row r="50" spans="1:10" s="297" customFormat="1">
      <c r="A50" s="567"/>
      <c r="B50" s="585"/>
      <c r="C50" s="586"/>
      <c r="D50" s="587"/>
      <c r="E50" s="555"/>
      <c r="F50" s="518" t="str">
        <f>ТС_ППС!F39</f>
        <v>Математический анализ</v>
      </c>
      <c r="G50" s="655">
        <f>ТС_ППС!G39</f>
        <v>5</v>
      </c>
      <c r="J50" s="588"/>
    </row>
    <row r="51" spans="1:10" s="297" customFormat="1">
      <c r="A51" s="567"/>
      <c r="B51" s="585"/>
      <c r="C51" s="586"/>
      <c r="D51" s="587"/>
      <c r="E51" s="555"/>
      <c r="F51" s="518" t="str">
        <f>ТС_ППС!F42</f>
        <v>Алгебра и геометрия</v>
      </c>
      <c r="G51" s="655">
        <f>ТС_ППС!G42</f>
        <v>4</v>
      </c>
      <c r="J51" s="588"/>
    </row>
    <row r="52" spans="1:10" s="297" customFormat="1">
      <c r="A52" s="571"/>
      <c r="B52" s="589"/>
      <c r="C52" s="590"/>
      <c r="D52" s="591"/>
      <c r="E52" s="539"/>
      <c r="F52" s="518" t="str">
        <f>ТС_ППС!F47</f>
        <v>Дискретная математика</v>
      </c>
      <c r="G52" s="655">
        <f>ТС_ППС!G47</f>
        <v>5</v>
      </c>
      <c r="J52" s="588"/>
    </row>
    <row r="53" spans="1:10" s="297" customFormat="1" ht="25.5">
      <c r="A53" s="571"/>
      <c r="B53" s="589"/>
      <c r="C53" s="590"/>
      <c r="D53" s="591"/>
      <c r="E53" s="539"/>
      <c r="F53" s="518" t="str">
        <f>ТС_ППС!F45</f>
        <v>Теория вероятностей и математическая статистика</v>
      </c>
      <c r="G53" s="655">
        <f>ТС_ППС!G45</f>
        <v>4</v>
      </c>
    </row>
    <row r="54" spans="1:10" s="297" customFormat="1">
      <c r="A54" s="571"/>
      <c r="B54" s="589"/>
      <c r="C54" s="590"/>
      <c r="D54" s="591"/>
      <c r="E54" s="539"/>
      <c r="F54" s="518" t="e">
        <f>ТС_ППС!#REF!</f>
        <v>#REF!</v>
      </c>
      <c r="G54" s="655" t="e">
        <f>ТС_ППС!#REF!</f>
        <v>#REF!</v>
      </c>
    </row>
    <row r="55" spans="1:10" s="297" customFormat="1">
      <c r="A55" s="567"/>
      <c r="B55" s="585"/>
      <c r="C55" s="586"/>
      <c r="D55" s="587"/>
      <c r="E55" s="555"/>
      <c r="F55" s="518" t="str">
        <f>ТС_ППС!F52</f>
        <v>Информатика</v>
      </c>
      <c r="G55" s="655">
        <f>ТС_ППС!G52</f>
        <v>4</v>
      </c>
    </row>
    <row r="56" spans="1:10" s="297" customFormat="1">
      <c r="A56" s="567"/>
      <c r="B56" s="585"/>
      <c r="C56" s="586"/>
      <c r="D56" s="587"/>
      <c r="E56" s="555"/>
      <c r="F56" s="518" t="str">
        <f>ТС_ППС!F49</f>
        <v>Механика и термодинамика</v>
      </c>
      <c r="G56" s="655">
        <f>ТС_ППС!G49</f>
        <v>4</v>
      </c>
    </row>
    <row r="57" spans="1:10" s="297" customFormat="1">
      <c r="A57" s="567"/>
      <c r="B57" s="585"/>
      <c r="C57" s="586"/>
      <c r="D57" s="587"/>
      <c r="E57" s="555"/>
      <c r="F57" s="518" t="e">
        <f>ТС_ППС!#REF!</f>
        <v>#REF!</v>
      </c>
      <c r="G57" s="655" t="e">
        <f>ТС_ППС!#REF!</f>
        <v>#REF!</v>
      </c>
    </row>
    <row r="58" spans="1:10" s="297" customFormat="1">
      <c r="A58" s="592"/>
      <c r="B58" s="593"/>
      <c r="C58" s="594"/>
      <c r="D58" s="595"/>
      <c r="E58" s="556"/>
      <c r="F58" s="518" t="str">
        <f>ТС_ППС!F60</f>
        <v>Экология</v>
      </c>
      <c r="G58" s="655">
        <f>ТС_ППС!G60</f>
        <v>2</v>
      </c>
    </row>
    <row r="59" spans="1:10" s="297" customFormat="1" ht="13.5">
      <c r="A59" s="535" t="s">
        <v>70</v>
      </c>
      <c r="B59" s="1258" t="s">
        <v>64</v>
      </c>
      <c r="C59" s="1259"/>
      <c r="D59" s="536"/>
      <c r="E59" s="537"/>
      <c r="F59" s="535" t="str">
        <f>ТС_ППС!F58</f>
        <v>Вариативная часть</v>
      </c>
      <c r="G59" s="532">
        <f>ТС_ППС!G58</f>
        <v>19</v>
      </c>
    </row>
    <row r="60" spans="1:10" s="297" customFormat="1" ht="25.5">
      <c r="A60" s="563"/>
      <c r="B60" s="596"/>
      <c r="C60" s="597"/>
      <c r="D60" s="598"/>
      <c r="E60" s="554"/>
      <c r="F60" s="518" t="str">
        <f>ТС_ППС!F40</f>
        <v>Математический анализ. Дополнительные главы.</v>
      </c>
      <c r="G60" s="655">
        <f>ТС_ППС!G40</f>
        <v>4</v>
      </c>
    </row>
    <row r="61" spans="1:10" s="297" customFormat="1" ht="30" customHeight="1">
      <c r="A61" s="567"/>
      <c r="B61" s="585"/>
      <c r="C61" s="586"/>
      <c r="D61" s="587"/>
      <c r="E61" s="555"/>
      <c r="F61" s="518" t="str">
        <f>ТС_ППС!F41</f>
        <v>Специальные разделы математического анализа</v>
      </c>
      <c r="G61" s="655">
        <f>ТС_ППС!G41</f>
        <v>4</v>
      </c>
    </row>
    <row r="62" spans="1:10" s="297" customFormat="1" ht="13.5" customHeight="1">
      <c r="A62" s="567"/>
      <c r="B62" s="585"/>
      <c r="C62" s="586"/>
      <c r="D62" s="587"/>
      <c r="E62" s="555"/>
      <c r="F62" s="518" t="e">
        <f>ТС_ППС!#REF!</f>
        <v>#REF!</v>
      </c>
      <c r="G62" s="655" t="e">
        <f>ТС_ППС!#REF!</f>
        <v>#REF!</v>
      </c>
    </row>
    <row r="63" spans="1:10" s="297" customFormat="1">
      <c r="A63" s="567"/>
      <c r="B63" s="585"/>
      <c r="C63" s="586"/>
      <c r="D63" s="587"/>
      <c r="E63" s="555"/>
      <c r="F63" s="518" t="str">
        <f>ТС_ППС!F50</f>
        <v>Электричество и магнетизм</v>
      </c>
      <c r="G63" s="655">
        <f>ТС_ППС!G50</f>
        <v>4</v>
      </c>
    </row>
    <row r="64" spans="1:10" s="297" customFormat="1">
      <c r="A64" s="567"/>
      <c r="B64" s="585"/>
      <c r="C64" s="586"/>
      <c r="D64" s="587"/>
      <c r="E64" s="555"/>
      <c r="F64" s="518" t="str">
        <f>ТС_ППС!F51</f>
        <v>Физика. Дополнительные главы</v>
      </c>
      <c r="G64" s="655">
        <f>ТС_ППС!G51</f>
        <v>3</v>
      </c>
    </row>
    <row r="65" spans="1:10" s="297" customFormat="1" ht="13.5">
      <c r="A65" s="574"/>
      <c r="B65" s="572"/>
      <c r="C65" s="573"/>
      <c r="D65" s="574"/>
      <c r="E65" s="575"/>
      <c r="F65" s="535" t="e">
        <f>ТС_ППС!#REF!</f>
        <v>#REF!</v>
      </c>
      <c r="G65" s="532" t="e">
        <f>ТС_ППС!#REF!</f>
        <v>#REF!</v>
      </c>
    </row>
    <row r="66" spans="1:10" s="297" customFormat="1">
      <c r="A66" s="571"/>
      <c r="B66" s="576"/>
      <c r="C66" s="577"/>
      <c r="D66" s="571"/>
      <c r="E66" s="578"/>
      <c r="F66" s="518" t="e">
        <f>ТС_ППС!#REF!</f>
        <v>#REF!</v>
      </c>
      <c r="G66" s="655" t="e">
        <f>ТС_ППС!#REF!</f>
        <v>#REF!</v>
      </c>
    </row>
    <row r="67" spans="1:10" s="297" customFormat="1">
      <c r="A67" s="571"/>
      <c r="B67" s="576"/>
      <c r="C67" s="577"/>
      <c r="D67" s="571"/>
      <c r="E67" s="578"/>
      <c r="F67" s="518" t="e">
        <f>ТС_ППС!#REF!</f>
        <v>#REF!</v>
      </c>
      <c r="G67" s="659"/>
    </row>
    <row r="68" spans="1:10" s="297" customFormat="1">
      <c r="A68" s="571"/>
      <c r="B68" s="576"/>
      <c r="C68" s="577"/>
      <c r="D68" s="571"/>
      <c r="E68" s="578"/>
      <c r="F68" s="518" t="e">
        <f>ТС_ППС!#REF!</f>
        <v>#REF!</v>
      </c>
      <c r="G68" s="660"/>
      <c r="J68" s="599"/>
    </row>
    <row r="69" spans="1:10" s="297" customFormat="1">
      <c r="A69" s="567"/>
      <c r="B69" s="568"/>
      <c r="C69" s="569"/>
      <c r="D69" s="567"/>
      <c r="E69" s="570"/>
      <c r="F69" s="518" t="e">
        <f>ТС_ППС!#REF!</f>
        <v>#REF!</v>
      </c>
      <c r="G69" s="655" t="e">
        <f>ТС_ППС!#REF!</f>
        <v>#REF!</v>
      </c>
      <c r="J69" s="302"/>
    </row>
    <row r="70" spans="1:10" s="297" customFormat="1">
      <c r="A70" s="567"/>
      <c r="B70" s="568"/>
      <c r="C70" s="569"/>
      <c r="D70" s="567"/>
      <c r="E70" s="570"/>
      <c r="F70" s="518" t="e">
        <f>ТС_ППС!#REF!</f>
        <v>#REF!</v>
      </c>
      <c r="G70" s="659"/>
    </row>
    <row r="71" spans="1:10" s="309" customFormat="1">
      <c r="A71" s="600"/>
      <c r="B71" s="601"/>
      <c r="C71" s="602"/>
      <c r="D71" s="600"/>
      <c r="E71" s="540"/>
      <c r="F71" s="518" t="e">
        <f>ТС_ППС!#REF!</f>
        <v>#REF!</v>
      </c>
      <c r="G71" s="660"/>
      <c r="I71" s="603"/>
    </row>
    <row r="72" spans="1:10" s="309" customFormat="1">
      <c r="A72" s="552" t="s">
        <v>71</v>
      </c>
      <c r="B72" s="1295" t="s">
        <v>72</v>
      </c>
      <c r="C72" s="1296"/>
      <c r="D72" s="671">
        <v>115</v>
      </c>
      <c r="E72" s="671">
        <v>125</v>
      </c>
      <c r="F72" s="672" t="str">
        <f>ТС_ППС!F67</f>
        <v>Профессиональный цикл</v>
      </c>
      <c r="G72" s="673">
        <f>ТС_ППС!G67</f>
        <v>155</v>
      </c>
    </row>
    <row r="73" spans="1:10" s="645" customFormat="1" ht="12.75" customHeight="1">
      <c r="A73" s="535" t="s">
        <v>73</v>
      </c>
      <c r="B73" s="1254" t="s">
        <v>61</v>
      </c>
      <c r="C73" s="1255"/>
      <c r="D73" s="532">
        <v>57</v>
      </c>
      <c r="E73" s="537">
        <v>62</v>
      </c>
      <c r="F73" s="535" t="str">
        <f>ТС_ППС!F68</f>
        <v>Базовая часть</v>
      </c>
      <c r="G73" s="532">
        <f>ТС_ППС!G68</f>
        <v>123</v>
      </c>
    </row>
    <row r="74" spans="1:10" s="309" customFormat="1">
      <c r="A74" s="552"/>
      <c r="B74" s="1248" t="s">
        <v>25</v>
      </c>
      <c r="C74" s="1249"/>
      <c r="D74" s="604"/>
      <c r="E74" s="540"/>
      <c r="F74" s="518" t="str">
        <f>ТС_ППС!F69</f>
        <v>Безопасность жизнедеятельности</v>
      </c>
      <c r="G74" s="655">
        <f>ТС_ППС!G69</f>
        <v>3</v>
      </c>
    </row>
    <row r="75" spans="1:10" s="309" customFormat="1" ht="12.75" customHeight="1">
      <c r="A75" s="605"/>
      <c r="B75" s="606"/>
      <c r="C75" s="607"/>
      <c r="D75" s="605"/>
      <c r="E75" s="538"/>
      <c r="F75" s="518" t="str">
        <f>ТС_ППС!F70</f>
        <v>Программирование</v>
      </c>
      <c r="G75" s="655">
        <f>ТС_ППС!G70</f>
        <v>6</v>
      </c>
    </row>
    <row r="76" spans="1:10" s="309" customFormat="1">
      <c r="A76" s="591"/>
      <c r="B76" s="589"/>
      <c r="C76" s="590"/>
      <c r="D76" s="591"/>
      <c r="E76" s="539"/>
      <c r="F76" s="518" t="str">
        <f>ТС_ППС!F71</f>
        <v>Программирование. Дополнительные главы</v>
      </c>
      <c r="G76" s="655">
        <f>ТС_ППС!G71</f>
        <v>5</v>
      </c>
    </row>
    <row r="77" spans="1:10" s="309" customFormat="1">
      <c r="A77" s="608"/>
      <c r="B77" s="609"/>
      <c r="C77" s="610"/>
      <c r="D77" s="608"/>
      <c r="E77" s="611"/>
      <c r="F77" s="518" t="str">
        <f>ТС_ППС!F55</f>
        <v>Теоретические основы электротехники</v>
      </c>
      <c r="G77" s="655">
        <f>ТС_ППС!G55</f>
        <v>5</v>
      </c>
    </row>
    <row r="78" spans="1:10" s="309" customFormat="1">
      <c r="A78" s="591"/>
      <c r="B78" s="589"/>
      <c r="C78" s="590"/>
      <c r="D78" s="591"/>
      <c r="E78" s="539"/>
      <c r="F78" s="518" t="str">
        <f>ТС_ППС!F99</f>
        <v>Метрология</v>
      </c>
      <c r="G78" s="655">
        <f>ТС_ППС!G99</f>
        <v>4</v>
      </c>
    </row>
    <row r="79" spans="1:10" s="309" customFormat="1" ht="12.75" customHeight="1">
      <c r="A79" s="608"/>
      <c r="B79" s="609"/>
      <c r="C79" s="610"/>
      <c r="D79" s="608"/>
      <c r="E79" s="611"/>
      <c r="F79" s="518" t="e">
        <f>ТС_ППС!#REF!</f>
        <v>#REF!</v>
      </c>
      <c r="G79" s="655" t="e">
        <f>ТС_ППС!#REF!</f>
        <v>#REF!</v>
      </c>
    </row>
    <row r="80" spans="1:10" s="309" customFormat="1">
      <c r="A80" s="571"/>
      <c r="B80" s="589"/>
      <c r="C80" s="590"/>
      <c r="D80" s="591"/>
      <c r="E80" s="539"/>
      <c r="F80" s="518" t="e">
        <f>ТС_ППС!#REF!</f>
        <v>#REF!</v>
      </c>
      <c r="G80" s="655" t="e">
        <f>ТС_ППС!#REF!</f>
        <v>#REF!</v>
      </c>
    </row>
    <row r="81" spans="1:7" s="309" customFormat="1">
      <c r="A81" s="608"/>
      <c r="B81" s="609"/>
      <c r="C81" s="610"/>
      <c r="D81" s="608"/>
      <c r="E81" s="611"/>
      <c r="F81" s="518" t="e">
        <f>ТС_ППС!#REF!</f>
        <v>#REF!</v>
      </c>
      <c r="G81" s="655" t="e">
        <f>ТС_ППС!#REF!</f>
        <v>#REF!</v>
      </c>
    </row>
    <row r="82" spans="1:7" s="309" customFormat="1">
      <c r="A82" s="591"/>
      <c r="B82" s="589"/>
      <c r="C82" s="590"/>
      <c r="D82" s="591"/>
      <c r="E82" s="539"/>
      <c r="F82" s="518" t="str">
        <f>ТС_ППС!F72</f>
        <v>Алгоритмы и структуры данных</v>
      </c>
      <c r="G82" s="655">
        <f>ТС_ППС!G72</f>
        <v>4</v>
      </c>
    </row>
    <row r="83" spans="1:7" s="309" customFormat="1" ht="12.75" customHeight="1">
      <c r="A83" s="591"/>
      <c r="B83" s="589"/>
      <c r="C83" s="590"/>
      <c r="D83" s="591"/>
      <c r="E83" s="539"/>
      <c r="F83" s="518" t="str">
        <f>ТС_ППС!F78</f>
        <v>Управление данными</v>
      </c>
      <c r="G83" s="655">
        <f>ТС_ППС!G78</f>
        <v>4</v>
      </c>
    </row>
    <row r="84" spans="1:7" s="309" customFormat="1">
      <c r="A84" s="591"/>
      <c r="B84" s="589"/>
      <c r="C84" s="590"/>
      <c r="D84" s="591"/>
      <c r="E84" s="539"/>
      <c r="F84" s="518" t="str">
        <f>ТС_ППС!F76</f>
        <v>Операционные системы</v>
      </c>
      <c r="G84" s="655">
        <f>ТС_ППС!G76</f>
        <v>4</v>
      </c>
    </row>
    <row r="85" spans="1:7" s="309" customFormat="1">
      <c r="A85" s="591"/>
      <c r="B85" s="589"/>
      <c r="C85" s="590"/>
      <c r="D85" s="591"/>
      <c r="E85" s="539"/>
      <c r="F85" s="518" t="str">
        <f>ТС_ППС!F77</f>
        <v>Инфокоммуникационные системы и сети</v>
      </c>
      <c r="G85" s="655">
        <f>ТС_ППС!G77</f>
        <v>4</v>
      </c>
    </row>
    <row r="86" spans="1:7" s="309" customFormat="1" ht="14.25" customHeight="1">
      <c r="A86" s="608"/>
      <c r="B86" s="609"/>
      <c r="C86" s="610"/>
      <c r="D86" s="608"/>
      <c r="E86" s="611"/>
      <c r="F86" s="518" t="str">
        <f>ТС_ППС!F100</f>
        <v>Интеллектуальные информационные системы</v>
      </c>
      <c r="G86" s="655">
        <f>ТС_ППС!G100</f>
        <v>4</v>
      </c>
    </row>
    <row r="87" spans="1:7" s="309" customFormat="1" ht="25.5">
      <c r="A87" s="604"/>
      <c r="B87" s="612"/>
      <c r="C87" s="613"/>
      <c r="D87" s="604"/>
      <c r="E87" s="540"/>
      <c r="F87" s="518" t="str">
        <f>ТС_ППС!F97</f>
        <v>Технология разработки программного обеспечения</v>
      </c>
      <c r="G87" s="655">
        <f>ТС_ППС!G97</f>
        <v>5</v>
      </c>
    </row>
    <row r="88" spans="1:7" s="309" customFormat="1" ht="18" customHeight="1">
      <c r="A88" s="535" t="s">
        <v>209</v>
      </c>
      <c r="B88" s="1258" t="s">
        <v>74</v>
      </c>
      <c r="C88" s="1259"/>
      <c r="D88" s="536"/>
      <c r="E88" s="537"/>
      <c r="F88" s="535" t="str">
        <f>ТС_ППС!F98</f>
        <v>Вариативная часть</v>
      </c>
      <c r="G88" s="532">
        <f>ТС_ППС!G98</f>
        <v>32</v>
      </c>
    </row>
    <row r="89" spans="1:7" s="309" customFormat="1">
      <c r="A89" s="614"/>
      <c r="B89" s="615"/>
      <c r="C89" s="616"/>
      <c r="D89" s="614"/>
      <c r="E89" s="617"/>
      <c r="F89" s="518" t="e">
        <f>ТС_ППС!#REF!</f>
        <v>#REF!</v>
      </c>
      <c r="G89" s="655" t="e">
        <f>ТС_ППС!#REF!</f>
        <v>#REF!</v>
      </c>
    </row>
    <row r="90" spans="1:7" s="309" customFormat="1">
      <c r="A90" s="571"/>
      <c r="B90" s="589"/>
      <c r="C90" s="590"/>
      <c r="D90" s="591"/>
      <c r="E90" s="539"/>
      <c r="F90" s="518" t="e">
        <f>ТС_ППС!#REF!</f>
        <v>#REF!</v>
      </c>
      <c r="G90" s="655" t="e">
        <f>ТС_ППС!#REF!</f>
        <v>#REF!</v>
      </c>
    </row>
    <row r="91" spans="1:7" s="309" customFormat="1" ht="13.5" customHeight="1">
      <c r="A91" s="591"/>
      <c r="B91" s="589"/>
      <c r="C91" s="590"/>
      <c r="D91" s="591"/>
      <c r="E91" s="539"/>
      <c r="F91" s="518" t="str">
        <f>ТС_ППС!F75</f>
        <v>Архитектура информационных систем</v>
      </c>
      <c r="G91" s="655">
        <f>ТС_ППС!G75</f>
        <v>4</v>
      </c>
    </row>
    <row r="92" spans="1:7" s="309" customFormat="1" ht="14.25" customHeight="1">
      <c r="A92" s="608"/>
      <c r="B92" s="609"/>
      <c r="C92" s="610"/>
      <c r="D92" s="608"/>
      <c r="E92" s="611"/>
      <c r="F92" s="518" t="str">
        <f>ТС_ППС!F73</f>
        <v>Объектно-ориентированное программирование</v>
      </c>
      <c r="G92" s="655">
        <f>ТС_ППС!G73</f>
        <v>4</v>
      </c>
    </row>
    <row r="93" spans="1:7" s="309" customFormat="1" ht="13.5" customHeight="1">
      <c r="A93" s="591"/>
      <c r="B93" s="589"/>
      <c r="C93" s="590"/>
      <c r="D93" s="591"/>
      <c r="E93" s="539"/>
      <c r="F93" s="518" t="str">
        <f>ТС_ППС!F62</f>
        <v>Моделирование систем</v>
      </c>
      <c r="G93" s="655">
        <f>ТС_ППС!G62</f>
        <v>6</v>
      </c>
    </row>
    <row r="94" spans="1:7" s="309" customFormat="1">
      <c r="A94" s="591"/>
      <c r="B94" s="589"/>
      <c r="C94" s="590"/>
      <c r="D94" s="591"/>
      <c r="E94" s="539"/>
      <c r="F94" s="518" t="e">
        <f>ТС_ППС!#REF!</f>
        <v>#REF!</v>
      </c>
      <c r="G94" s="655" t="e">
        <f>ТС_ППС!#REF!</f>
        <v>#REF!</v>
      </c>
    </row>
    <row r="95" spans="1:7" s="309" customFormat="1" ht="13.5">
      <c r="A95" s="591"/>
      <c r="B95" s="589"/>
      <c r="C95" s="590"/>
      <c r="D95" s="591"/>
      <c r="E95" s="539"/>
      <c r="F95" s="674" t="e">
        <f>ТС_ППС!#REF!</f>
        <v>#REF!</v>
      </c>
      <c r="G95" s="543" t="e">
        <f>ТС_ППС!#REF!</f>
        <v>#REF!</v>
      </c>
    </row>
    <row r="96" spans="1:7" s="309" customFormat="1">
      <c r="A96" s="608"/>
      <c r="B96" s="609"/>
      <c r="C96" s="610"/>
      <c r="D96" s="608"/>
      <c r="E96" s="611"/>
      <c r="F96" s="619" t="e">
        <f>ТС_ППС!#REF!</f>
        <v>#REF!</v>
      </c>
      <c r="G96" s="545" t="e">
        <f>ТС_ППС!#REF!</f>
        <v>#REF!</v>
      </c>
    </row>
    <row r="97" spans="1:8" s="309" customFormat="1" ht="25.5">
      <c r="A97" s="591"/>
      <c r="B97" s="589"/>
      <c r="C97" s="590"/>
      <c r="D97" s="591"/>
      <c r="E97" s="539"/>
      <c r="F97" s="619" t="str">
        <f>ТС_ППС!F101</f>
        <v>Корпоративные информационные управляющие системы</v>
      </c>
      <c r="G97" s="545">
        <f>ТС_ППС!G101</f>
        <v>6</v>
      </c>
      <c r="H97" s="654"/>
    </row>
    <row r="98" spans="1:8" s="309" customFormat="1">
      <c r="A98" s="591"/>
      <c r="B98" s="589"/>
      <c r="C98" s="590"/>
      <c r="D98" s="591"/>
      <c r="E98" s="539"/>
      <c r="F98" s="619" t="str">
        <f>ТС_ППС!F107</f>
        <v>Системы реального времени</v>
      </c>
      <c r="G98" s="545">
        <f>ТС_ППС!G107</f>
        <v>0</v>
      </c>
    </row>
    <row r="99" spans="1:8" s="309" customFormat="1">
      <c r="A99" s="608"/>
      <c r="B99" s="609"/>
      <c r="C99" s="610"/>
      <c r="D99" s="608"/>
      <c r="E99" s="611"/>
      <c r="F99" s="619" t="e">
        <f>ТС_ППС!#REF!</f>
        <v>#REF!</v>
      </c>
      <c r="G99" s="545" t="e">
        <f>ТС_ППС!#REF!</f>
        <v>#REF!</v>
      </c>
    </row>
    <row r="100" spans="1:8" s="309" customFormat="1" ht="15.75" customHeight="1">
      <c r="A100" s="608"/>
      <c r="B100" s="621"/>
      <c r="C100" s="622"/>
      <c r="D100" s="623"/>
      <c r="E100" s="624"/>
      <c r="F100" s="535" t="str">
        <f>ТС_ППС!F102</f>
        <v>Дисциплины по выбору студентов</v>
      </c>
      <c r="G100" s="532">
        <f>ТС_ППС!G102</f>
        <v>18</v>
      </c>
    </row>
    <row r="101" spans="1:8" s="309" customFormat="1" ht="15" customHeight="1">
      <c r="A101" s="608"/>
      <c r="B101" s="625"/>
      <c r="C101" s="626"/>
      <c r="D101" s="627"/>
      <c r="E101" s="627"/>
      <c r="F101" s="518" t="e">
        <f>ТС_ППС!#REF!</f>
        <v>#REF!</v>
      </c>
      <c r="G101" s="655" t="e">
        <f>ТС_ППС!#REF!</f>
        <v>#REF!</v>
      </c>
    </row>
    <row r="102" spans="1:8" s="309" customFormat="1">
      <c r="A102" s="608"/>
      <c r="B102" s="625"/>
      <c r="C102" s="626"/>
      <c r="D102" s="627"/>
      <c r="E102" s="627"/>
      <c r="F102" s="518" t="e">
        <f>ТС_ППС!#REF!</f>
        <v>#REF!</v>
      </c>
      <c r="G102" s="659"/>
    </row>
    <row r="103" spans="1:8" s="309" customFormat="1">
      <c r="A103" s="608"/>
      <c r="B103" s="625"/>
      <c r="C103" s="626"/>
      <c r="D103" s="627"/>
      <c r="E103" s="627"/>
      <c r="F103" s="518" t="e">
        <f>ТС_ППС!#REF!</f>
        <v>#REF!</v>
      </c>
      <c r="G103" s="660"/>
    </row>
    <row r="104" spans="1:8" s="309" customFormat="1" ht="15" customHeight="1">
      <c r="A104" s="587"/>
      <c r="B104" s="585"/>
      <c r="C104" s="586"/>
      <c r="D104" s="587"/>
      <c r="E104" s="555"/>
      <c r="F104" s="518" t="e">
        <f>ТС_ППС!#REF!</f>
        <v>#REF!</v>
      </c>
      <c r="G104" s="655" t="e">
        <f>ТС_ППС!#REF!</f>
        <v>#REF!</v>
      </c>
    </row>
    <row r="105" spans="1:8" s="309" customFormat="1">
      <c r="A105" s="587"/>
      <c r="B105" s="585"/>
      <c r="C105" s="586"/>
      <c r="D105" s="587"/>
      <c r="E105" s="555"/>
      <c r="F105" s="518" t="e">
        <f>ТС_ППС!#REF!</f>
        <v>#REF!</v>
      </c>
      <c r="G105" s="659"/>
    </row>
    <row r="106" spans="1:8" s="309" customFormat="1" ht="13.5" customHeight="1">
      <c r="A106" s="587"/>
      <c r="B106" s="585"/>
      <c r="C106" s="586"/>
      <c r="D106" s="587"/>
      <c r="E106" s="555"/>
      <c r="F106" s="518" t="e">
        <f>ТС_ППС!#REF!</f>
        <v>#REF!</v>
      </c>
      <c r="G106" s="660"/>
    </row>
    <row r="107" spans="1:8" s="309" customFormat="1" ht="13.5">
      <c r="A107" s="608"/>
      <c r="B107" s="609"/>
      <c r="C107" s="610"/>
      <c r="D107" s="608"/>
      <c r="E107" s="611"/>
      <c r="F107" s="674" t="e">
        <f>ТС_ППС!#REF!</f>
        <v>#REF!</v>
      </c>
      <c r="G107" s="543" t="e">
        <f>ТС_ППС!#REF!</f>
        <v>#REF!</v>
      </c>
    </row>
    <row r="108" spans="1:8" s="309" customFormat="1" ht="13.5" customHeight="1">
      <c r="A108" s="608"/>
      <c r="B108" s="609"/>
      <c r="C108" s="610"/>
      <c r="D108" s="608"/>
      <c r="E108" s="611"/>
      <c r="F108" s="619" t="e">
        <f>ТС_ППС!#REF!</f>
        <v>#REF!</v>
      </c>
      <c r="G108" s="545" t="e">
        <f>ТС_ППС!#REF!</f>
        <v>#REF!</v>
      </c>
    </row>
    <row r="109" spans="1:8" s="309" customFormat="1" ht="13.5" customHeight="1">
      <c r="A109" s="608"/>
      <c r="B109" s="609"/>
      <c r="C109" s="610"/>
      <c r="D109" s="608"/>
      <c r="E109" s="611"/>
      <c r="F109" s="619" t="e">
        <f>ТС_ППС!#REF!</f>
        <v>#REF!</v>
      </c>
      <c r="G109" s="546"/>
    </row>
    <row r="110" spans="1:8" s="309" customFormat="1" ht="15.75" customHeight="1">
      <c r="A110" s="608"/>
      <c r="B110" s="609"/>
      <c r="C110" s="610"/>
      <c r="D110" s="608"/>
      <c r="E110" s="611"/>
      <c r="F110" s="619" t="e">
        <f>ТС_ППС!#REF!</f>
        <v>#REF!</v>
      </c>
      <c r="G110" s="547"/>
    </row>
    <row r="111" spans="1:8" s="309" customFormat="1" ht="15.75" customHeight="1">
      <c r="A111" s="608"/>
      <c r="B111" s="609"/>
      <c r="C111" s="610"/>
      <c r="D111" s="608"/>
      <c r="E111" s="611"/>
      <c r="F111" s="619" t="str">
        <f>ТС_ППС!F112</f>
        <v xml:space="preserve">       ДВС №3, 4 сем.                        </v>
      </c>
      <c r="G111" s="545">
        <f>ТС_ППС!G112</f>
        <v>5</v>
      </c>
    </row>
    <row r="112" spans="1:8" s="309" customFormat="1">
      <c r="A112" s="608"/>
      <c r="B112" s="609"/>
      <c r="C112" s="610"/>
      <c r="D112" s="608"/>
      <c r="E112" s="611"/>
      <c r="F112" s="619" t="str">
        <f>ТС_ППС!F113</f>
        <v xml:space="preserve">Конструирование программ  </v>
      </c>
      <c r="G112" s="546"/>
    </row>
    <row r="113" spans="1:7" s="309" customFormat="1">
      <c r="A113" s="608"/>
      <c r="B113" s="609"/>
      <c r="C113" s="610"/>
      <c r="D113" s="608"/>
      <c r="E113" s="611"/>
      <c r="F113" s="619" t="str">
        <f>ТС_ППС!F114</f>
        <v>Методы разработки программных изделий</v>
      </c>
      <c r="G113" s="547"/>
    </row>
    <row r="114" spans="1:7" s="309" customFormat="1">
      <c r="A114" s="567"/>
      <c r="B114" s="568"/>
      <c r="C114" s="569"/>
      <c r="D114" s="567"/>
      <c r="E114" s="570"/>
      <c r="F114" s="619" t="e">
        <f>ТС_ППС!#REF!</f>
        <v>#REF!</v>
      </c>
      <c r="G114" s="545" t="e">
        <f>ТС_ППС!#REF!</f>
        <v>#REF!</v>
      </c>
    </row>
    <row r="115" spans="1:7" s="309" customFormat="1">
      <c r="A115" s="567"/>
      <c r="B115" s="568"/>
      <c r="C115" s="569"/>
      <c r="D115" s="567"/>
      <c r="E115" s="570"/>
      <c r="F115" s="619" t="e">
        <f>ТС_ППС!#REF!</f>
        <v>#REF!</v>
      </c>
      <c r="G115" s="546"/>
    </row>
    <row r="116" spans="1:7" s="309" customFormat="1">
      <c r="A116" s="567"/>
      <c r="B116" s="568"/>
      <c r="C116" s="569"/>
      <c r="D116" s="567"/>
      <c r="E116" s="570"/>
      <c r="F116" s="619" t="e">
        <f>ТС_ППС!#REF!</f>
        <v>#REF!</v>
      </c>
      <c r="G116" s="547"/>
    </row>
    <row r="117" spans="1:7" s="309" customFormat="1" ht="15.75" customHeight="1">
      <c r="A117" s="608"/>
      <c r="B117" s="609"/>
      <c r="C117" s="610"/>
      <c r="D117" s="608"/>
      <c r="E117" s="611"/>
      <c r="F117" s="619" t="e">
        <f>ТС_ППС!#REF!</f>
        <v>#REF!</v>
      </c>
      <c r="G117" s="545" t="e">
        <f>ТС_ППС!#REF!</f>
        <v>#REF!</v>
      </c>
    </row>
    <row r="118" spans="1:7" s="309" customFormat="1">
      <c r="A118" s="608"/>
      <c r="B118" s="609"/>
      <c r="C118" s="610"/>
      <c r="D118" s="608"/>
      <c r="E118" s="611"/>
      <c r="F118" s="619" t="e">
        <f>ТС_ППС!#REF!</f>
        <v>#REF!</v>
      </c>
      <c r="G118" s="546"/>
    </row>
    <row r="119" spans="1:7" s="309" customFormat="1">
      <c r="A119" s="608"/>
      <c r="B119" s="609"/>
      <c r="C119" s="610"/>
      <c r="D119" s="608"/>
      <c r="E119" s="611"/>
      <c r="F119" s="619" t="e">
        <f>ТС_ППС!#REF!</f>
        <v>#REF!</v>
      </c>
      <c r="G119" s="547"/>
    </row>
    <row r="120" spans="1:7" s="309" customFormat="1" ht="13.5" customHeight="1">
      <c r="A120" s="608"/>
      <c r="B120" s="609"/>
      <c r="C120" s="610"/>
      <c r="D120" s="608"/>
      <c r="E120" s="611"/>
      <c r="F120" s="619" t="e">
        <f>ТС_ППС!#REF!</f>
        <v>#REF!</v>
      </c>
      <c r="G120" s="545" t="e">
        <f>ТС_ППС!#REF!</f>
        <v>#REF!</v>
      </c>
    </row>
    <row r="121" spans="1:7" s="309" customFormat="1" ht="13.5" customHeight="1">
      <c r="A121" s="608"/>
      <c r="B121" s="609"/>
      <c r="C121" s="610"/>
      <c r="D121" s="608"/>
      <c r="E121" s="611"/>
      <c r="F121" s="619" t="e">
        <f>ТС_ППС!#REF!</f>
        <v>#REF!</v>
      </c>
      <c r="G121" s="546"/>
    </row>
    <row r="122" spans="1:7" s="309" customFormat="1" ht="15.75" customHeight="1">
      <c r="A122" s="608"/>
      <c r="B122" s="609"/>
      <c r="C122" s="610"/>
      <c r="D122" s="608"/>
      <c r="E122" s="611"/>
      <c r="F122" s="619" t="e">
        <f>ТС_ППС!#REF!</f>
        <v>#REF!</v>
      </c>
      <c r="G122" s="547"/>
    </row>
    <row r="123" spans="1:7" s="309" customFormat="1">
      <c r="A123" s="608"/>
      <c r="B123" s="609"/>
      <c r="C123" s="610"/>
      <c r="D123" s="608"/>
      <c r="E123" s="611"/>
      <c r="F123" s="619" t="e">
        <f>ТС_ППС!#REF!</f>
        <v>#REF!</v>
      </c>
      <c r="G123" s="545" t="e">
        <f>ТС_ППС!#REF!</f>
        <v>#REF!</v>
      </c>
    </row>
    <row r="124" spans="1:7" s="309" customFormat="1" ht="14.25" customHeight="1">
      <c r="A124" s="608"/>
      <c r="B124" s="609"/>
      <c r="C124" s="610"/>
      <c r="D124" s="608"/>
      <c r="E124" s="611"/>
      <c r="F124" s="619" t="e">
        <f>ТС_ППС!#REF!</f>
        <v>#REF!</v>
      </c>
      <c r="G124" s="546"/>
    </row>
    <row r="125" spans="1:7" s="309" customFormat="1" ht="13.5" customHeight="1">
      <c r="A125" s="608"/>
      <c r="B125" s="609"/>
      <c r="C125" s="610"/>
      <c r="D125" s="608"/>
      <c r="E125" s="611"/>
      <c r="F125" s="619" t="e">
        <f>ТС_ППС!#REF!</f>
        <v>#REF!</v>
      </c>
      <c r="G125" s="547"/>
    </row>
    <row r="126" spans="1:7" s="309" customFormat="1" ht="14.25" customHeight="1">
      <c r="A126" s="608"/>
      <c r="B126" s="609"/>
      <c r="C126" s="610"/>
      <c r="D126" s="608"/>
      <c r="E126" s="611"/>
      <c r="F126" s="619" t="e">
        <f>ТС_ППС!#REF!</f>
        <v>#REF!</v>
      </c>
      <c r="G126" s="545" t="e">
        <f>ТС_ППС!#REF!</f>
        <v>#REF!</v>
      </c>
    </row>
    <row r="127" spans="1:7" s="309" customFormat="1">
      <c r="A127" s="608"/>
      <c r="B127" s="609"/>
      <c r="C127" s="610"/>
      <c r="D127" s="608"/>
      <c r="E127" s="611"/>
      <c r="F127" s="619" t="e">
        <f>ТС_ППС!#REF!</f>
        <v>#REF!</v>
      </c>
      <c r="G127" s="546"/>
    </row>
    <row r="128" spans="1:7" s="309" customFormat="1" ht="17.25" customHeight="1">
      <c r="A128" s="628"/>
      <c r="B128" s="629"/>
      <c r="C128" s="630"/>
      <c r="D128" s="628"/>
      <c r="E128" s="631"/>
      <c r="F128" s="619" t="e">
        <f>ТС_ППС!#REF!</f>
        <v>#REF!</v>
      </c>
      <c r="G128" s="547"/>
    </row>
    <row r="129" spans="1:7" s="309" customFormat="1">
      <c r="A129" s="553" t="s">
        <v>75</v>
      </c>
      <c r="B129" s="1252" t="s">
        <v>18</v>
      </c>
      <c r="C129" s="1253"/>
      <c r="D129" s="1256">
        <v>2</v>
      </c>
      <c r="E129" s="1257"/>
      <c r="F129" s="552" t="str">
        <f>ТС_ППС!F115</f>
        <v>Физическая культура</v>
      </c>
      <c r="G129" s="529">
        <f>ТС_ППС!G115</f>
        <v>2</v>
      </c>
    </row>
    <row r="130" spans="1:7" s="309" customFormat="1">
      <c r="A130" s="553" t="s">
        <v>76</v>
      </c>
      <c r="B130" s="1252" t="s">
        <v>77</v>
      </c>
      <c r="C130" s="1253"/>
      <c r="D130" s="542">
        <v>7</v>
      </c>
      <c r="E130" s="548" t="s">
        <v>287</v>
      </c>
      <c r="F130" s="552" t="str">
        <f>ТС_ППС!F116</f>
        <v>Учебная и производственная практики</v>
      </c>
      <c r="G130" s="529">
        <f>ТС_ППС!G116</f>
        <v>18</v>
      </c>
    </row>
    <row r="131" spans="1:7" s="309" customFormat="1">
      <c r="A131" s="553"/>
      <c r="B131" s="615"/>
      <c r="C131" s="616"/>
      <c r="D131" s="615"/>
      <c r="E131" s="657"/>
      <c r="F131" s="518" t="str">
        <f>ТС_ППС!F117</f>
        <v>Учебная практика</v>
      </c>
      <c r="G131" s="655">
        <f>ТС_ППС!G117</f>
        <v>3</v>
      </c>
    </row>
    <row r="132" spans="1:7" s="297" customFormat="1">
      <c r="A132" s="553"/>
      <c r="B132" s="609"/>
      <c r="C132" s="610"/>
      <c r="D132" s="609"/>
      <c r="E132" s="658"/>
      <c r="F132" s="518" t="str">
        <f>ТС_ППС!F118</f>
        <v>Производственная практика</v>
      </c>
      <c r="G132" s="655">
        <f>ТС_ППС!G118</f>
        <v>3</v>
      </c>
    </row>
    <row r="133" spans="1:7" s="297" customFormat="1">
      <c r="A133" s="553"/>
      <c r="B133" s="629"/>
      <c r="C133" s="630"/>
      <c r="D133" s="629"/>
      <c r="E133" s="656"/>
      <c r="F133" s="518" t="str">
        <f>ТС_ППС!F120</f>
        <v>Преддипломная практика</v>
      </c>
      <c r="G133" s="655">
        <f>ТС_ППС!G120</f>
        <v>6</v>
      </c>
    </row>
    <row r="134" spans="1:7" s="297" customFormat="1" ht="30" customHeight="1">
      <c r="A134" s="553" t="s">
        <v>210</v>
      </c>
      <c r="B134" s="1252" t="s">
        <v>78</v>
      </c>
      <c r="C134" s="1253"/>
      <c r="D134" s="1256">
        <v>12</v>
      </c>
      <c r="E134" s="1257"/>
      <c r="F134" s="552" t="str">
        <f>ТС_ППС!F121</f>
        <v>Итоговая государственная аттестация</v>
      </c>
      <c r="G134" s="529">
        <f>ТС_ППС!G121</f>
        <v>24</v>
      </c>
    </row>
    <row r="135" spans="1:7" s="297" customFormat="1">
      <c r="A135" s="333"/>
      <c r="B135" s="632"/>
      <c r="C135" s="633"/>
      <c r="D135" s="632"/>
      <c r="E135" s="635"/>
      <c r="F135" s="518" t="str">
        <f>ТС_ППС!F122</f>
        <v>Подготовка выпускной работы</v>
      </c>
      <c r="G135" s="655">
        <f>ТС_ППС!G122</f>
        <v>21</v>
      </c>
    </row>
    <row r="136" spans="1:7" s="297" customFormat="1" ht="25.5">
      <c r="A136" s="553"/>
      <c r="B136" s="1252" t="s">
        <v>79</v>
      </c>
      <c r="C136" s="1253"/>
      <c r="D136" s="1256">
        <v>240</v>
      </c>
      <c r="E136" s="1257"/>
      <c r="F136" s="552" t="str">
        <f>ТС_ППС!F124</f>
        <v>Общая трудоемкость основной образовательной программы</v>
      </c>
      <c r="G136" s="529">
        <f>ТС_ППС!G124</f>
        <v>330</v>
      </c>
    </row>
    <row r="137" spans="1:7" s="297" customFormat="1">
      <c r="G137" s="308"/>
    </row>
    <row r="138" spans="1:7" s="634" customFormat="1" ht="25.5" customHeight="1">
      <c r="A138" s="249"/>
      <c r="B138" s="310" t="str">
        <f>Шахм!N152</f>
        <v>Разработчики</v>
      </c>
      <c r="C138" s="249"/>
      <c r="D138" s="310"/>
      <c r="E138" s="310"/>
      <c r="F138" s="663" t="str">
        <f>Шахм!S152</f>
        <v>Н.А. Мустафин, А.Ф. Казак</v>
      </c>
      <c r="G138" s="249"/>
    </row>
    <row r="139" spans="1:7" s="634" customFormat="1" ht="25.5" customHeight="1">
      <c r="A139" s="249"/>
      <c r="B139" s="310" t="str">
        <f>Шахм!AA152</f>
        <v>Зав.кафедрой АСОИУ</v>
      </c>
      <c r="C139" s="664"/>
      <c r="D139" s="665"/>
      <c r="E139" s="665"/>
      <c r="F139" s="663" t="str">
        <f>Шахм!AF152</f>
        <v>Б.Я. Советов</v>
      </c>
      <c r="G139" s="249"/>
    </row>
    <row r="140" spans="1:7" s="333" customFormat="1" ht="25.5" customHeight="1">
      <c r="A140" s="249"/>
      <c r="B140" s="310" t="s">
        <v>127</v>
      </c>
      <c r="C140" s="666"/>
      <c r="D140" s="665"/>
      <c r="E140" s="665"/>
      <c r="F140" s="249" t="s">
        <v>205</v>
      </c>
      <c r="G140" s="249"/>
    </row>
    <row r="141" spans="1:7" s="297" customFormat="1" ht="25.5" customHeight="1">
      <c r="A141" s="13"/>
      <c r="B141" s="47"/>
      <c r="C141" s="47"/>
      <c r="D141" s="5"/>
      <c r="E141" s="5"/>
      <c r="F141" s="73"/>
      <c r="G141" s="308"/>
    </row>
    <row r="142" spans="1:7" s="297" customFormat="1" ht="17.25" customHeight="1">
      <c r="A142" s="13"/>
      <c r="B142" s="47"/>
      <c r="C142" s="47"/>
      <c r="D142" s="5"/>
      <c r="E142" s="132"/>
      <c r="F142" s="73"/>
      <c r="G142" s="308"/>
    </row>
    <row r="143" spans="1:7" s="297" customFormat="1">
      <c r="A143" s="13"/>
      <c r="B143" s="47"/>
      <c r="C143" s="47"/>
      <c r="D143" s="5"/>
      <c r="E143" s="132"/>
      <c r="F143" s="73"/>
      <c r="G143" s="308"/>
    </row>
    <row r="144" spans="1:7" s="297" customFormat="1" ht="19.5" customHeight="1">
      <c r="A144" s="13"/>
      <c r="B144" s="47"/>
      <c r="C144" s="47"/>
      <c r="D144" s="5"/>
      <c r="E144" s="5"/>
      <c r="F144" s="73"/>
      <c r="G144" s="308"/>
    </row>
    <row r="145" spans="1:9" s="297" customFormat="1">
      <c r="A145" s="13"/>
      <c r="B145" s="302"/>
      <c r="C145" s="302"/>
      <c r="D145" s="307"/>
      <c r="E145" s="307"/>
      <c r="F145" s="302"/>
      <c r="G145" s="308"/>
    </row>
    <row r="146" spans="1:9" s="297" customFormat="1" ht="32.25" customHeight="1">
      <c r="A146" s="13"/>
      <c r="D146" s="13"/>
      <c r="E146" s="13"/>
      <c r="G146" s="308"/>
    </row>
    <row r="147" spans="1:9" s="309" customFormat="1">
      <c r="A147" s="13"/>
      <c r="B147" s="297"/>
      <c r="C147" s="297"/>
      <c r="D147" s="13"/>
      <c r="E147" s="13"/>
      <c r="F147" s="297"/>
      <c r="G147" s="308"/>
    </row>
    <row r="148" spans="1:9" s="52" customFormat="1" ht="20.25" customHeight="1">
      <c r="A148" s="13"/>
      <c r="B148" s="297"/>
      <c r="C148" s="297"/>
      <c r="D148" s="13"/>
      <c r="E148" s="13"/>
      <c r="F148" s="297"/>
      <c r="G148" s="308"/>
      <c r="I148" s="73"/>
    </row>
    <row r="149" spans="1:9" s="52" customFormat="1" ht="20.25" customHeight="1">
      <c r="A149" s="13"/>
      <c r="B149" s="297"/>
      <c r="C149" s="297"/>
      <c r="D149" s="13"/>
      <c r="E149" s="13"/>
      <c r="F149" s="297"/>
      <c r="G149" s="308"/>
    </row>
    <row r="150" spans="1:9" s="52" customFormat="1" ht="20.25" customHeight="1">
      <c r="A150" s="13"/>
      <c r="B150" s="297"/>
      <c r="C150" s="297"/>
      <c r="D150" s="13"/>
      <c r="E150" s="13"/>
      <c r="F150" s="297"/>
      <c r="G150" s="308"/>
    </row>
    <row r="151" spans="1:9" s="297" customFormat="1" ht="20.25" customHeight="1">
      <c r="A151" s="13"/>
      <c r="D151" s="13"/>
      <c r="E151" s="13"/>
      <c r="G151" s="308"/>
    </row>
    <row r="152" spans="1:9" s="297" customFormat="1" ht="20.25" customHeight="1">
      <c r="A152" s="13"/>
      <c r="D152" s="13"/>
      <c r="E152" s="13"/>
      <c r="G152" s="308"/>
    </row>
    <row r="153" spans="1:9" s="297" customFormat="1">
      <c r="A153" s="13"/>
      <c r="D153" s="13"/>
      <c r="E153" s="13"/>
      <c r="G153" s="308"/>
    </row>
    <row r="154" spans="1:9" s="297" customFormat="1">
      <c r="A154" s="13"/>
      <c r="D154" s="13"/>
      <c r="E154" s="13"/>
      <c r="G154" s="308"/>
    </row>
    <row r="155" spans="1:9" s="297" customFormat="1">
      <c r="A155" s="13"/>
      <c r="D155" s="13"/>
      <c r="E155" s="13"/>
      <c r="G155" s="308"/>
    </row>
    <row r="156" spans="1:9" s="297" customFormat="1">
      <c r="A156" s="13"/>
      <c r="D156" s="13"/>
      <c r="E156" s="13"/>
      <c r="G156" s="308"/>
    </row>
  </sheetData>
  <mergeCells count="30">
    <mergeCell ref="D129:E129"/>
    <mergeCell ref="B130:C130"/>
    <mergeCell ref="A16:E16"/>
    <mergeCell ref="F16:G16"/>
    <mergeCell ref="B17:C17"/>
    <mergeCell ref="D17:E17"/>
    <mergeCell ref="B18:C18"/>
    <mergeCell ref="B19:C19"/>
    <mergeCell ref="B72:C72"/>
    <mergeCell ref="B73:C73"/>
    <mergeCell ref="B20:C20"/>
    <mergeCell ref="B21:C21"/>
    <mergeCell ref="B22:C22"/>
    <mergeCell ref="B23:C23"/>
    <mergeCell ref="B136:C136"/>
    <mergeCell ref="D136:E136"/>
    <mergeCell ref="A1:B1"/>
    <mergeCell ref="A2:B2"/>
    <mergeCell ref="A3:B3"/>
    <mergeCell ref="D12:H12"/>
    <mergeCell ref="D13:G13"/>
    <mergeCell ref="B74:C74"/>
    <mergeCell ref="B88:C88"/>
    <mergeCell ref="B129:C129"/>
    <mergeCell ref="B134:C134"/>
    <mergeCell ref="D134:E134"/>
    <mergeCell ref="B24:C24"/>
    <mergeCell ref="B48:C48"/>
    <mergeCell ref="B49:C49"/>
    <mergeCell ref="B59:C59"/>
  </mergeCells>
  <printOptions horizontalCentered="1"/>
  <pageMargins left="0.31496062992125984" right="0.23622047244094491" top="0.47244094488188981" bottom="0.74803149606299213" header="0.23622047244094491" footer="0.23622047244094491"/>
  <pageSetup paperSize="9" fitToHeight="2" orientation="portrait" r:id="rId1"/>
  <headerFooter alignWithMargins="0">
    <oddFooter>&amp;C&amp;F&amp;R&amp;P</oddFooter>
  </headerFooter>
  <rowBreaks count="1" manualBreakCount="1">
    <brk id="47" max="16383" man="1"/>
  </rowBreaks>
  <customProperties>
    <customPr name="DVSECTION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>
  <sheetPr codeName="Лист5"/>
  <dimension ref="A1:IQ152"/>
  <sheetViews>
    <sheetView topLeftCell="A79" zoomScale="110" zoomScaleNormal="110" workbookViewId="0">
      <selection activeCell="C96" sqref="A96:IV96"/>
    </sheetView>
  </sheetViews>
  <sheetFormatPr defaultRowHeight="12.75"/>
  <cols>
    <col min="1" max="1" width="6.7109375" style="711" customWidth="1"/>
    <col min="2" max="2" width="49.5703125" style="711" customWidth="1"/>
    <col min="3" max="3" width="8.85546875" style="711" customWidth="1"/>
    <col min="4" max="5" width="2.28515625" style="711" customWidth="1"/>
    <col min="6" max="8" width="2.85546875" style="712" customWidth="1"/>
    <col min="9" max="9" width="4" style="712" bestFit="1" customWidth="1"/>
    <col min="10" max="10" width="5.42578125" style="711" customWidth="1"/>
    <col min="11" max="11" width="4.7109375" style="711" customWidth="1"/>
    <col min="12" max="12" width="4.42578125" style="711" customWidth="1"/>
    <col min="13" max="14" width="3.140625" style="711" customWidth="1"/>
    <col min="15" max="15" width="4.140625" style="711" customWidth="1"/>
    <col min="16" max="17" width="3.140625" style="711" customWidth="1"/>
    <col min="18" max="18" width="2.5703125" style="711" customWidth="1"/>
    <col min="19" max="19" width="2.85546875" style="711" customWidth="1"/>
    <col min="20" max="24" width="2.7109375" style="711" customWidth="1"/>
    <col min="25" max="25" width="3.28515625" style="711" customWidth="1"/>
    <col min="26" max="16384" width="9.140625" style="689"/>
  </cols>
  <sheetData>
    <row r="1" spans="1:250" s="679" customFormat="1" ht="12">
      <c r="A1" s="675" t="s">
        <v>341</v>
      </c>
      <c r="B1" s="675" t="s">
        <v>342</v>
      </c>
      <c r="C1" s="675" t="s">
        <v>343</v>
      </c>
      <c r="D1" s="675" t="s">
        <v>344</v>
      </c>
      <c r="E1" s="675" t="s">
        <v>345</v>
      </c>
      <c r="F1" s="676" t="s">
        <v>346</v>
      </c>
      <c r="G1" s="676" t="s">
        <v>88</v>
      </c>
      <c r="H1" s="676" t="s">
        <v>347</v>
      </c>
      <c r="I1" s="676" t="s">
        <v>32</v>
      </c>
      <c r="J1" s="676" t="s">
        <v>9</v>
      </c>
      <c r="K1" s="676" t="s">
        <v>348</v>
      </c>
      <c r="L1" s="676" t="s">
        <v>349</v>
      </c>
      <c r="M1" s="676" t="s">
        <v>350</v>
      </c>
      <c r="N1" s="676" t="s">
        <v>351</v>
      </c>
      <c r="O1" s="676" t="s">
        <v>352</v>
      </c>
      <c r="P1" s="676" t="s">
        <v>353</v>
      </c>
      <c r="Q1" s="676" t="s">
        <v>354</v>
      </c>
      <c r="R1" s="677">
        <v>1</v>
      </c>
      <c r="S1" s="675">
        <v>2</v>
      </c>
      <c r="T1" s="675">
        <v>3</v>
      </c>
      <c r="U1" s="675">
        <v>4</v>
      </c>
      <c r="V1" s="675">
        <v>5</v>
      </c>
      <c r="W1" s="675">
        <v>6</v>
      </c>
      <c r="X1" s="675">
        <v>7</v>
      </c>
      <c r="Y1" s="675">
        <v>8</v>
      </c>
      <c r="Z1" s="678"/>
      <c r="AA1" s="678"/>
      <c r="AB1" s="678"/>
      <c r="AC1" s="678"/>
      <c r="AD1" s="678"/>
      <c r="AE1" s="678"/>
      <c r="AF1" s="678"/>
      <c r="AG1" s="678"/>
      <c r="AH1" s="678"/>
      <c r="AI1" s="678"/>
      <c r="AJ1" s="678"/>
      <c r="AK1" s="678"/>
      <c r="AL1" s="678"/>
      <c r="AM1" s="678"/>
      <c r="AN1" s="678"/>
      <c r="AO1" s="678"/>
      <c r="AP1" s="678"/>
      <c r="AQ1" s="678"/>
      <c r="AR1" s="678"/>
      <c r="AS1" s="678"/>
      <c r="AT1" s="678"/>
      <c r="AU1" s="678"/>
      <c r="AV1" s="678"/>
      <c r="AW1" s="678"/>
      <c r="AX1" s="678"/>
      <c r="AY1" s="678"/>
      <c r="AZ1" s="678"/>
      <c r="BA1" s="678"/>
      <c r="BB1" s="678"/>
      <c r="BC1" s="678"/>
      <c r="BD1" s="678"/>
      <c r="BE1" s="678"/>
      <c r="BF1" s="678"/>
      <c r="BG1" s="678"/>
      <c r="BH1" s="678"/>
      <c r="BI1" s="678"/>
      <c r="BJ1" s="678"/>
      <c r="BK1" s="678"/>
      <c r="BL1" s="678"/>
      <c r="BM1" s="678"/>
      <c r="BN1" s="678"/>
      <c r="BO1" s="678"/>
      <c r="BP1" s="678"/>
      <c r="BQ1" s="678"/>
      <c r="BR1" s="678"/>
      <c r="BS1" s="678"/>
      <c r="BT1" s="678"/>
      <c r="BU1" s="678"/>
      <c r="BV1" s="678"/>
      <c r="BW1" s="678"/>
      <c r="BX1" s="678"/>
      <c r="BY1" s="678"/>
      <c r="BZ1" s="678"/>
      <c r="CA1" s="678"/>
      <c r="CB1" s="678"/>
      <c r="CC1" s="678"/>
      <c r="CD1" s="678"/>
      <c r="CE1" s="678"/>
      <c r="CF1" s="678"/>
      <c r="CG1" s="678"/>
      <c r="CH1" s="678"/>
      <c r="CI1" s="678"/>
      <c r="CJ1" s="678"/>
      <c r="CK1" s="678"/>
      <c r="CL1" s="678"/>
      <c r="CM1" s="678"/>
      <c r="CN1" s="678"/>
      <c r="CO1" s="678"/>
      <c r="CP1" s="678"/>
      <c r="CQ1" s="678"/>
      <c r="CR1" s="678"/>
      <c r="CS1" s="678"/>
      <c r="CT1" s="678"/>
      <c r="CU1" s="678"/>
      <c r="CV1" s="678"/>
      <c r="CW1" s="678"/>
      <c r="CX1" s="678"/>
      <c r="CY1" s="678"/>
      <c r="CZ1" s="678"/>
      <c r="DA1" s="678"/>
      <c r="DB1" s="678"/>
      <c r="DC1" s="678"/>
      <c r="DD1" s="678"/>
      <c r="DE1" s="678"/>
      <c r="DF1" s="678"/>
      <c r="DG1" s="678"/>
      <c r="DH1" s="678"/>
      <c r="DI1" s="678"/>
      <c r="DJ1" s="678"/>
      <c r="DK1" s="678"/>
      <c r="DL1" s="678"/>
      <c r="DM1" s="678"/>
      <c r="DN1" s="678"/>
      <c r="DO1" s="678"/>
      <c r="DP1" s="678"/>
      <c r="DQ1" s="678"/>
      <c r="DR1" s="678"/>
      <c r="DS1" s="678"/>
      <c r="DT1" s="678"/>
      <c r="DU1" s="678"/>
      <c r="DV1" s="678"/>
      <c r="DW1" s="678"/>
      <c r="DX1" s="678"/>
      <c r="DY1" s="678"/>
      <c r="DZ1" s="678"/>
      <c r="EA1" s="678"/>
      <c r="EB1" s="678"/>
      <c r="EC1" s="678"/>
      <c r="ED1" s="678"/>
      <c r="EE1" s="678"/>
      <c r="EF1" s="678"/>
      <c r="EG1" s="678"/>
      <c r="EH1" s="678"/>
      <c r="EI1" s="678"/>
      <c r="EJ1" s="678"/>
      <c r="EK1" s="678"/>
      <c r="EL1" s="678"/>
      <c r="EM1" s="678"/>
      <c r="EN1" s="678"/>
      <c r="EO1" s="678"/>
      <c r="EP1" s="678"/>
      <c r="EQ1" s="678"/>
      <c r="ER1" s="678"/>
      <c r="ES1" s="678"/>
      <c r="ET1" s="678"/>
      <c r="EU1" s="678"/>
      <c r="EV1" s="678"/>
      <c r="EW1" s="678"/>
      <c r="EX1" s="678"/>
      <c r="EY1" s="678"/>
      <c r="EZ1" s="678"/>
      <c r="FA1" s="678"/>
      <c r="FB1" s="678"/>
      <c r="FC1" s="678"/>
      <c r="FD1" s="678"/>
      <c r="FE1" s="678"/>
      <c r="FF1" s="678"/>
      <c r="FG1" s="678"/>
      <c r="FH1" s="678"/>
      <c r="FI1" s="678"/>
      <c r="FJ1" s="678"/>
      <c r="FK1" s="678"/>
      <c r="FL1" s="678"/>
      <c r="FM1" s="678"/>
      <c r="FN1" s="678"/>
      <c r="FO1" s="678"/>
      <c r="FP1" s="678"/>
      <c r="FQ1" s="678"/>
      <c r="FR1" s="678"/>
      <c r="FS1" s="678"/>
      <c r="FT1" s="678"/>
      <c r="FU1" s="678"/>
      <c r="FV1" s="678"/>
      <c r="FW1" s="678"/>
      <c r="FX1" s="678"/>
      <c r="FY1" s="678"/>
      <c r="FZ1" s="678"/>
      <c r="GA1" s="678"/>
      <c r="GB1" s="678"/>
      <c r="GC1" s="678"/>
      <c r="GD1" s="678"/>
      <c r="GE1" s="678"/>
      <c r="GF1" s="678"/>
      <c r="GG1" s="678"/>
      <c r="GH1" s="678"/>
      <c r="GI1" s="678"/>
      <c r="GJ1" s="678"/>
      <c r="GK1" s="678"/>
      <c r="GL1" s="678"/>
      <c r="GM1" s="678"/>
      <c r="GN1" s="678"/>
      <c r="GO1" s="678"/>
      <c r="GP1" s="678"/>
      <c r="GQ1" s="678"/>
      <c r="GR1" s="678"/>
      <c r="GS1" s="678"/>
      <c r="GT1" s="678"/>
      <c r="GU1" s="678"/>
      <c r="GV1" s="678"/>
      <c r="GW1" s="678"/>
      <c r="GX1" s="678"/>
      <c r="GY1" s="678"/>
      <c r="GZ1" s="678"/>
      <c r="HA1" s="678"/>
      <c r="HB1" s="678"/>
      <c r="HC1" s="678"/>
      <c r="HD1" s="678"/>
      <c r="HE1" s="678"/>
      <c r="HF1" s="678"/>
      <c r="HG1" s="678"/>
      <c r="HH1" s="678"/>
      <c r="HI1" s="678"/>
      <c r="HJ1" s="678"/>
      <c r="HK1" s="678"/>
      <c r="HL1" s="678"/>
      <c r="HM1" s="678"/>
      <c r="HN1" s="678"/>
      <c r="HO1" s="678"/>
      <c r="HP1" s="678"/>
      <c r="HQ1" s="678"/>
      <c r="HR1" s="678"/>
      <c r="HS1" s="678"/>
      <c r="HT1" s="678"/>
      <c r="HU1" s="678"/>
      <c r="HV1" s="678"/>
      <c r="HW1" s="678"/>
      <c r="HX1" s="678"/>
      <c r="HY1" s="678"/>
      <c r="HZ1" s="678"/>
      <c r="IA1" s="678"/>
      <c r="IB1" s="678"/>
      <c r="IC1" s="678"/>
      <c r="ID1" s="678"/>
      <c r="IE1" s="678"/>
      <c r="IF1" s="678"/>
      <c r="IG1" s="678"/>
      <c r="IH1" s="678"/>
      <c r="II1" s="678"/>
      <c r="IJ1" s="678"/>
      <c r="IK1" s="678"/>
      <c r="IL1" s="678"/>
      <c r="IM1" s="678"/>
      <c r="IN1" s="678"/>
      <c r="IO1" s="678"/>
      <c r="IP1" s="678"/>
    </row>
    <row r="2" spans="1:250" s="683" customFormat="1">
      <c r="A2" s="680" t="s">
        <v>355</v>
      </c>
      <c r="B2" s="680" t="s">
        <v>356</v>
      </c>
      <c r="C2" s="680"/>
      <c r="D2" s="680" t="s">
        <v>357</v>
      </c>
      <c r="E2" s="680" t="s">
        <v>357</v>
      </c>
      <c r="F2" s="681">
        <v>0</v>
      </c>
      <c r="G2" s="681">
        <v>0</v>
      </c>
      <c r="H2" s="681">
        <v>0</v>
      </c>
      <c r="I2" s="682">
        <f>J2/34</f>
        <v>35</v>
      </c>
      <c r="J2" s="681">
        <v>1190</v>
      </c>
      <c r="K2" s="681">
        <v>0</v>
      </c>
      <c r="L2" s="681">
        <v>0</v>
      </c>
      <c r="M2" s="681">
        <v>0</v>
      </c>
      <c r="N2" s="681">
        <v>0</v>
      </c>
      <c r="O2" s="681">
        <v>0</v>
      </c>
      <c r="P2" s="681">
        <v>0</v>
      </c>
      <c r="Q2" s="681">
        <v>0</v>
      </c>
      <c r="R2" s="681">
        <v>0</v>
      </c>
      <c r="S2" s="681">
        <v>0</v>
      </c>
      <c r="T2" s="681">
        <v>0</v>
      </c>
      <c r="U2" s="681">
        <v>0</v>
      </c>
      <c r="V2" s="681">
        <v>0</v>
      </c>
      <c r="W2" s="681">
        <v>0</v>
      </c>
      <c r="X2" s="681">
        <v>0</v>
      </c>
      <c r="Y2" s="681">
        <v>0</v>
      </c>
    </row>
    <row r="3" spans="1:250" s="685" customFormat="1">
      <c r="A3" s="729" t="s">
        <v>358</v>
      </c>
      <c r="B3" s="729" t="s">
        <v>58</v>
      </c>
      <c r="C3" s="729" t="s">
        <v>111</v>
      </c>
      <c r="D3" s="729" t="s">
        <v>359</v>
      </c>
      <c r="E3" s="729" t="s">
        <v>359</v>
      </c>
      <c r="F3" s="730">
        <v>0</v>
      </c>
      <c r="G3" s="730">
        <v>1</v>
      </c>
      <c r="H3" s="730">
        <v>0</v>
      </c>
      <c r="I3" s="684">
        <f t="shared" ref="I3:I67" si="0">J3/34</f>
        <v>4</v>
      </c>
      <c r="J3" s="730">
        <v>136</v>
      </c>
      <c r="K3" s="730">
        <v>82</v>
      </c>
      <c r="L3" s="730">
        <v>54</v>
      </c>
      <c r="M3" s="730">
        <v>18</v>
      </c>
      <c r="N3" s="730">
        <v>0</v>
      </c>
      <c r="O3" s="730">
        <v>36</v>
      </c>
      <c r="P3" s="730">
        <v>0</v>
      </c>
      <c r="Q3" s="730">
        <v>0</v>
      </c>
      <c r="R3" s="730">
        <v>3</v>
      </c>
      <c r="S3" s="730">
        <v>0</v>
      </c>
      <c r="T3" s="730">
        <v>0</v>
      </c>
      <c r="U3" s="730">
        <v>0</v>
      </c>
      <c r="V3" s="730">
        <v>0</v>
      </c>
      <c r="W3" s="730">
        <v>0</v>
      </c>
      <c r="X3" s="730">
        <v>0</v>
      </c>
      <c r="Y3" s="730">
        <v>0</v>
      </c>
    </row>
    <row r="4" spans="1:250" s="685" customFormat="1">
      <c r="A4" s="729" t="s">
        <v>360</v>
      </c>
      <c r="B4" s="729" t="s">
        <v>17</v>
      </c>
      <c r="C4" s="729" t="s">
        <v>117</v>
      </c>
      <c r="D4" s="729" t="s">
        <v>359</v>
      </c>
      <c r="E4" s="729" t="s">
        <v>359</v>
      </c>
      <c r="F4" s="730">
        <v>0</v>
      </c>
      <c r="G4" s="730">
        <v>1</v>
      </c>
      <c r="H4" s="730">
        <v>0</v>
      </c>
      <c r="I4" s="684">
        <f t="shared" si="0"/>
        <v>3</v>
      </c>
      <c r="J4" s="730">
        <v>102</v>
      </c>
      <c r="K4" s="730">
        <v>48</v>
      </c>
      <c r="L4" s="730">
        <v>54</v>
      </c>
      <c r="M4" s="730">
        <v>0</v>
      </c>
      <c r="N4" s="730">
        <v>0</v>
      </c>
      <c r="O4" s="730">
        <v>54</v>
      </c>
      <c r="P4" s="730">
        <v>0</v>
      </c>
      <c r="Q4" s="730">
        <v>0</v>
      </c>
      <c r="R4" s="730">
        <v>3</v>
      </c>
      <c r="S4" s="730">
        <v>0</v>
      </c>
      <c r="T4" s="730">
        <v>0</v>
      </c>
      <c r="U4" s="730">
        <v>0</v>
      </c>
      <c r="V4" s="730">
        <v>0</v>
      </c>
      <c r="W4" s="730">
        <v>0</v>
      </c>
      <c r="X4" s="730">
        <v>0</v>
      </c>
      <c r="Y4" s="730">
        <v>0</v>
      </c>
    </row>
    <row r="5" spans="1:250" s="685" customFormat="1">
      <c r="A5" s="729" t="s">
        <v>361</v>
      </c>
      <c r="B5" s="729" t="s">
        <v>17</v>
      </c>
      <c r="C5" s="729" t="s">
        <v>117</v>
      </c>
      <c r="D5" s="729" t="s">
        <v>359</v>
      </c>
      <c r="E5" s="729" t="s">
        <v>359</v>
      </c>
      <c r="F5" s="730">
        <v>0</v>
      </c>
      <c r="G5" s="730">
        <v>2</v>
      </c>
      <c r="H5" s="730">
        <v>0</v>
      </c>
      <c r="I5" s="684">
        <f t="shared" si="0"/>
        <v>2</v>
      </c>
      <c r="J5" s="730">
        <v>68</v>
      </c>
      <c r="K5" s="730">
        <v>32</v>
      </c>
      <c r="L5" s="730">
        <v>36</v>
      </c>
      <c r="M5" s="730">
        <v>0</v>
      </c>
      <c r="N5" s="730">
        <v>0</v>
      </c>
      <c r="O5" s="730">
        <v>36</v>
      </c>
      <c r="P5" s="730">
        <v>0</v>
      </c>
      <c r="Q5" s="730">
        <v>0</v>
      </c>
      <c r="R5" s="730">
        <v>0</v>
      </c>
      <c r="S5" s="730">
        <v>2</v>
      </c>
      <c r="T5" s="730">
        <v>0</v>
      </c>
      <c r="U5" s="730">
        <v>0</v>
      </c>
      <c r="V5" s="730">
        <v>0</v>
      </c>
      <c r="W5" s="730">
        <v>0</v>
      </c>
      <c r="X5" s="730">
        <v>0</v>
      </c>
      <c r="Y5" s="730">
        <v>0</v>
      </c>
    </row>
    <row r="6" spans="1:250" s="685" customFormat="1">
      <c r="A6" s="729" t="s">
        <v>362</v>
      </c>
      <c r="B6" s="729" t="s">
        <v>17</v>
      </c>
      <c r="C6" s="729" t="s">
        <v>117</v>
      </c>
      <c r="D6" s="729" t="s">
        <v>359</v>
      </c>
      <c r="E6" s="729" t="s">
        <v>359</v>
      </c>
      <c r="F6" s="730">
        <v>0</v>
      </c>
      <c r="G6" s="730">
        <v>3</v>
      </c>
      <c r="H6" s="730">
        <v>0</v>
      </c>
      <c r="I6" s="684">
        <f t="shared" si="0"/>
        <v>2</v>
      </c>
      <c r="J6" s="730">
        <v>68</v>
      </c>
      <c r="K6" s="730">
        <v>32</v>
      </c>
      <c r="L6" s="730">
        <v>36</v>
      </c>
      <c r="M6" s="730">
        <v>0</v>
      </c>
      <c r="N6" s="730">
        <v>0</v>
      </c>
      <c r="O6" s="730">
        <v>36</v>
      </c>
      <c r="P6" s="730">
        <v>0</v>
      </c>
      <c r="Q6" s="730">
        <v>0</v>
      </c>
      <c r="R6" s="730">
        <v>0</v>
      </c>
      <c r="S6" s="730">
        <v>0</v>
      </c>
      <c r="T6" s="730">
        <v>2</v>
      </c>
      <c r="U6" s="730">
        <v>0</v>
      </c>
      <c r="V6" s="730">
        <v>0</v>
      </c>
      <c r="W6" s="730">
        <v>0</v>
      </c>
      <c r="X6" s="730">
        <v>0</v>
      </c>
      <c r="Y6" s="730">
        <v>0</v>
      </c>
    </row>
    <row r="7" spans="1:250" s="685" customFormat="1">
      <c r="A7" s="729" t="s">
        <v>363</v>
      </c>
      <c r="B7" s="729" t="s">
        <v>17</v>
      </c>
      <c r="C7" s="729" t="s">
        <v>117</v>
      </c>
      <c r="D7" s="729" t="s">
        <v>359</v>
      </c>
      <c r="E7" s="729" t="s">
        <v>359</v>
      </c>
      <c r="F7" s="730">
        <v>0</v>
      </c>
      <c r="G7" s="730">
        <v>4</v>
      </c>
      <c r="H7" s="730">
        <v>0</v>
      </c>
      <c r="I7" s="684">
        <f t="shared" si="0"/>
        <v>2</v>
      </c>
      <c r="J7" s="730">
        <v>68</v>
      </c>
      <c r="K7" s="730">
        <v>32</v>
      </c>
      <c r="L7" s="730">
        <v>36</v>
      </c>
      <c r="M7" s="730">
        <v>0</v>
      </c>
      <c r="N7" s="730">
        <v>0</v>
      </c>
      <c r="O7" s="730">
        <v>36</v>
      </c>
      <c r="P7" s="730">
        <v>0</v>
      </c>
      <c r="Q7" s="730">
        <v>0</v>
      </c>
      <c r="R7" s="730">
        <v>0</v>
      </c>
      <c r="S7" s="730">
        <v>0</v>
      </c>
      <c r="T7" s="730">
        <v>0</v>
      </c>
      <c r="U7" s="730">
        <v>2</v>
      </c>
      <c r="V7" s="730">
        <v>0</v>
      </c>
      <c r="W7" s="730">
        <v>0</v>
      </c>
      <c r="X7" s="730">
        <v>0</v>
      </c>
      <c r="Y7" s="730">
        <v>0</v>
      </c>
    </row>
    <row r="8" spans="1:250" s="685" customFormat="1">
      <c r="A8" s="729" t="s">
        <v>364</v>
      </c>
      <c r="B8" s="729" t="s">
        <v>21</v>
      </c>
      <c r="C8" s="729" t="s">
        <v>105</v>
      </c>
      <c r="D8" s="729" t="s">
        <v>359</v>
      </c>
      <c r="E8" s="729" t="s">
        <v>359</v>
      </c>
      <c r="F8" s="730">
        <v>0</v>
      </c>
      <c r="G8" s="730">
        <v>2</v>
      </c>
      <c r="H8" s="730">
        <v>0</v>
      </c>
      <c r="I8" s="684">
        <f t="shared" si="0"/>
        <v>3</v>
      </c>
      <c r="J8" s="730">
        <v>102</v>
      </c>
      <c r="K8" s="730">
        <v>48</v>
      </c>
      <c r="L8" s="730">
        <v>54</v>
      </c>
      <c r="M8" s="730">
        <v>18</v>
      </c>
      <c r="N8" s="730">
        <v>0</v>
      </c>
      <c r="O8" s="730">
        <v>36</v>
      </c>
      <c r="P8" s="730">
        <v>0</v>
      </c>
      <c r="Q8" s="730">
        <v>0</v>
      </c>
      <c r="R8" s="730">
        <v>0</v>
      </c>
      <c r="S8" s="730">
        <v>3</v>
      </c>
      <c r="T8" s="730">
        <v>0</v>
      </c>
      <c r="U8" s="730">
        <v>0</v>
      </c>
      <c r="V8" s="730">
        <v>0</v>
      </c>
      <c r="W8" s="730">
        <v>0</v>
      </c>
      <c r="X8" s="730">
        <v>0</v>
      </c>
      <c r="Y8" s="730">
        <v>0</v>
      </c>
    </row>
    <row r="9" spans="1:250" s="686" customFormat="1">
      <c r="A9" s="729" t="s">
        <v>365</v>
      </c>
      <c r="B9" s="729" t="s">
        <v>22</v>
      </c>
      <c r="C9" s="729" t="s">
        <v>118</v>
      </c>
      <c r="D9" s="729" t="s">
        <v>359</v>
      </c>
      <c r="E9" s="729" t="s">
        <v>359</v>
      </c>
      <c r="F9" s="730">
        <v>0</v>
      </c>
      <c r="G9" s="730">
        <v>2</v>
      </c>
      <c r="H9" s="730">
        <v>0</v>
      </c>
      <c r="I9" s="684">
        <f t="shared" si="0"/>
        <v>2</v>
      </c>
      <c r="J9" s="730">
        <v>68</v>
      </c>
      <c r="K9" s="730">
        <v>32</v>
      </c>
      <c r="L9" s="730">
        <v>36</v>
      </c>
      <c r="M9" s="730">
        <v>18</v>
      </c>
      <c r="N9" s="730">
        <v>0</v>
      </c>
      <c r="O9" s="730">
        <v>18</v>
      </c>
      <c r="P9" s="730">
        <v>0</v>
      </c>
      <c r="Q9" s="730">
        <v>0</v>
      </c>
      <c r="R9" s="730">
        <v>0</v>
      </c>
      <c r="S9" s="730">
        <v>2</v>
      </c>
      <c r="T9" s="730">
        <v>0</v>
      </c>
      <c r="U9" s="730">
        <v>0</v>
      </c>
      <c r="V9" s="730">
        <v>0</v>
      </c>
      <c r="W9" s="730">
        <v>0</v>
      </c>
      <c r="X9" s="730">
        <v>0</v>
      </c>
      <c r="Y9" s="730">
        <v>0</v>
      </c>
    </row>
    <row r="10" spans="1:250" s="685" customFormat="1">
      <c r="A10" s="729" t="s">
        <v>366</v>
      </c>
      <c r="B10" s="687" t="s">
        <v>64</v>
      </c>
      <c r="C10" s="729"/>
      <c r="D10" s="729" t="s">
        <v>357</v>
      </c>
      <c r="E10" s="729" t="s">
        <v>357</v>
      </c>
      <c r="F10" s="730">
        <v>0</v>
      </c>
      <c r="G10" s="730">
        <v>0</v>
      </c>
      <c r="H10" s="730">
        <v>0</v>
      </c>
      <c r="I10" s="684">
        <f t="shared" si="0"/>
        <v>0</v>
      </c>
      <c r="J10" s="730">
        <v>0</v>
      </c>
      <c r="K10" s="730">
        <v>0</v>
      </c>
      <c r="L10" s="730">
        <v>0</v>
      </c>
      <c r="M10" s="730">
        <v>0</v>
      </c>
      <c r="N10" s="730">
        <v>0</v>
      </c>
      <c r="O10" s="730">
        <v>0</v>
      </c>
      <c r="P10" s="730">
        <v>0</v>
      </c>
      <c r="Q10" s="730">
        <v>0</v>
      </c>
      <c r="R10" s="730">
        <v>0</v>
      </c>
      <c r="S10" s="730">
        <v>0</v>
      </c>
      <c r="T10" s="730">
        <v>0</v>
      </c>
      <c r="U10" s="730">
        <v>0</v>
      </c>
      <c r="V10" s="730">
        <v>0</v>
      </c>
      <c r="W10" s="730">
        <v>0</v>
      </c>
      <c r="X10" s="730">
        <v>0</v>
      </c>
      <c r="Y10" s="730">
        <v>0</v>
      </c>
    </row>
    <row r="11" spans="1:250" s="685" customFormat="1">
      <c r="A11" s="729" t="s">
        <v>367</v>
      </c>
      <c r="B11" s="729" t="s">
        <v>268</v>
      </c>
      <c r="C11" s="729" t="s">
        <v>119</v>
      </c>
      <c r="D11" s="729" t="s">
        <v>359</v>
      </c>
      <c r="E11" s="729" t="s">
        <v>359</v>
      </c>
      <c r="F11" s="730">
        <v>0</v>
      </c>
      <c r="G11" s="730">
        <v>3</v>
      </c>
      <c r="H11" s="730">
        <v>0</v>
      </c>
      <c r="I11" s="684">
        <f t="shared" si="0"/>
        <v>4</v>
      </c>
      <c r="J11" s="730">
        <v>136</v>
      </c>
      <c r="K11" s="730">
        <v>82</v>
      </c>
      <c r="L11" s="730">
        <v>54</v>
      </c>
      <c r="M11" s="730">
        <v>18</v>
      </c>
      <c r="N11" s="730">
        <v>0</v>
      </c>
      <c r="O11" s="730">
        <v>36</v>
      </c>
      <c r="P11" s="730">
        <v>0</v>
      </c>
      <c r="Q11" s="730">
        <v>18</v>
      </c>
      <c r="R11" s="730">
        <v>0</v>
      </c>
      <c r="S11" s="730">
        <v>0</v>
      </c>
      <c r="T11" s="730">
        <v>3</v>
      </c>
      <c r="U11" s="730">
        <v>0</v>
      </c>
      <c r="V11" s="730">
        <v>0</v>
      </c>
      <c r="W11" s="730">
        <v>0</v>
      </c>
      <c r="X11" s="730">
        <v>0</v>
      </c>
      <c r="Y11" s="730">
        <v>0</v>
      </c>
    </row>
    <row r="12" spans="1:250" s="685" customFormat="1">
      <c r="A12" s="729" t="s">
        <v>368</v>
      </c>
      <c r="B12" s="729" t="s">
        <v>369</v>
      </c>
      <c r="C12" s="729" t="s">
        <v>119</v>
      </c>
      <c r="D12" s="729" t="s">
        <v>359</v>
      </c>
      <c r="E12" s="729" t="s">
        <v>359</v>
      </c>
      <c r="F12" s="730">
        <v>0</v>
      </c>
      <c r="G12" s="730">
        <v>0</v>
      </c>
      <c r="H12" s="730">
        <v>0</v>
      </c>
      <c r="I12" s="684">
        <f t="shared" si="0"/>
        <v>0</v>
      </c>
      <c r="J12" s="730">
        <v>0</v>
      </c>
      <c r="K12" s="730">
        <v>0</v>
      </c>
      <c r="L12" s="730">
        <v>0</v>
      </c>
      <c r="M12" s="730">
        <v>0</v>
      </c>
      <c r="N12" s="730">
        <v>0</v>
      </c>
      <c r="O12" s="730">
        <v>0</v>
      </c>
      <c r="P12" s="730">
        <v>0</v>
      </c>
      <c r="Q12" s="730">
        <v>0</v>
      </c>
      <c r="R12" s="730">
        <v>0</v>
      </c>
      <c r="S12" s="730">
        <v>0</v>
      </c>
      <c r="T12" s="730">
        <v>99</v>
      </c>
      <c r="U12" s="730">
        <v>0</v>
      </c>
      <c r="V12" s="730">
        <v>0</v>
      </c>
      <c r="W12" s="730">
        <v>0</v>
      </c>
      <c r="X12" s="730">
        <v>0</v>
      </c>
      <c r="Y12" s="730">
        <v>0</v>
      </c>
    </row>
    <row r="13" spans="1:250" s="685" customFormat="1">
      <c r="A13" s="729" t="s">
        <v>370</v>
      </c>
      <c r="B13" s="729" t="s">
        <v>372</v>
      </c>
      <c r="C13" s="729" t="s">
        <v>183</v>
      </c>
      <c r="D13" s="729" t="s">
        <v>359</v>
      </c>
      <c r="E13" s="729" t="s">
        <v>359</v>
      </c>
      <c r="F13" s="730">
        <v>0</v>
      </c>
      <c r="G13" s="730">
        <v>4</v>
      </c>
      <c r="H13" s="730">
        <v>0</v>
      </c>
      <c r="I13" s="684">
        <f t="shared" si="0"/>
        <v>3</v>
      </c>
      <c r="J13" s="730">
        <v>102</v>
      </c>
      <c r="K13" s="730">
        <v>48</v>
      </c>
      <c r="L13" s="730">
        <v>54</v>
      </c>
      <c r="M13" s="730">
        <v>18</v>
      </c>
      <c r="N13" s="730">
        <v>0</v>
      </c>
      <c r="O13" s="730">
        <v>36</v>
      </c>
      <c r="P13" s="730">
        <v>0</v>
      </c>
      <c r="Q13" s="730">
        <v>0</v>
      </c>
      <c r="R13" s="730">
        <v>0</v>
      </c>
      <c r="S13" s="730">
        <v>0</v>
      </c>
      <c r="T13" s="730">
        <v>0</v>
      </c>
      <c r="U13" s="730">
        <v>3</v>
      </c>
      <c r="V13" s="730">
        <v>0</v>
      </c>
      <c r="W13" s="730">
        <v>0</v>
      </c>
      <c r="X13" s="730">
        <v>0</v>
      </c>
      <c r="Y13" s="730">
        <v>0</v>
      </c>
    </row>
    <row r="14" spans="1:250" s="685" customFormat="1">
      <c r="A14" s="729" t="s">
        <v>371</v>
      </c>
      <c r="B14" s="729" t="s">
        <v>19</v>
      </c>
      <c r="C14" s="729" t="s">
        <v>111</v>
      </c>
      <c r="D14" s="729" t="s">
        <v>359</v>
      </c>
      <c r="E14" s="729" t="s">
        <v>359</v>
      </c>
      <c r="F14" s="730">
        <v>0</v>
      </c>
      <c r="G14" s="730">
        <v>5</v>
      </c>
      <c r="H14" s="730">
        <v>0</v>
      </c>
      <c r="I14" s="684">
        <f t="shared" si="0"/>
        <v>3</v>
      </c>
      <c r="J14" s="730">
        <v>102</v>
      </c>
      <c r="K14" s="730">
        <v>48</v>
      </c>
      <c r="L14" s="730">
        <v>54</v>
      </c>
      <c r="M14" s="730">
        <v>36</v>
      </c>
      <c r="N14" s="730">
        <v>0</v>
      </c>
      <c r="O14" s="730">
        <v>18</v>
      </c>
      <c r="P14" s="730">
        <v>0</v>
      </c>
      <c r="Q14" s="730">
        <v>0</v>
      </c>
      <c r="R14" s="730">
        <v>0</v>
      </c>
      <c r="S14" s="730">
        <v>0</v>
      </c>
      <c r="T14" s="730">
        <v>0</v>
      </c>
      <c r="U14" s="730">
        <v>0</v>
      </c>
      <c r="V14" s="730">
        <v>3</v>
      </c>
      <c r="W14" s="730">
        <v>0</v>
      </c>
      <c r="X14" s="730">
        <v>0</v>
      </c>
      <c r="Y14" s="730">
        <v>0</v>
      </c>
    </row>
    <row r="15" spans="1:250" s="685" customFormat="1">
      <c r="A15" s="729" t="s">
        <v>373</v>
      </c>
      <c r="B15" s="729" t="s">
        <v>20</v>
      </c>
      <c r="C15" s="729" t="s">
        <v>104</v>
      </c>
      <c r="D15" s="729" t="s">
        <v>359</v>
      </c>
      <c r="E15" s="729" t="s">
        <v>359</v>
      </c>
      <c r="F15" s="730">
        <v>0</v>
      </c>
      <c r="G15" s="730">
        <v>6</v>
      </c>
      <c r="H15" s="730">
        <v>0</v>
      </c>
      <c r="I15" s="684">
        <f t="shared" si="0"/>
        <v>2</v>
      </c>
      <c r="J15" s="730">
        <v>68</v>
      </c>
      <c r="K15" s="730">
        <v>32</v>
      </c>
      <c r="L15" s="730">
        <v>36</v>
      </c>
      <c r="M15" s="730">
        <v>18</v>
      </c>
      <c r="N15" s="730">
        <v>0</v>
      </c>
      <c r="O15" s="730">
        <v>18</v>
      </c>
      <c r="P15" s="730">
        <v>0</v>
      </c>
      <c r="Q15" s="730">
        <v>0</v>
      </c>
      <c r="R15" s="730">
        <v>0</v>
      </c>
      <c r="S15" s="730">
        <v>0</v>
      </c>
      <c r="T15" s="730">
        <v>0</v>
      </c>
      <c r="U15" s="730">
        <v>0</v>
      </c>
      <c r="V15" s="730">
        <v>0</v>
      </c>
      <c r="W15" s="730">
        <v>2</v>
      </c>
      <c r="X15" s="730">
        <v>0</v>
      </c>
      <c r="Y15" s="730">
        <v>0</v>
      </c>
    </row>
    <row r="16" spans="1:250" s="685" customFormat="1">
      <c r="A16" s="729" t="s">
        <v>374</v>
      </c>
      <c r="B16" s="731" t="s">
        <v>375</v>
      </c>
      <c r="C16" s="729"/>
      <c r="D16" s="729" t="s">
        <v>359</v>
      </c>
      <c r="E16" s="729" t="s">
        <v>357</v>
      </c>
      <c r="F16" s="730">
        <v>0</v>
      </c>
      <c r="G16" s="730">
        <v>5</v>
      </c>
      <c r="H16" s="730">
        <v>0</v>
      </c>
      <c r="I16" s="684">
        <f t="shared" si="0"/>
        <v>2</v>
      </c>
      <c r="J16" s="730">
        <v>68</v>
      </c>
      <c r="K16" s="730">
        <v>32</v>
      </c>
      <c r="L16" s="730">
        <v>36</v>
      </c>
      <c r="M16" s="730">
        <v>18</v>
      </c>
      <c r="N16" s="730">
        <v>0</v>
      </c>
      <c r="O16" s="730">
        <v>18</v>
      </c>
      <c r="P16" s="730">
        <v>0</v>
      </c>
      <c r="Q16" s="730">
        <v>0</v>
      </c>
      <c r="R16" s="730">
        <v>0</v>
      </c>
      <c r="S16" s="730">
        <v>0</v>
      </c>
      <c r="T16" s="730">
        <v>0</v>
      </c>
      <c r="U16" s="730">
        <v>0</v>
      </c>
      <c r="V16" s="730">
        <v>2</v>
      </c>
      <c r="W16" s="730">
        <v>0</v>
      </c>
      <c r="X16" s="730">
        <v>0</v>
      </c>
      <c r="Y16" s="730">
        <v>0</v>
      </c>
    </row>
    <row r="17" spans="1:25" s="685" customFormat="1">
      <c r="A17" s="729" t="s">
        <v>376</v>
      </c>
      <c r="B17" s="729" t="s">
        <v>120</v>
      </c>
      <c r="C17" s="729" t="s">
        <v>111</v>
      </c>
      <c r="D17" s="729" t="s">
        <v>357</v>
      </c>
      <c r="E17" s="729" t="s">
        <v>359</v>
      </c>
      <c r="F17" s="730">
        <v>0</v>
      </c>
      <c r="G17" s="730">
        <v>5</v>
      </c>
      <c r="H17" s="730">
        <v>0</v>
      </c>
      <c r="I17" s="684">
        <f t="shared" si="0"/>
        <v>2</v>
      </c>
      <c r="J17" s="730">
        <v>68</v>
      </c>
      <c r="K17" s="730">
        <v>32</v>
      </c>
      <c r="L17" s="730">
        <v>36</v>
      </c>
      <c r="M17" s="730">
        <v>18</v>
      </c>
      <c r="N17" s="730">
        <v>0</v>
      </c>
      <c r="O17" s="730">
        <v>18</v>
      </c>
      <c r="P17" s="730">
        <v>0</v>
      </c>
      <c r="Q17" s="730">
        <v>0</v>
      </c>
      <c r="R17" s="730">
        <v>0</v>
      </c>
      <c r="S17" s="730">
        <v>0</v>
      </c>
      <c r="T17" s="730">
        <v>0</v>
      </c>
      <c r="U17" s="730">
        <v>0</v>
      </c>
      <c r="V17" s="730">
        <v>2</v>
      </c>
      <c r="W17" s="730">
        <v>0</v>
      </c>
      <c r="X17" s="730">
        <v>0</v>
      </c>
      <c r="Y17" s="730">
        <v>0</v>
      </c>
    </row>
    <row r="18" spans="1:25" s="685" customFormat="1">
      <c r="A18" s="729" t="s">
        <v>377</v>
      </c>
      <c r="B18" s="729" t="s">
        <v>103</v>
      </c>
      <c r="C18" s="729" t="s">
        <v>104</v>
      </c>
      <c r="D18" s="729" t="s">
        <v>357</v>
      </c>
      <c r="E18" s="729" t="s">
        <v>359</v>
      </c>
      <c r="F18" s="730">
        <v>0</v>
      </c>
      <c r="G18" s="730">
        <v>5</v>
      </c>
      <c r="H18" s="730">
        <v>0</v>
      </c>
      <c r="I18" s="684">
        <f t="shared" si="0"/>
        <v>2</v>
      </c>
      <c r="J18" s="730">
        <v>68</v>
      </c>
      <c r="K18" s="730">
        <v>32</v>
      </c>
      <c r="L18" s="730">
        <v>36</v>
      </c>
      <c r="M18" s="730">
        <v>18</v>
      </c>
      <c r="N18" s="730">
        <v>0</v>
      </c>
      <c r="O18" s="730">
        <v>18</v>
      </c>
      <c r="P18" s="730">
        <v>0</v>
      </c>
      <c r="Q18" s="730">
        <v>0</v>
      </c>
      <c r="R18" s="730">
        <v>0</v>
      </c>
      <c r="S18" s="730">
        <v>0</v>
      </c>
      <c r="T18" s="730">
        <v>0</v>
      </c>
      <c r="U18" s="730">
        <v>0</v>
      </c>
      <c r="V18" s="730">
        <v>2</v>
      </c>
      <c r="W18" s="730">
        <v>0</v>
      </c>
      <c r="X18" s="730">
        <v>0</v>
      </c>
      <c r="Y18" s="730">
        <v>0</v>
      </c>
    </row>
    <row r="19" spans="1:25" s="685" customFormat="1">
      <c r="A19" s="729" t="s">
        <v>378</v>
      </c>
      <c r="B19" s="729" t="s">
        <v>379</v>
      </c>
      <c r="C19" s="729" t="s">
        <v>105</v>
      </c>
      <c r="D19" s="729" t="s">
        <v>357</v>
      </c>
      <c r="E19" s="729" t="s">
        <v>359</v>
      </c>
      <c r="F19" s="730">
        <v>0</v>
      </c>
      <c r="G19" s="730">
        <v>5</v>
      </c>
      <c r="H19" s="730">
        <v>0</v>
      </c>
      <c r="I19" s="684">
        <f t="shared" si="0"/>
        <v>2</v>
      </c>
      <c r="J19" s="730">
        <v>68</v>
      </c>
      <c r="K19" s="730">
        <v>32</v>
      </c>
      <c r="L19" s="730">
        <v>36</v>
      </c>
      <c r="M19" s="730">
        <v>18</v>
      </c>
      <c r="N19" s="730">
        <v>0</v>
      </c>
      <c r="O19" s="730">
        <v>18</v>
      </c>
      <c r="P19" s="730">
        <v>0</v>
      </c>
      <c r="Q19" s="730">
        <v>0</v>
      </c>
      <c r="R19" s="730">
        <v>0</v>
      </c>
      <c r="S19" s="730">
        <v>0</v>
      </c>
      <c r="T19" s="730">
        <v>0</v>
      </c>
      <c r="U19" s="730">
        <v>0</v>
      </c>
      <c r="V19" s="730">
        <v>2</v>
      </c>
      <c r="W19" s="730">
        <v>0</v>
      </c>
      <c r="X19" s="730">
        <v>0</v>
      </c>
      <c r="Y19" s="730">
        <v>0</v>
      </c>
    </row>
    <row r="20" spans="1:25" s="683" customFormat="1">
      <c r="A20" s="729" t="s">
        <v>380</v>
      </c>
      <c r="B20" s="729" t="s">
        <v>108</v>
      </c>
      <c r="C20" s="729" t="s">
        <v>105</v>
      </c>
      <c r="D20" s="729" t="s">
        <v>357</v>
      </c>
      <c r="E20" s="729" t="s">
        <v>359</v>
      </c>
      <c r="F20" s="730">
        <v>0</v>
      </c>
      <c r="G20" s="730">
        <v>5</v>
      </c>
      <c r="H20" s="730">
        <v>0</v>
      </c>
      <c r="I20" s="684">
        <f t="shared" si="0"/>
        <v>2</v>
      </c>
      <c r="J20" s="730">
        <v>68</v>
      </c>
      <c r="K20" s="730">
        <v>32</v>
      </c>
      <c r="L20" s="730">
        <v>36</v>
      </c>
      <c r="M20" s="730">
        <v>18</v>
      </c>
      <c r="N20" s="730">
        <v>0</v>
      </c>
      <c r="O20" s="730">
        <v>18</v>
      </c>
      <c r="P20" s="730">
        <v>0</v>
      </c>
      <c r="Q20" s="730">
        <v>0</v>
      </c>
      <c r="R20" s="730">
        <v>0</v>
      </c>
      <c r="S20" s="730">
        <v>0</v>
      </c>
      <c r="T20" s="730">
        <v>0</v>
      </c>
      <c r="U20" s="730">
        <v>0</v>
      </c>
      <c r="V20" s="730">
        <v>2</v>
      </c>
      <c r="W20" s="730">
        <v>0</v>
      </c>
      <c r="X20" s="730">
        <v>0</v>
      </c>
      <c r="Y20" s="730">
        <v>0</v>
      </c>
    </row>
    <row r="21" spans="1:25" s="685" customFormat="1">
      <c r="A21" s="729" t="s">
        <v>381</v>
      </c>
      <c r="B21" s="729" t="s">
        <v>179</v>
      </c>
      <c r="C21" s="729" t="s">
        <v>180</v>
      </c>
      <c r="D21" s="729" t="s">
        <v>357</v>
      </c>
      <c r="E21" s="729" t="s">
        <v>359</v>
      </c>
      <c r="F21" s="730">
        <v>0</v>
      </c>
      <c r="G21" s="730">
        <v>5</v>
      </c>
      <c r="H21" s="730">
        <v>0</v>
      </c>
      <c r="I21" s="684">
        <f t="shared" si="0"/>
        <v>2</v>
      </c>
      <c r="J21" s="730">
        <v>68</v>
      </c>
      <c r="K21" s="730">
        <v>32</v>
      </c>
      <c r="L21" s="730">
        <v>36</v>
      </c>
      <c r="M21" s="730">
        <v>18</v>
      </c>
      <c r="N21" s="730">
        <v>0</v>
      </c>
      <c r="O21" s="730">
        <v>18</v>
      </c>
      <c r="P21" s="730">
        <v>0</v>
      </c>
      <c r="Q21" s="730">
        <v>0</v>
      </c>
      <c r="R21" s="730">
        <v>0</v>
      </c>
      <c r="S21" s="730">
        <v>0</v>
      </c>
      <c r="T21" s="730">
        <v>0</v>
      </c>
      <c r="U21" s="730">
        <v>0</v>
      </c>
      <c r="V21" s="730">
        <v>2</v>
      </c>
      <c r="W21" s="730">
        <v>0</v>
      </c>
      <c r="X21" s="730">
        <v>0</v>
      </c>
      <c r="Y21" s="730">
        <v>0</v>
      </c>
    </row>
    <row r="22" spans="1:25" s="685" customFormat="1">
      <c r="A22" s="729" t="s">
        <v>382</v>
      </c>
      <c r="B22" s="729" t="s">
        <v>182</v>
      </c>
      <c r="C22" s="729" t="s">
        <v>183</v>
      </c>
      <c r="D22" s="729" t="s">
        <v>357</v>
      </c>
      <c r="E22" s="729" t="s">
        <v>359</v>
      </c>
      <c r="F22" s="730">
        <v>0</v>
      </c>
      <c r="G22" s="730">
        <v>5</v>
      </c>
      <c r="H22" s="730">
        <v>0</v>
      </c>
      <c r="I22" s="684">
        <f t="shared" si="0"/>
        <v>2</v>
      </c>
      <c r="J22" s="730">
        <v>68</v>
      </c>
      <c r="K22" s="730">
        <v>32</v>
      </c>
      <c r="L22" s="730">
        <v>36</v>
      </c>
      <c r="M22" s="730">
        <v>18</v>
      </c>
      <c r="N22" s="730">
        <v>0</v>
      </c>
      <c r="O22" s="730">
        <v>18</v>
      </c>
      <c r="P22" s="730">
        <v>0</v>
      </c>
      <c r="Q22" s="730">
        <v>0</v>
      </c>
      <c r="R22" s="730">
        <v>0</v>
      </c>
      <c r="S22" s="730">
        <v>0</v>
      </c>
      <c r="T22" s="730">
        <v>0</v>
      </c>
      <c r="U22" s="730">
        <v>0</v>
      </c>
      <c r="V22" s="730">
        <v>2</v>
      </c>
      <c r="W22" s="730">
        <v>0</v>
      </c>
      <c r="X22" s="730">
        <v>0</v>
      </c>
      <c r="Y22" s="730">
        <v>0</v>
      </c>
    </row>
    <row r="23" spans="1:25" s="685" customFormat="1">
      <c r="A23" s="729" t="s">
        <v>383</v>
      </c>
      <c r="B23" s="729" t="s">
        <v>185</v>
      </c>
      <c r="C23" s="729" t="s">
        <v>119</v>
      </c>
      <c r="D23" s="729" t="s">
        <v>357</v>
      </c>
      <c r="E23" s="729" t="s">
        <v>359</v>
      </c>
      <c r="F23" s="730">
        <v>0</v>
      </c>
      <c r="G23" s="730">
        <v>5</v>
      </c>
      <c r="H23" s="730">
        <v>0</v>
      </c>
      <c r="I23" s="684">
        <f t="shared" si="0"/>
        <v>2</v>
      </c>
      <c r="J23" s="730">
        <v>68</v>
      </c>
      <c r="K23" s="730">
        <v>32</v>
      </c>
      <c r="L23" s="730">
        <v>36</v>
      </c>
      <c r="M23" s="730">
        <v>18</v>
      </c>
      <c r="N23" s="730">
        <v>0</v>
      </c>
      <c r="O23" s="730">
        <v>18</v>
      </c>
      <c r="P23" s="730">
        <v>0</v>
      </c>
      <c r="Q23" s="730">
        <v>0</v>
      </c>
      <c r="R23" s="730">
        <v>0</v>
      </c>
      <c r="S23" s="730">
        <v>0</v>
      </c>
      <c r="T23" s="730">
        <v>0</v>
      </c>
      <c r="U23" s="730">
        <v>0</v>
      </c>
      <c r="V23" s="730">
        <v>2</v>
      </c>
      <c r="W23" s="730">
        <v>0</v>
      </c>
      <c r="X23" s="730">
        <v>0</v>
      </c>
      <c r="Y23" s="730">
        <v>0</v>
      </c>
    </row>
    <row r="24" spans="1:25" s="685" customFormat="1">
      <c r="A24" s="729" t="s">
        <v>384</v>
      </c>
      <c r="B24" s="729" t="s">
        <v>187</v>
      </c>
      <c r="C24" s="729" t="s">
        <v>118</v>
      </c>
      <c r="D24" s="729" t="s">
        <v>357</v>
      </c>
      <c r="E24" s="729" t="s">
        <v>359</v>
      </c>
      <c r="F24" s="730">
        <v>0</v>
      </c>
      <c r="G24" s="730">
        <v>5</v>
      </c>
      <c r="H24" s="730">
        <v>0</v>
      </c>
      <c r="I24" s="684">
        <f t="shared" si="0"/>
        <v>2</v>
      </c>
      <c r="J24" s="730">
        <v>68</v>
      </c>
      <c r="K24" s="730">
        <v>32</v>
      </c>
      <c r="L24" s="730">
        <v>36</v>
      </c>
      <c r="M24" s="730">
        <v>18</v>
      </c>
      <c r="N24" s="730">
        <v>0</v>
      </c>
      <c r="O24" s="730">
        <v>18</v>
      </c>
      <c r="P24" s="730">
        <v>0</v>
      </c>
      <c r="Q24" s="730">
        <v>0</v>
      </c>
      <c r="R24" s="730">
        <v>0</v>
      </c>
      <c r="S24" s="730">
        <v>0</v>
      </c>
      <c r="T24" s="730">
        <v>0</v>
      </c>
      <c r="U24" s="730">
        <v>0</v>
      </c>
      <c r="V24" s="730">
        <v>2</v>
      </c>
      <c r="W24" s="730">
        <v>0</v>
      </c>
      <c r="X24" s="730">
        <v>0</v>
      </c>
      <c r="Y24" s="730">
        <v>0</v>
      </c>
    </row>
    <row r="25" spans="1:25" s="685" customFormat="1">
      <c r="A25" s="729" t="s">
        <v>385</v>
      </c>
      <c r="B25" s="731" t="s">
        <v>386</v>
      </c>
      <c r="C25" s="729"/>
      <c r="D25" s="729" t="s">
        <v>359</v>
      </c>
      <c r="E25" s="729" t="s">
        <v>357</v>
      </c>
      <c r="F25" s="730">
        <v>0</v>
      </c>
      <c r="G25" s="730">
        <v>6</v>
      </c>
      <c r="H25" s="730">
        <v>0</v>
      </c>
      <c r="I25" s="684">
        <f t="shared" si="0"/>
        <v>3</v>
      </c>
      <c r="J25" s="730">
        <v>102</v>
      </c>
      <c r="K25" s="730">
        <v>66</v>
      </c>
      <c r="L25" s="730">
        <v>36</v>
      </c>
      <c r="M25" s="730">
        <v>18</v>
      </c>
      <c r="N25" s="730">
        <v>0</v>
      </c>
      <c r="O25" s="730">
        <v>18</v>
      </c>
      <c r="P25" s="730">
        <v>0</v>
      </c>
      <c r="Q25" s="730">
        <v>0</v>
      </c>
      <c r="R25" s="730">
        <v>0</v>
      </c>
      <c r="S25" s="730">
        <v>0</v>
      </c>
      <c r="T25" s="730">
        <v>0</v>
      </c>
      <c r="U25" s="730">
        <v>0</v>
      </c>
      <c r="V25" s="730">
        <v>0</v>
      </c>
      <c r="W25" s="730">
        <v>2</v>
      </c>
      <c r="X25" s="730">
        <v>0</v>
      </c>
      <c r="Y25" s="730">
        <v>0</v>
      </c>
    </row>
    <row r="26" spans="1:25" s="685" customFormat="1">
      <c r="A26" s="729" t="s">
        <v>387</v>
      </c>
      <c r="B26" s="729" t="s">
        <v>388</v>
      </c>
      <c r="C26" s="729" t="s">
        <v>104</v>
      </c>
      <c r="D26" s="729" t="s">
        <v>357</v>
      </c>
      <c r="E26" s="729" t="s">
        <v>359</v>
      </c>
      <c r="F26" s="730">
        <v>0</v>
      </c>
      <c r="G26" s="730">
        <v>6</v>
      </c>
      <c r="H26" s="730">
        <v>0</v>
      </c>
      <c r="I26" s="684">
        <f t="shared" si="0"/>
        <v>3</v>
      </c>
      <c r="J26" s="730">
        <v>102</v>
      </c>
      <c r="K26" s="730">
        <v>66</v>
      </c>
      <c r="L26" s="730">
        <v>36</v>
      </c>
      <c r="M26" s="730">
        <v>18</v>
      </c>
      <c r="N26" s="730">
        <v>0</v>
      </c>
      <c r="O26" s="730">
        <v>18</v>
      </c>
      <c r="P26" s="730">
        <v>0</v>
      </c>
      <c r="Q26" s="730">
        <v>0</v>
      </c>
      <c r="R26" s="730">
        <v>0</v>
      </c>
      <c r="S26" s="730">
        <v>0</v>
      </c>
      <c r="T26" s="730">
        <v>0</v>
      </c>
      <c r="U26" s="730">
        <v>0</v>
      </c>
      <c r="V26" s="730">
        <v>0</v>
      </c>
      <c r="W26" s="730">
        <v>2</v>
      </c>
      <c r="X26" s="730">
        <v>0</v>
      </c>
      <c r="Y26" s="730">
        <v>0</v>
      </c>
    </row>
    <row r="27" spans="1:25" s="685" customFormat="1">
      <c r="A27" s="729" t="s">
        <v>389</v>
      </c>
      <c r="B27" s="729" t="s">
        <v>106</v>
      </c>
      <c r="C27" s="729" t="s">
        <v>107</v>
      </c>
      <c r="D27" s="729" t="s">
        <v>357</v>
      </c>
      <c r="E27" s="729" t="s">
        <v>359</v>
      </c>
      <c r="F27" s="730">
        <v>0</v>
      </c>
      <c r="G27" s="730">
        <v>6</v>
      </c>
      <c r="H27" s="730">
        <v>0</v>
      </c>
      <c r="I27" s="684">
        <f t="shared" si="0"/>
        <v>3</v>
      </c>
      <c r="J27" s="730">
        <v>102</v>
      </c>
      <c r="K27" s="730">
        <v>66</v>
      </c>
      <c r="L27" s="730">
        <v>36</v>
      </c>
      <c r="M27" s="730">
        <v>18</v>
      </c>
      <c r="N27" s="730">
        <v>0</v>
      </c>
      <c r="O27" s="730">
        <v>18</v>
      </c>
      <c r="P27" s="730">
        <v>0</v>
      </c>
      <c r="Q27" s="730">
        <v>0</v>
      </c>
      <c r="R27" s="730">
        <v>0</v>
      </c>
      <c r="S27" s="730">
        <v>0</v>
      </c>
      <c r="T27" s="730">
        <v>0</v>
      </c>
      <c r="U27" s="730">
        <v>0</v>
      </c>
      <c r="V27" s="730">
        <v>0</v>
      </c>
      <c r="W27" s="730">
        <v>2</v>
      </c>
      <c r="X27" s="730">
        <v>0</v>
      </c>
      <c r="Y27" s="730">
        <v>0</v>
      </c>
    </row>
    <row r="28" spans="1:25" s="686" customFormat="1">
      <c r="A28" s="729" t="s">
        <v>390</v>
      </c>
      <c r="B28" s="729" t="s">
        <v>391</v>
      </c>
      <c r="C28" s="729" t="s">
        <v>105</v>
      </c>
      <c r="D28" s="729" t="s">
        <v>357</v>
      </c>
      <c r="E28" s="729" t="s">
        <v>359</v>
      </c>
      <c r="F28" s="730">
        <v>0</v>
      </c>
      <c r="G28" s="730">
        <v>6</v>
      </c>
      <c r="H28" s="730">
        <v>0</v>
      </c>
      <c r="I28" s="684">
        <f t="shared" si="0"/>
        <v>3</v>
      </c>
      <c r="J28" s="730">
        <v>102</v>
      </c>
      <c r="K28" s="730">
        <v>66</v>
      </c>
      <c r="L28" s="730">
        <v>36</v>
      </c>
      <c r="M28" s="730">
        <v>18</v>
      </c>
      <c r="N28" s="730">
        <v>0</v>
      </c>
      <c r="O28" s="730">
        <v>18</v>
      </c>
      <c r="P28" s="730">
        <v>0</v>
      </c>
      <c r="Q28" s="730">
        <v>0</v>
      </c>
      <c r="R28" s="730">
        <v>0</v>
      </c>
      <c r="S28" s="730">
        <v>0</v>
      </c>
      <c r="T28" s="730">
        <v>0</v>
      </c>
      <c r="U28" s="730">
        <v>0</v>
      </c>
      <c r="V28" s="730">
        <v>0</v>
      </c>
      <c r="W28" s="730">
        <v>2</v>
      </c>
      <c r="X28" s="730">
        <v>0</v>
      </c>
      <c r="Y28" s="730">
        <v>0</v>
      </c>
    </row>
    <row r="29" spans="1:25" s="685" customFormat="1">
      <c r="A29" s="729" t="s">
        <v>392</v>
      </c>
      <c r="B29" s="729" t="s">
        <v>109</v>
      </c>
      <c r="C29" s="729" t="s">
        <v>105</v>
      </c>
      <c r="D29" s="729" t="s">
        <v>357</v>
      </c>
      <c r="E29" s="729" t="s">
        <v>359</v>
      </c>
      <c r="F29" s="730">
        <v>0</v>
      </c>
      <c r="G29" s="730">
        <v>6</v>
      </c>
      <c r="H29" s="730">
        <v>0</v>
      </c>
      <c r="I29" s="684">
        <f t="shared" si="0"/>
        <v>3</v>
      </c>
      <c r="J29" s="730">
        <v>102</v>
      </c>
      <c r="K29" s="730">
        <v>66</v>
      </c>
      <c r="L29" s="730">
        <v>36</v>
      </c>
      <c r="M29" s="730">
        <v>18</v>
      </c>
      <c r="N29" s="730">
        <v>0</v>
      </c>
      <c r="O29" s="730">
        <v>18</v>
      </c>
      <c r="P29" s="730">
        <v>0</v>
      </c>
      <c r="Q29" s="730">
        <v>0</v>
      </c>
      <c r="R29" s="730">
        <v>0</v>
      </c>
      <c r="S29" s="730">
        <v>0</v>
      </c>
      <c r="T29" s="730">
        <v>0</v>
      </c>
      <c r="U29" s="730">
        <v>0</v>
      </c>
      <c r="V29" s="730">
        <v>0</v>
      </c>
      <c r="W29" s="730">
        <v>2</v>
      </c>
      <c r="X29" s="730">
        <v>0</v>
      </c>
      <c r="Y29" s="730">
        <v>0</v>
      </c>
    </row>
    <row r="30" spans="1:25" s="685" customFormat="1">
      <c r="A30" s="729" t="s">
        <v>393</v>
      </c>
      <c r="B30" s="729" t="s">
        <v>181</v>
      </c>
      <c r="C30" s="729" t="s">
        <v>180</v>
      </c>
      <c r="D30" s="729" t="s">
        <v>357</v>
      </c>
      <c r="E30" s="729" t="s">
        <v>359</v>
      </c>
      <c r="F30" s="730">
        <v>0</v>
      </c>
      <c r="G30" s="730">
        <v>6</v>
      </c>
      <c r="H30" s="730">
        <v>0</v>
      </c>
      <c r="I30" s="684">
        <f t="shared" si="0"/>
        <v>3</v>
      </c>
      <c r="J30" s="730">
        <v>102</v>
      </c>
      <c r="K30" s="730">
        <v>66</v>
      </c>
      <c r="L30" s="730">
        <v>36</v>
      </c>
      <c r="M30" s="730">
        <v>18</v>
      </c>
      <c r="N30" s="730">
        <v>0</v>
      </c>
      <c r="O30" s="730">
        <v>18</v>
      </c>
      <c r="P30" s="730">
        <v>0</v>
      </c>
      <c r="Q30" s="730">
        <v>0</v>
      </c>
      <c r="R30" s="730">
        <v>0</v>
      </c>
      <c r="S30" s="730">
        <v>0</v>
      </c>
      <c r="T30" s="730">
        <v>0</v>
      </c>
      <c r="U30" s="730">
        <v>0</v>
      </c>
      <c r="V30" s="730">
        <v>0</v>
      </c>
      <c r="W30" s="730">
        <v>2</v>
      </c>
      <c r="X30" s="730">
        <v>0</v>
      </c>
      <c r="Y30" s="730">
        <v>0</v>
      </c>
    </row>
    <row r="31" spans="1:25" s="685" customFormat="1">
      <c r="A31" s="729" t="s">
        <v>394</v>
      </c>
      <c r="B31" s="729" t="s">
        <v>184</v>
      </c>
      <c r="C31" s="729" t="s">
        <v>183</v>
      </c>
      <c r="D31" s="729" t="s">
        <v>357</v>
      </c>
      <c r="E31" s="729" t="s">
        <v>359</v>
      </c>
      <c r="F31" s="730">
        <v>0</v>
      </c>
      <c r="G31" s="730">
        <v>6</v>
      </c>
      <c r="H31" s="730">
        <v>0</v>
      </c>
      <c r="I31" s="684">
        <f t="shared" si="0"/>
        <v>3</v>
      </c>
      <c r="J31" s="730">
        <v>102</v>
      </c>
      <c r="K31" s="730">
        <v>66</v>
      </c>
      <c r="L31" s="730">
        <v>36</v>
      </c>
      <c r="M31" s="730">
        <v>18</v>
      </c>
      <c r="N31" s="730">
        <v>0</v>
      </c>
      <c r="O31" s="730">
        <v>18</v>
      </c>
      <c r="P31" s="730">
        <v>0</v>
      </c>
      <c r="Q31" s="730">
        <v>0</v>
      </c>
      <c r="R31" s="730">
        <v>0</v>
      </c>
      <c r="S31" s="730">
        <v>0</v>
      </c>
      <c r="T31" s="730">
        <v>0</v>
      </c>
      <c r="U31" s="730">
        <v>0</v>
      </c>
      <c r="V31" s="730">
        <v>0</v>
      </c>
      <c r="W31" s="730">
        <v>2</v>
      </c>
      <c r="X31" s="730">
        <v>0</v>
      </c>
      <c r="Y31" s="730">
        <v>0</v>
      </c>
    </row>
    <row r="32" spans="1:25" s="685" customFormat="1">
      <c r="A32" s="729" t="s">
        <v>395</v>
      </c>
      <c r="B32" s="729" t="s">
        <v>186</v>
      </c>
      <c r="C32" s="729" t="s">
        <v>119</v>
      </c>
      <c r="D32" s="729" t="s">
        <v>357</v>
      </c>
      <c r="E32" s="729" t="s">
        <v>359</v>
      </c>
      <c r="F32" s="730">
        <v>0</v>
      </c>
      <c r="G32" s="730">
        <v>6</v>
      </c>
      <c r="H32" s="730">
        <v>0</v>
      </c>
      <c r="I32" s="684">
        <f t="shared" si="0"/>
        <v>3</v>
      </c>
      <c r="J32" s="730">
        <v>102</v>
      </c>
      <c r="K32" s="730">
        <v>66</v>
      </c>
      <c r="L32" s="730">
        <v>36</v>
      </c>
      <c r="M32" s="730">
        <v>18</v>
      </c>
      <c r="N32" s="730">
        <v>0</v>
      </c>
      <c r="O32" s="730">
        <v>18</v>
      </c>
      <c r="P32" s="730">
        <v>0</v>
      </c>
      <c r="Q32" s="730">
        <v>0</v>
      </c>
      <c r="R32" s="730">
        <v>0</v>
      </c>
      <c r="S32" s="730">
        <v>0</v>
      </c>
      <c r="T32" s="730">
        <v>0</v>
      </c>
      <c r="U32" s="730">
        <v>0</v>
      </c>
      <c r="V32" s="730">
        <v>0</v>
      </c>
      <c r="W32" s="730">
        <v>2</v>
      </c>
      <c r="X32" s="730">
        <v>0</v>
      </c>
      <c r="Y32" s="730">
        <v>0</v>
      </c>
    </row>
    <row r="33" spans="1:25" s="683" customFormat="1">
      <c r="A33" s="729" t="s">
        <v>396</v>
      </c>
      <c r="B33" s="729" t="s">
        <v>188</v>
      </c>
      <c r="C33" s="729" t="s">
        <v>118</v>
      </c>
      <c r="D33" s="729" t="s">
        <v>357</v>
      </c>
      <c r="E33" s="729" t="s">
        <v>359</v>
      </c>
      <c r="F33" s="730">
        <v>0</v>
      </c>
      <c r="G33" s="730">
        <v>6</v>
      </c>
      <c r="H33" s="730">
        <v>0</v>
      </c>
      <c r="I33" s="684">
        <f t="shared" si="0"/>
        <v>3</v>
      </c>
      <c r="J33" s="730">
        <v>102</v>
      </c>
      <c r="K33" s="730">
        <v>66</v>
      </c>
      <c r="L33" s="730">
        <v>36</v>
      </c>
      <c r="M33" s="730">
        <v>18</v>
      </c>
      <c r="N33" s="730">
        <v>0</v>
      </c>
      <c r="O33" s="730">
        <v>18</v>
      </c>
      <c r="P33" s="730">
        <v>0</v>
      </c>
      <c r="Q33" s="730">
        <v>0</v>
      </c>
      <c r="R33" s="730">
        <v>0</v>
      </c>
      <c r="S33" s="730">
        <v>0</v>
      </c>
      <c r="T33" s="730">
        <v>0</v>
      </c>
      <c r="U33" s="730">
        <v>0</v>
      </c>
      <c r="V33" s="730">
        <v>0</v>
      </c>
      <c r="W33" s="730">
        <v>2</v>
      </c>
      <c r="X33" s="730">
        <v>0</v>
      </c>
      <c r="Y33" s="730">
        <v>0</v>
      </c>
    </row>
    <row r="34" spans="1:25" s="685" customFormat="1">
      <c r="A34" s="680" t="s">
        <v>397</v>
      </c>
      <c r="B34" s="680" t="s">
        <v>398</v>
      </c>
      <c r="C34" s="680"/>
      <c r="D34" s="680" t="s">
        <v>357</v>
      </c>
      <c r="E34" s="680" t="s">
        <v>357</v>
      </c>
      <c r="F34" s="681">
        <v>0</v>
      </c>
      <c r="G34" s="681">
        <v>0</v>
      </c>
      <c r="H34" s="681">
        <v>0</v>
      </c>
      <c r="I34" s="682">
        <f t="shared" si="0"/>
        <v>59</v>
      </c>
      <c r="J34" s="681">
        <v>2006</v>
      </c>
      <c r="K34" s="681">
        <v>0</v>
      </c>
      <c r="L34" s="681">
        <v>0</v>
      </c>
      <c r="M34" s="681">
        <v>0</v>
      </c>
      <c r="N34" s="681">
        <v>0</v>
      </c>
      <c r="O34" s="681">
        <v>0</v>
      </c>
      <c r="P34" s="681">
        <v>0</v>
      </c>
      <c r="Q34" s="681">
        <v>0</v>
      </c>
      <c r="R34" s="681">
        <v>0</v>
      </c>
      <c r="S34" s="681">
        <v>0</v>
      </c>
      <c r="T34" s="681">
        <v>0</v>
      </c>
      <c r="U34" s="681">
        <v>0</v>
      </c>
      <c r="V34" s="681">
        <v>0</v>
      </c>
      <c r="W34" s="681">
        <v>0</v>
      </c>
      <c r="X34" s="681">
        <v>0</v>
      </c>
      <c r="Y34" s="681">
        <v>0</v>
      </c>
    </row>
    <row r="35" spans="1:25" s="685" customFormat="1">
      <c r="A35" s="729" t="s">
        <v>488</v>
      </c>
      <c r="B35" s="729" t="s">
        <v>489</v>
      </c>
      <c r="C35" s="729" t="s">
        <v>219</v>
      </c>
      <c r="D35" s="729" t="s">
        <v>359</v>
      </c>
      <c r="E35" s="729" t="s">
        <v>359</v>
      </c>
      <c r="F35" s="730">
        <v>0</v>
      </c>
      <c r="G35" s="730">
        <v>1</v>
      </c>
      <c r="H35" s="730">
        <v>0</v>
      </c>
      <c r="I35" s="684">
        <f t="shared" si="0"/>
        <v>2</v>
      </c>
      <c r="J35" s="730">
        <v>68</v>
      </c>
      <c r="K35" s="730">
        <v>32</v>
      </c>
      <c r="L35" s="730">
        <v>36</v>
      </c>
      <c r="M35" s="730">
        <v>36</v>
      </c>
      <c r="N35" s="730">
        <v>0</v>
      </c>
      <c r="O35" s="730">
        <v>0</v>
      </c>
      <c r="P35" s="730">
        <v>0</v>
      </c>
      <c r="Q35" s="730">
        <v>0</v>
      </c>
      <c r="R35" s="730">
        <v>2</v>
      </c>
      <c r="S35" s="730">
        <v>0</v>
      </c>
      <c r="T35" s="730">
        <v>0</v>
      </c>
      <c r="U35" s="730">
        <v>0</v>
      </c>
      <c r="V35" s="730">
        <v>0</v>
      </c>
      <c r="W35" s="730">
        <v>0</v>
      </c>
      <c r="X35" s="730">
        <v>0</v>
      </c>
      <c r="Y35" s="730">
        <v>0</v>
      </c>
    </row>
    <row r="36" spans="1:25" s="685" customFormat="1">
      <c r="A36" s="729" t="s">
        <v>490</v>
      </c>
      <c r="B36" s="729" t="s">
        <v>491</v>
      </c>
      <c r="C36" s="729" t="s">
        <v>219</v>
      </c>
      <c r="D36" s="729" t="s">
        <v>359</v>
      </c>
      <c r="E36" s="729" t="s">
        <v>359</v>
      </c>
      <c r="F36" s="730"/>
      <c r="G36" s="730"/>
      <c r="H36" s="730"/>
      <c r="I36" s="684">
        <f t="shared" si="0"/>
        <v>2</v>
      </c>
      <c r="J36" s="730">
        <v>68</v>
      </c>
      <c r="K36" s="730">
        <v>32</v>
      </c>
      <c r="L36" s="730">
        <v>36</v>
      </c>
      <c r="M36" s="730"/>
      <c r="N36" s="730">
        <v>36</v>
      </c>
      <c r="O36" s="730">
        <v>0</v>
      </c>
      <c r="P36" s="730"/>
      <c r="Q36" s="730">
        <v>0</v>
      </c>
      <c r="R36" s="730">
        <v>2</v>
      </c>
      <c r="S36" s="730"/>
      <c r="T36" s="730"/>
      <c r="U36" s="730"/>
      <c r="V36" s="730"/>
      <c r="W36" s="730"/>
      <c r="X36" s="730"/>
      <c r="Y36" s="730"/>
    </row>
    <row r="37" spans="1:25" s="685" customFormat="1">
      <c r="A37" s="729" t="s">
        <v>399</v>
      </c>
      <c r="B37" s="729" t="s">
        <v>83</v>
      </c>
      <c r="C37" s="729" t="s">
        <v>492</v>
      </c>
      <c r="D37" s="729" t="s">
        <v>359</v>
      </c>
      <c r="E37" s="729" t="s">
        <v>359</v>
      </c>
      <c r="F37" s="730">
        <v>1</v>
      </c>
      <c r="G37" s="730">
        <v>0</v>
      </c>
      <c r="H37" s="730">
        <v>0</v>
      </c>
      <c r="I37" s="684">
        <f t="shared" si="0"/>
        <v>4</v>
      </c>
      <c r="J37" s="730">
        <v>136</v>
      </c>
      <c r="K37" s="730">
        <v>64</v>
      </c>
      <c r="L37" s="730">
        <v>72</v>
      </c>
      <c r="M37" s="730">
        <v>36</v>
      </c>
      <c r="N37" s="730">
        <v>0</v>
      </c>
      <c r="O37" s="730">
        <v>36</v>
      </c>
      <c r="P37" s="730">
        <v>0</v>
      </c>
      <c r="Q37" s="730">
        <v>0</v>
      </c>
      <c r="R37" s="730">
        <v>4</v>
      </c>
      <c r="S37" s="730">
        <v>0</v>
      </c>
      <c r="T37" s="730">
        <v>0</v>
      </c>
      <c r="U37" s="730">
        <v>0</v>
      </c>
      <c r="V37" s="730">
        <v>0</v>
      </c>
      <c r="W37" s="730">
        <v>0</v>
      </c>
      <c r="X37" s="730">
        <v>0</v>
      </c>
      <c r="Y37" s="730">
        <v>0</v>
      </c>
    </row>
    <row r="38" spans="1:25" s="685" customFormat="1">
      <c r="A38" s="729" t="s">
        <v>400</v>
      </c>
      <c r="B38" s="729" t="s">
        <v>84</v>
      </c>
      <c r="C38" s="729" t="s">
        <v>492</v>
      </c>
      <c r="D38" s="729" t="s">
        <v>359</v>
      </c>
      <c r="E38" s="729" t="s">
        <v>359</v>
      </c>
      <c r="F38" s="730">
        <v>1</v>
      </c>
      <c r="G38" s="730">
        <v>0</v>
      </c>
      <c r="H38" s="730">
        <v>0</v>
      </c>
      <c r="I38" s="684">
        <f t="shared" si="0"/>
        <v>5</v>
      </c>
      <c r="J38" s="730">
        <v>170</v>
      </c>
      <c r="K38" s="730">
        <v>98</v>
      </c>
      <c r="L38" s="730">
        <v>72</v>
      </c>
      <c r="M38" s="730">
        <v>36</v>
      </c>
      <c r="N38" s="730">
        <v>0</v>
      </c>
      <c r="O38" s="730">
        <v>36</v>
      </c>
      <c r="P38" s="730">
        <v>0</v>
      </c>
      <c r="Q38" s="730">
        <v>0</v>
      </c>
      <c r="R38" s="730">
        <v>4</v>
      </c>
      <c r="S38" s="730">
        <v>0</v>
      </c>
      <c r="T38" s="730">
        <v>0</v>
      </c>
      <c r="U38" s="730">
        <v>0</v>
      </c>
      <c r="V38" s="730">
        <v>0</v>
      </c>
      <c r="W38" s="730">
        <v>0</v>
      </c>
      <c r="X38" s="730">
        <v>0</v>
      </c>
      <c r="Y38" s="730">
        <v>0</v>
      </c>
    </row>
    <row r="39" spans="1:25" s="685" customFormat="1">
      <c r="A39" s="729" t="s">
        <v>401</v>
      </c>
      <c r="B39" s="729" t="s">
        <v>223</v>
      </c>
      <c r="C39" s="729" t="s">
        <v>492</v>
      </c>
      <c r="D39" s="729" t="s">
        <v>359</v>
      </c>
      <c r="E39" s="729" t="s">
        <v>359</v>
      </c>
      <c r="F39" s="730">
        <v>2</v>
      </c>
      <c r="G39" s="730">
        <v>0</v>
      </c>
      <c r="H39" s="730">
        <v>0</v>
      </c>
      <c r="I39" s="684">
        <f t="shared" si="0"/>
        <v>5</v>
      </c>
      <c r="J39" s="730">
        <v>170</v>
      </c>
      <c r="K39" s="730">
        <v>98</v>
      </c>
      <c r="L39" s="730">
        <v>72</v>
      </c>
      <c r="M39" s="730">
        <v>36</v>
      </c>
      <c r="N39" s="730">
        <v>0</v>
      </c>
      <c r="O39" s="730">
        <v>36</v>
      </c>
      <c r="P39" s="730">
        <v>0</v>
      </c>
      <c r="Q39" s="730">
        <v>0</v>
      </c>
      <c r="R39" s="730">
        <v>0</v>
      </c>
      <c r="S39" s="730">
        <v>4</v>
      </c>
      <c r="T39" s="730">
        <v>0</v>
      </c>
      <c r="U39" s="730">
        <v>0</v>
      </c>
      <c r="V39" s="730">
        <v>0</v>
      </c>
      <c r="W39" s="730">
        <v>0</v>
      </c>
      <c r="X39" s="730">
        <v>0</v>
      </c>
      <c r="Y39" s="730">
        <v>0</v>
      </c>
    </row>
    <row r="40" spans="1:25" s="685" customFormat="1">
      <c r="A40" s="729" t="s">
        <v>402</v>
      </c>
      <c r="B40" s="729" t="s">
        <v>272</v>
      </c>
      <c r="C40" s="729" t="s">
        <v>492</v>
      </c>
      <c r="D40" s="729" t="s">
        <v>359</v>
      </c>
      <c r="E40" s="729" t="s">
        <v>359</v>
      </c>
      <c r="F40" s="730">
        <v>3</v>
      </c>
      <c r="G40" s="730">
        <v>0</v>
      </c>
      <c r="H40" s="730">
        <v>0</v>
      </c>
      <c r="I40" s="684">
        <f t="shared" si="0"/>
        <v>4</v>
      </c>
      <c r="J40" s="730">
        <v>136</v>
      </c>
      <c r="K40" s="730">
        <v>64</v>
      </c>
      <c r="L40" s="730">
        <v>72</v>
      </c>
      <c r="M40" s="730">
        <v>36</v>
      </c>
      <c r="N40" s="730">
        <v>0</v>
      </c>
      <c r="O40" s="730">
        <v>36</v>
      </c>
      <c r="P40" s="730">
        <v>0</v>
      </c>
      <c r="Q40" s="730">
        <v>0</v>
      </c>
      <c r="R40" s="730">
        <v>0</v>
      </c>
      <c r="S40" s="730">
        <v>0</v>
      </c>
      <c r="T40" s="730">
        <v>4</v>
      </c>
      <c r="U40" s="730">
        <v>0</v>
      </c>
      <c r="V40" s="730">
        <v>0</v>
      </c>
      <c r="W40" s="730">
        <v>0</v>
      </c>
      <c r="X40" s="730">
        <v>0</v>
      </c>
      <c r="Y40" s="730">
        <v>0</v>
      </c>
    </row>
    <row r="41" spans="1:25" s="685" customFormat="1">
      <c r="A41" s="729" t="s">
        <v>403</v>
      </c>
      <c r="B41" s="729" t="s">
        <v>493</v>
      </c>
      <c r="C41" s="729" t="s">
        <v>492</v>
      </c>
      <c r="D41" s="729" t="s">
        <v>359</v>
      </c>
      <c r="E41" s="729" t="s">
        <v>359</v>
      </c>
      <c r="F41" s="730">
        <v>3</v>
      </c>
      <c r="G41" s="730">
        <v>0</v>
      </c>
      <c r="H41" s="730">
        <v>0</v>
      </c>
      <c r="I41" s="684">
        <f t="shared" si="0"/>
        <v>4</v>
      </c>
      <c r="J41" s="730">
        <v>136</v>
      </c>
      <c r="K41" s="730">
        <v>64</v>
      </c>
      <c r="L41" s="730">
        <v>72</v>
      </c>
      <c r="M41" s="730">
        <v>36</v>
      </c>
      <c r="N41" s="730">
        <v>0</v>
      </c>
      <c r="O41" s="730">
        <v>36</v>
      </c>
      <c r="P41" s="730">
        <v>0</v>
      </c>
      <c r="Q41" s="730">
        <v>0</v>
      </c>
      <c r="R41" s="730">
        <v>0</v>
      </c>
      <c r="S41" s="730">
        <v>0</v>
      </c>
      <c r="T41" s="730">
        <v>4</v>
      </c>
      <c r="U41" s="730">
        <v>0</v>
      </c>
      <c r="V41" s="730">
        <v>0</v>
      </c>
      <c r="W41" s="730">
        <v>0</v>
      </c>
      <c r="X41" s="730">
        <v>0</v>
      </c>
      <c r="Y41" s="730">
        <v>0</v>
      </c>
    </row>
    <row r="42" spans="1:25" s="685" customFormat="1">
      <c r="A42" s="729" t="s">
        <v>404</v>
      </c>
      <c r="B42" s="729" t="s">
        <v>85</v>
      </c>
      <c r="C42" s="729" t="s">
        <v>113</v>
      </c>
      <c r="D42" s="729" t="s">
        <v>359</v>
      </c>
      <c r="E42" s="729" t="s">
        <v>359</v>
      </c>
      <c r="F42" s="730">
        <v>1</v>
      </c>
      <c r="G42" s="730">
        <v>0</v>
      </c>
      <c r="H42" s="730">
        <v>0</v>
      </c>
      <c r="I42" s="684">
        <f t="shared" si="0"/>
        <v>4</v>
      </c>
      <c r="J42" s="730">
        <v>136</v>
      </c>
      <c r="K42" s="730">
        <v>64</v>
      </c>
      <c r="L42" s="730">
        <v>72</v>
      </c>
      <c r="M42" s="730">
        <v>36</v>
      </c>
      <c r="N42" s="730">
        <v>18</v>
      </c>
      <c r="O42" s="730">
        <v>18</v>
      </c>
      <c r="P42" s="730">
        <v>0</v>
      </c>
      <c r="Q42" s="730">
        <v>0</v>
      </c>
      <c r="R42" s="730">
        <v>4</v>
      </c>
      <c r="S42" s="730">
        <v>0</v>
      </c>
      <c r="T42" s="730">
        <v>0</v>
      </c>
      <c r="U42" s="730">
        <v>0</v>
      </c>
      <c r="V42" s="730">
        <v>0</v>
      </c>
      <c r="W42" s="730">
        <v>0</v>
      </c>
      <c r="X42" s="730">
        <v>0</v>
      </c>
      <c r="Y42" s="730">
        <v>0</v>
      </c>
    </row>
    <row r="43" spans="1:25" s="685" customFormat="1">
      <c r="A43" s="729" t="s">
        <v>405</v>
      </c>
      <c r="B43" s="729" t="s">
        <v>24</v>
      </c>
      <c r="C43" s="729" t="s">
        <v>114</v>
      </c>
      <c r="D43" s="729" t="s">
        <v>359</v>
      </c>
      <c r="E43" s="729" t="s">
        <v>359</v>
      </c>
      <c r="F43" s="730">
        <v>0</v>
      </c>
      <c r="G43" s="730">
        <v>4</v>
      </c>
      <c r="H43" s="730">
        <v>0</v>
      </c>
      <c r="I43" s="684">
        <f t="shared" si="0"/>
        <v>2</v>
      </c>
      <c r="J43" s="730">
        <v>68</v>
      </c>
      <c r="K43" s="730">
        <v>32</v>
      </c>
      <c r="L43" s="730">
        <v>36</v>
      </c>
      <c r="M43" s="730">
        <v>18</v>
      </c>
      <c r="N43" s="730">
        <v>0</v>
      </c>
      <c r="O43" s="730">
        <v>18</v>
      </c>
      <c r="P43" s="730">
        <v>0</v>
      </c>
      <c r="Q43" s="730">
        <v>0</v>
      </c>
      <c r="R43" s="730">
        <v>0</v>
      </c>
      <c r="S43" s="730">
        <v>0</v>
      </c>
      <c r="T43" s="730">
        <v>0</v>
      </c>
      <c r="U43" s="730">
        <v>2</v>
      </c>
      <c r="V43" s="730">
        <v>0</v>
      </c>
      <c r="W43" s="730">
        <v>0</v>
      </c>
      <c r="X43" s="730">
        <v>0</v>
      </c>
      <c r="Y43" s="730">
        <v>0</v>
      </c>
    </row>
    <row r="44" spans="1:25" s="683" customFormat="1">
      <c r="A44" s="729" t="s">
        <v>406</v>
      </c>
      <c r="B44" s="729" t="s">
        <v>23</v>
      </c>
      <c r="C44" s="729" t="s">
        <v>115</v>
      </c>
      <c r="D44" s="729" t="s">
        <v>359</v>
      </c>
      <c r="E44" s="729" t="s">
        <v>359</v>
      </c>
      <c r="F44" s="730">
        <v>0</v>
      </c>
      <c r="G44" s="730">
        <v>4</v>
      </c>
      <c r="H44" s="730">
        <v>0</v>
      </c>
      <c r="I44" s="684">
        <f t="shared" si="0"/>
        <v>2</v>
      </c>
      <c r="J44" s="730">
        <v>68</v>
      </c>
      <c r="K44" s="730">
        <v>32</v>
      </c>
      <c r="L44" s="730">
        <v>36</v>
      </c>
      <c r="M44" s="730">
        <v>18</v>
      </c>
      <c r="N44" s="730">
        <v>18</v>
      </c>
      <c r="O44" s="730"/>
      <c r="P44" s="730">
        <v>0</v>
      </c>
      <c r="Q44" s="730">
        <v>0</v>
      </c>
      <c r="R44" s="730">
        <v>0</v>
      </c>
      <c r="S44" s="730">
        <v>0</v>
      </c>
      <c r="T44" s="730">
        <v>0</v>
      </c>
      <c r="U44" s="730">
        <v>2</v>
      </c>
      <c r="V44" s="730">
        <v>0</v>
      </c>
      <c r="W44" s="730">
        <v>0</v>
      </c>
      <c r="X44" s="730">
        <v>0</v>
      </c>
      <c r="Y44" s="730">
        <v>0</v>
      </c>
    </row>
    <row r="45" spans="1:25" s="683" customFormat="1">
      <c r="A45" s="729" t="s">
        <v>407</v>
      </c>
      <c r="B45" s="687" t="s">
        <v>64</v>
      </c>
      <c r="C45" s="729"/>
      <c r="D45" s="729" t="s">
        <v>357</v>
      </c>
      <c r="E45" s="729" t="s">
        <v>357</v>
      </c>
      <c r="F45" s="730">
        <v>0</v>
      </c>
      <c r="G45" s="730">
        <v>0</v>
      </c>
      <c r="H45" s="730">
        <v>0</v>
      </c>
      <c r="I45" s="684">
        <f t="shared" si="0"/>
        <v>0</v>
      </c>
      <c r="J45" s="730">
        <v>0</v>
      </c>
      <c r="K45" s="730">
        <v>0</v>
      </c>
      <c r="L45" s="730">
        <v>0</v>
      </c>
      <c r="M45" s="730">
        <v>0</v>
      </c>
      <c r="N45" s="730">
        <v>0</v>
      </c>
      <c r="O45" s="730">
        <v>0</v>
      </c>
      <c r="P45" s="730">
        <v>0</v>
      </c>
      <c r="Q45" s="730">
        <v>0</v>
      </c>
      <c r="R45" s="730">
        <v>0</v>
      </c>
      <c r="S45" s="730">
        <v>0</v>
      </c>
      <c r="T45" s="730">
        <v>0</v>
      </c>
      <c r="U45" s="730">
        <v>0</v>
      </c>
      <c r="V45" s="730">
        <v>0</v>
      </c>
      <c r="W45" s="730">
        <v>0</v>
      </c>
      <c r="X45" s="730">
        <v>0</v>
      </c>
      <c r="Y45" s="730">
        <v>0</v>
      </c>
    </row>
    <row r="46" spans="1:25" s="683" customFormat="1">
      <c r="A46" s="729" t="s">
        <v>408</v>
      </c>
      <c r="B46" s="729" t="s">
        <v>226</v>
      </c>
      <c r="C46" s="729" t="s">
        <v>492</v>
      </c>
      <c r="D46" s="729" t="s">
        <v>359</v>
      </c>
      <c r="E46" s="729" t="s">
        <v>359</v>
      </c>
      <c r="F46" s="730">
        <v>2</v>
      </c>
      <c r="G46" s="730">
        <v>0</v>
      </c>
      <c r="H46" s="730">
        <v>0</v>
      </c>
      <c r="I46" s="684">
        <f t="shared" si="0"/>
        <v>4</v>
      </c>
      <c r="J46" s="730">
        <v>136</v>
      </c>
      <c r="K46" s="730">
        <v>64</v>
      </c>
      <c r="L46" s="730">
        <v>72</v>
      </c>
      <c r="M46" s="730">
        <v>36</v>
      </c>
      <c r="N46" s="730">
        <v>0</v>
      </c>
      <c r="O46" s="730">
        <v>36</v>
      </c>
      <c r="P46" s="730">
        <v>0</v>
      </c>
      <c r="Q46" s="730">
        <v>0</v>
      </c>
      <c r="R46" s="730">
        <v>0</v>
      </c>
      <c r="S46" s="730">
        <v>4</v>
      </c>
      <c r="T46" s="730">
        <v>0</v>
      </c>
      <c r="U46" s="730">
        <v>0</v>
      </c>
      <c r="V46" s="730">
        <v>0</v>
      </c>
      <c r="W46" s="730">
        <v>0</v>
      </c>
      <c r="X46" s="730">
        <v>0</v>
      </c>
      <c r="Y46" s="730">
        <v>0</v>
      </c>
    </row>
    <row r="47" spans="1:25" s="685" customFormat="1">
      <c r="A47" s="729" t="s">
        <v>409</v>
      </c>
      <c r="B47" s="729" t="s">
        <v>411</v>
      </c>
      <c r="C47" s="729" t="s">
        <v>492</v>
      </c>
      <c r="D47" s="729" t="s">
        <v>359</v>
      </c>
      <c r="E47" s="729" t="s">
        <v>359</v>
      </c>
      <c r="F47" s="730">
        <v>0</v>
      </c>
      <c r="G47" s="730">
        <v>2</v>
      </c>
      <c r="H47" s="730">
        <v>0</v>
      </c>
      <c r="I47" s="684">
        <f t="shared" si="0"/>
        <v>4</v>
      </c>
      <c r="J47" s="730">
        <v>136</v>
      </c>
      <c r="K47" s="730">
        <v>64</v>
      </c>
      <c r="L47" s="730">
        <v>72</v>
      </c>
      <c r="M47" s="730">
        <v>36</v>
      </c>
      <c r="N47" s="730">
        <v>0</v>
      </c>
      <c r="O47" s="730">
        <v>36</v>
      </c>
      <c r="P47" s="730">
        <v>0</v>
      </c>
      <c r="Q47" s="730">
        <v>0</v>
      </c>
      <c r="R47" s="730">
        <v>0</v>
      </c>
      <c r="S47" s="730">
        <v>4</v>
      </c>
      <c r="T47" s="730">
        <v>0</v>
      </c>
      <c r="U47" s="730">
        <v>0</v>
      </c>
      <c r="V47" s="730">
        <v>0</v>
      </c>
      <c r="W47" s="730">
        <v>0</v>
      </c>
      <c r="X47" s="730">
        <v>0</v>
      </c>
      <c r="Y47" s="730">
        <v>0</v>
      </c>
    </row>
    <row r="48" spans="1:25" s="685" customFormat="1">
      <c r="A48" s="729" t="s">
        <v>410</v>
      </c>
      <c r="B48" s="729" t="s">
        <v>225</v>
      </c>
      <c r="C48" s="729" t="s">
        <v>492</v>
      </c>
      <c r="D48" s="729" t="s">
        <v>359</v>
      </c>
      <c r="E48" s="729" t="s">
        <v>359</v>
      </c>
      <c r="F48" s="730">
        <v>0</v>
      </c>
      <c r="G48" s="730">
        <v>3</v>
      </c>
      <c r="H48" s="730">
        <v>0</v>
      </c>
      <c r="I48" s="684">
        <f t="shared" si="0"/>
        <v>3</v>
      </c>
      <c r="J48" s="730">
        <v>102</v>
      </c>
      <c r="K48" s="730">
        <v>48</v>
      </c>
      <c r="L48" s="730">
        <v>54</v>
      </c>
      <c r="M48" s="730">
        <v>36</v>
      </c>
      <c r="N48" s="730">
        <v>0</v>
      </c>
      <c r="O48" s="730">
        <v>18</v>
      </c>
      <c r="P48" s="730">
        <v>0</v>
      </c>
      <c r="Q48" s="730">
        <v>0</v>
      </c>
      <c r="R48" s="730">
        <v>0</v>
      </c>
      <c r="S48" s="730">
        <v>0</v>
      </c>
      <c r="T48" s="730">
        <v>3</v>
      </c>
      <c r="U48" s="730">
        <v>0</v>
      </c>
      <c r="V48" s="730">
        <v>0</v>
      </c>
      <c r="W48" s="730">
        <v>0</v>
      </c>
      <c r="X48" s="730">
        <v>0</v>
      </c>
      <c r="Y48" s="730">
        <v>0</v>
      </c>
    </row>
    <row r="49" spans="1:25" s="685" customFormat="1">
      <c r="A49" s="729" t="s">
        <v>412</v>
      </c>
      <c r="B49" s="729" t="s">
        <v>86</v>
      </c>
      <c r="C49" s="729" t="s">
        <v>113</v>
      </c>
      <c r="D49" s="729" t="s">
        <v>359</v>
      </c>
      <c r="E49" s="729" t="s">
        <v>359</v>
      </c>
      <c r="F49" s="730">
        <v>2</v>
      </c>
      <c r="G49" s="730">
        <v>0</v>
      </c>
      <c r="H49" s="730">
        <v>0</v>
      </c>
      <c r="I49" s="684">
        <f t="shared" si="0"/>
        <v>4</v>
      </c>
      <c r="J49" s="730">
        <v>136</v>
      </c>
      <c r="K49" s="730">
        <v>64</v>
      </c>
      <c r="L49" s="730">
        <v>72</v>
      </c>
      <c r="M49" s="730">
        <v>36</v>
      </c>
      <c r="N49" s="730">
        <v>18</v>
      </c>
      <c r="O49" s="730">
        <v>18</v>
      </c>
      <c r="P49" s="730">
        <v>0</v>
      </c>
      <c r="Q49" s="730">
        <v>0</v>
      </c>
      <c r="R49" s="730">
        <v>0</v>
      </c>
      <c r="S49" s="730">
        <v>4</v>
      </c>
      <c r="T49" s="730">
        <v>0</v>
      </c>
      <c r="U49" s="730">
        <v>0</v>
      </c>
      <c r="V49" s="730">
        <v>0</v>
      </c>
      <c r="W49" s="730">
        <v>0</v>
      </c>
      <c r="X49" s="730">
        <v>0</v>
      </c>
      <c r="Y49" s="730">
        <v>0</v>
      </c>
    </row>
    <row r="50" spans="1:25" s="685" customFormat="1">
      <c r="A50" s="729" t="s">
        <v>413</v>
      </c>
      <c r="B50" s="729" t="s">
        <v>224</v>
      </c>
      <c r="C50" s="729" t="s">
        <v>113</v>
      </c>
      <c r="D50" s="729" t="s">
        <v>359</v>
      </c>
      <c r="E50" s="729" t="s">
        <v>359</v>
      </c>
      <c r="F50" s="730">
        <v>3</v>
      </c>
      <c r="G50" s="730">
        <v>0</v>
      </c>
      <c r="H50" s="730">
        <v>0</v>
      </c>
      <c r="I50" s="684">
        <f t="shared" si="0"/>
        <v>3</v>
      </c>
      <c r="J50" s="730">
        <v>102</v>
      </c>
      <c r="K50" s="730">
        <v>48</v>
      </c>
      <c r="L50" s="730">
        <v>54</v>
      </c>
      <c r="M50" s="730">
        <v>36</v>
      </c>
      <c r="N50" s="730">
        <v>18</v>
      </c>
      <c r="O50" s="730">
        <v>0</v>
      </c>
      <c r="P50" s="730">
        <v>0</v>
      </c>
      <c r="Q50" s="730">
        <v>0</v>
      </c>
      <c r="R50" s="730">
        <v>0</v>
      </c>
      <c r="S50" s="730">
        <v>0</v>
      </c>
      <c r="T50" s="730">
        <v>3</v>
      </c>
      <c r="U50" s="730">
        <v>0</v>
      </c>
      <c r="V50" s="730">
        <v>0</v>
      </c>
      <c r="W50" s="730">
        <v>0</v>
      </c>
      <c r="X50" s="730">
        <v>0</v>
      </c>
      <c r="Y50" s="730">
        <v>0</v>
      </c>
    </row>
    <row r="51" spans="1:25" s="685" customFormat="1">
      <c r="A51" s="729" t="s">
        <v>494</v>
      </c>
      <c r="B51" s="731" t="s">
        <v>439</v>
      </c>
      <c r="C51" s="729"/>
      <c r="D51" s="729" t="s">
        <v>359</v>
      </c>
      <c r="E51" s="729" t="s">
        <v>357</v>
      </c>
      <c r="F51" s="730">
        <v>4</v>
      </c>
      <c r="G51" s="730">
        <v>0</v>
      </c>
      <c r="H51" s="730">
        <v>0</v>
      </c>
      <c r="I51" s="684">
        <f t="shared" si="0"/>
        <v>4</v>
      </c>
      <c r="J51" s="730">
        <v>136</v>
      </c>
      <c r="K51" s="730">
        <v>64</v>
      </c>
      <c r="L51" s="730">
        <v>72</v>
      </c>
      <c r="M51" s="730">
        <v>36</v>
      </c>
      <c r="N51" s="730">
        <v>0</v>
      </c>
      <c r="O51" s="730">
        <v>36</v>
      </c>
      <c r="P51" s="730">
        <v>0</v>
      </c>
      <c r="Q51" s="730">
        <v>0</v>
      </c>
      <c r="R51" s="730">
        <v>0</v>
      </c>
      <c r="S51" s="730">
        <v>0</v>
      </c>
      <c r="T51" s="730">
        <v>0</v>
      </c>
      <c r="U51" s="730">
        <v>4</v>
      </c>
      <c r="V51" s="730">
        <v>0</v>
      </c>
      <c r="W51" s="730">
        <v>0</v>
      </c>
      <c r="X51" s="730">
        <v>0</v>
      </c>
      <c r="Y51" s="730">
        <v>0</v>
      </c>
    </row>
    <row r="52" spans="1:25" s="685" customFormat="1">
      <c r="A52" s="729" t="s">
        <v>495</v>
      </c>
      <c r="B52" s="729" t="s">
        <v>254</v>
      </c>
      <c r="C52" s="729" t="s">
        <v>492</v>
      </c>
      <c r="D52" s="729" t="s">
        <v>357</v>
      </c>
      <c r="E52" s="729" t="s">
        <v>359</v>
      </c>
      <c r="F52" s="730">
        <v>4</v>
      </c>
      <c r="G52" s="730">
        <v>0</v>
      </c>
      <c r="H52" s="730">
        <v>0</v>
      </c>
      <c r="I52" s="684">
        <f t="shared" si="0"/>
        <v>4</v>
      </c>
      <c r="J52" s="730">
        <v>136</v>
      </c>
      <c r="K52" s="730">
        <v>64</v>
      </c>
      <c r="L52" s="730">
        <v>72</v>
      </c>
      <c r="M52" s="730">
        <v>36</v>
      </c>
      <c r="N52" s="730">
        <v>0</v>
      </c>
      <c r="O52" s="730">
        <v>36</v>
      </c>
      <c r="P52" s="730">
        <v>0</v>
      </c>
      <c r="Q52" s="730">
        <v>0</v>
      </c>
      <c r="R52" s="730">
        <v>0</v>
      </c>
      <c r="S52" s="730">
        <v>0</v>
      </c>
      <c r="T52" s="730">
        <v>0</v>
      </c>
      <c r="U52" s="730">
        <v>4</v>
      </c>
      <c r="V52" s="730">
        <v>0</v>
      </c>
      <c r="W52" s="730">
        <v>0</v>
      </c>
      <c r="X52" s="730">
        <v>0</v>
      </c>
      <c r="Y52" s="730">
        <v>0</v>
      </c>
    </row>
    <row r="53" spans="1:25" s="685" customFormat="1">
      <c r="A53" s="729" t="s">
        <v>496</v>
      </c>
      <c r="B53" s="729" t="s">
        <v>551</v>
      </c>
      <c r="C53" s="729" t="s">
        <v>492</v>
      </c>
      <c r="D53" s="729" t="s">
        <v>357</v>
      </c>
      <c r="E53" s="729" t="s">
        <v>359</v>
      </c>
      <c r="F53" s="730">
        <v>4</v>
      </c>
      <c r="G53" s="730">
        <v>0</v>
      </c>
      <c r="H53" s="730">
        <v>0</v>
      </c>
      <c r="I53" s="684">
        <f t="shared" si="0"/>
        <v>4</v>
      </c>
      <c r="J53" s="730">
        <v>136</v>
      </c>
      <c r="K53" s="730">
        <v>64</v>
      </c>
      <c r="L53" s="730">
        <v>72</v>
      </c>
      <c r="M53" s="730">
        <v>36</v>
      </c>
      <c r="N53" s="730">
        <v>0</v>
      </c>
      <c r="O53" s="730">
        <v>36</v>
      </c>
      <c r="P53" s="730">
        <v>0</v>
      </c>
      <c r="Q53" s="730">
        <v>0</v>
      </c>
      <c r="R53" s="730">
        <v>0</v>
      </c>
      <c r="S53" s="730">
        <v>0</v>
      </c>
      <c r="T53" s="730">
        <v>0</v>
      </c>
      <c r="U53" s="730">
        <v>4</v>
      </c>
      <c r="V53" s="730">
        <v>0</v>
      </c>
      <c r="W53" s="730">
        <v>0</v>
      </c>
      <c r="X53" s="730">
        <v>0</v>
      </c>
      <c r="Y53" s="730">
        <v>0</v>
      </c>
    </row>
    <row r="54" spans="1:25" s="685" customFormat="1">
      <c r="A54" s="729" t="s">
        <v>497</v>
      </c>
      <c r="B54" s="731" t="s">
        <v>444</v>
      </c>
      <c r="C54" s="729"/>
      <c r="D54" s="729" t="s">
        <v>359</v>
      </c>
      <c r="E54" s="729" t="s">
        <v>357</v>
      </c>
      <c r="F54" s="730">
        <v>4</v>
      </c>
      <c r="G54" s="730">
        <v>0</v>
      </c>
      <c r="H54" s="730">
        <v>0</v>
      </c>
      <c r="I54" s="684">
        <f t="shared" si="0"/>
        <v>3</v>
      </c>
      <c r="J54" s="730">
        <v>102</v>
      </c>
      <c r="K54" s="730">
        <v>48</v>
      </c>
      <c r="L54" s="730">
        <v>54</v>
      </c>
      <c r="M54" s="730">
        <v>36</v>
      </c>
      <c r="N54" s="730">
        <v>0</v>
      </c>
      <c r="O54" s="730">
        <v>18</v>
      </c>
      <c r="P54" s="730">
        <v>0</v>
      </c>
      <c r="Q54" s="730">
        <v>0</v>
      </c>
      <c r="R54" s="730">
        <v>0</v>
      </c>
      <c r="S54" s="730">
        <v>0</v>
      </c>
      <c r="T54" s="730">
        <v>0</v>
      </c>
      <c r="U54" s="730">
        <v>3</v>
      </c>
      <c r="V54" s="730">
        <v>0</v>
      </c>
      <c r="W54" s="730">
        <v>0</v>
      </c>
      <c r="X54" s="730">
        <v>0</v>
      </c>
      <c r="Y54" s="730">
        <v>0</v>
      </c>
    </row>
    <row r="55" spans="1:25" s="685" customFormat="1">
      <c r="A55" s="729" t="s">
        <v>498</v>
      </c>
      <c r="B55" s="729" t="s">
        <v>499</v>
      </c>
      <c r="C55" s="729" t="s">
        <v>492</v>
      </c>
      <c r="D55" s="729" t="s">
        <v>357</v>
      </c>
      <c r="E55" s="729" t="s">
        <v>359</v>
      </c>
      <c r="F55" s="730">
        <v>4</v>
      </c>
      <c r="G55" s="730">
        <v>0</v>
      </c>
      <c r="H55" s="730">
        <v>0</v>
      </c>
      <c r="I55" s="684">
        <f t="shared" si="0"/>
        <v>3</v>
      </c>
      <c r="J55" s="730">
        <v>102</v>
      </c>
      <c r="K55" s="730">
        <v>48</v>
      </c>
      <c r="L55" s="730">
        <v>54</v>
      </c>
      <c r="M55" s="730">
        <v>36</v>
      </c>
      <c r="N55" s="730">
        <v>0</v>
      </c>
      <c r="O55" s="730">
        <v>18</v>
      </c>
      <c r="P55" s="730">
        <v>0</v>
      </c>
      <c r="Q55" s="730">
        <v>0</v>
      </c>
      <c r="R55" s="730">
        <v>0</v>
      </c>
      <c r="S55" s="730">
        <v>0</v>
      </c>
      <c r="T55" s="730">
        <v>0</v>
      </c>
      <c r="U55" s="730">
        <v>3</v>
      </c>
      <c r="V55" s="730">
        <v>0</v>
      </c>
      <c r="W55" s="730">
        <v>0</v>
      </c>
      <c r="X55" s="730">
        <v>0</v>
      </c>
      <c r="Y55" s="730">
        <v>0</v>
      </c>
    </row>
    <row r="56" spans="1:25" s="683" customFormat="1">
      <c r="A56" s="729" t="s">
        <v>500</v>
      </c>
      <c r="B56" s="729" t="s">
        <v>255</v>
      </c>
      <c r="C56" s="729" t="s">
        <v>492</v>
      </c>
      <c r="D56" s="729" t="s">
        <v>357</v>
      </c>
      <c r="E56" s="729" t="s">
        <v>359</v>
      </c>
      <c r="F56" s="730">
        <v>4</v>
      </c>
      <c r="G56" s="730">
        <v>0</v>
      </c>
      <c r="H56" s="730">
        <v>0</v>
      </c>
      <c r="I56" s="684">
        <f t="shared" si="0"/>
        <v>3</v>
      </c>
      <c r="J56" s="730">
        <v>102</v>
      </c>
      <c r="K56" s="730">
        <v>48</v>
      </c>
      <c r="L56" s="730">
        <v>54</v>
      </c>
      <c r="M56" s="730">
        <v>36</v>
      </c>
      <c r="N56" s="730">
        <v>0</v>
      </c>
      <c r="O56" s="730">
        <v>18</v>
      </c>
      <c r="P56" s="730">
        <v>0</v>
      </c>
      <c r="Q56" s="730">
        <v>0</v>
      </c>
      <c r="R56" s="730">
        <v>0</v>
      </c>
      <c r="S56" s="730">
        <v>0</v>
      </c>
      <c r="T56" s="730">
        <v>0</v>
      </c>
      <c r="U56" s="730">
        <v>3</v>
      </c>
      <c r="V56" s="730">
        <v>0</v>
      </c>
      <c r="W56" s="730">
        <v>0</v>
      </c>
      <c r="X56" s="730">
        <v>0</v>
      </c>
      <c r="Y56" s="730">
        <v>0</v>
      </c>
    </row>
    <row r="57" spans="1:25" s="685" customFormat="1">
      <c r="A57" s="680" t="s">
        <v>414</v>
      </c>
      <c r="B57" s="680" t="s">
        <v>415</v>
      </c>
      <c r="C57" s="680"/>
      <c r="D57" s="680" t="s">
        <v>357</v>
      </c>
      <c r="E57" s="680" t="s">
        <v>357</v>
      </c>
      <c r="F57" s="681">
        <v>0</v>
      </c>
      <c r="G57" s="681">
        <v>0</v>
      </c>
      <c r="H57" s="681">
        <v>0</v>
      </c>
      <c r="I57" s="682">
        <f t="shared" si="0"/>
        <v>123</v>
      </c>
      <c r="J57" s="681">
        <v>4182</v>
      </c>
      <c r="K57" s="681">
        <v>0</v>
      </c>
      <c r="L57" s="681">
        <v>0</v>
      </c>
      <c r="M57" s="681">
        <v>0</v>
      </c>
      <c r="N57" s="681">
        <v>0</v>
      </c>
      <c r="O57" s="681">
        <v>0</v>
      </c>
      <c r="P57" s="681">
        <v>0</v>
      </c>
      <c r="Q57" s="681">
        <v>0</v>
      </c>
      <c r="R57" s="681">
        <v>0</v>
      </c>
      <c r="S57" s="681">
        <v>0</v>
      </c>
      <c r="T57" s="681">
        <v>0</v>
      </c>
      <c r="U57" s="681">
        <v>0</v>
      </c>
      <c r="V57" s="681">
        <v>0</v>
      </c>
      <c r="W57" s="681">
        <v>0</v>
      </c>
      <c r="X57" s="681">
        <v>0</v>
      </c>
      <c r="Y57" s="681">
        <v>0</v>
      </c>
    </row>
    <row r="58" spans="1:25" s="685" customFormat="1">
      <c r="A58" s="729" t="s">
        <v>416</v>
      </c>
      <c r="B58" s="729" t="s">
        <v>501</v>
      </c>
      <c r="C58" s="729" t="s">
        <v>219</v>
      </c>
      <c r="D58" s="729" t="s">
        <v>359</v>
      </c>
      <c r="E58" s="729" t="s">
        <v>359</v>
      </c>
      <c r="F58" s="730">
        <v>1</v>
      </c>
      <c r="G58" s="730">
        <v>0</v>
      </c>
      <c r="H58" s="730">
        <v>0</v>
      </c>
      <c r="I58" s="684">
        <f t="shared" si="0"/>
        <v>3</v>
      </c>
      <c r="J58" s="730">
        <v>102</v>
      </c>
      <c r="K58" s="730">
        <v>66</v>
      </c>
      <c r="L58" s="730">
        <v>36</v>
      </c>
      <c r="M58" s="730">
        <v>36</v>
      </c>
      <c r="N58" s="730">
        <v>0</v>
      </c>
      <c r="O58" s="730">
        <v>0</v>
      </c>
      <c r="P58" s="730">
        <v>0</v>
      </c>
      <c r="Q58" s="730">
        <v>0</v>
      </c>
      <c r="R58" s="730">
        <v>2</v>
      </c>
      <c r="S58" s="730">
        <v>0</v>
      </c>
      <c r="T58" s="730">
        <v>0</v>
      </c>
      <c r="U58" s="730">
        <v>0</v>
      </c>
      <c r="V58" s="730">
        <v>0</v>
      </c>
      <c r="W58" s="730">
        <v>0</v>
      </c>
      <c r="X58" s="730">
        <v>0</v>
      </c>
      <c r="Y58" s="730">
        <v>0</v>
      </c>
    </row>
    <row r="59" spans="1:25" s="685" customFormat="1">
      <c r="A59" s="729" t="s">
        <v>417</v>
      </c>
      <c r="B59" s="729" t="s">
        <v>502</v>
      </c>
      <c r="C59" s="729" t="s">
        <v>219</v>
      </c>
      <c r="D59" s="729" t="s">
        <v>359</v>
      </c>
      <c r="E59" s="729" t="s">
        <v>359</v>
      </c>
      <c r="F59" s="730">
        <v>0</v>
      </c>
      <c r="G59" s="730">
        <v>0</v>
      </c>
      <c r="H59" s="730">
        <v>0</v>
      </c>
      <c r="I59" s="684">
        <f t="shared" si="0"/>
        <v>3</v>
      </c>
      <c r="J59" s="730">
        <v>102</v>
      </c>
      <c r="K59" s="730">
        <v>48</v>
      </c>
      <c r="L59" s="730">
        <v>54</v>
      </c>
      <c r="M59" s="730">
        <v>0</v>
      </c>
      <c r="N59" s="730">
        <v>36</v>
      </c>
      <c r="O59" s="730">
        <v>18</v>
      </c>
      <c r="P59" s="730">
        <v>0</v>
      </c>
      <c r="Q59" s="730">
        <v>18</v>
      </c>
      <c r="R59" s="730">
        <v>3</v>
      </c>
      <c r="S59" s="730">
        <v>0</v>
      </c>
      <c r="T59" s="730">
        <v>0</v>
      </c>
      <c r="U59" s="730">
        <v>0</v>
      </c>
      <c r="V59" s="730">
        <v>0</v>
      </c>
      <c r="W59" s="730">
        <v>0</v>
      </c>
      <c r="X59" s="730">
        <v>0</v>
      </c>
      <c r="Y59" s="730">
        <v>0</v>
      </c>
    </row>
    <row r="60" spans="1:25" s="685" customFormat="1">
      <c r="A60" s="729" t="s">
        <v>418</v>
      </c>
      <c r="B60" s="729" t="s">
        <v>369</v>
      </c>
      <c r="C60" s="729" t="s">
        <v>219</v>
      </c>
      <c r="D60" s="729" t="s">
        <v>359</v>
      </c>
      <c r="E60" s="729" t="s">
        <v>359</v>
      </c>
      <c r="F60" s="730">
        <v>0</v>
      </c>
      <c r="G60" s="730">
        <v>0</v>
      </c>
      <c r="H60" s="730">
        <v>0</v>
      </c>
      <c r="I60" s="684">
        <f t="shared" si="0"/>
        <v>0</v>
      </c>
      <c r="J60" s="730">
        <v>0</v>
      </c>
      <c r="K60" s="730">
        <v>0</v>
      </c>
      <c r="L60" s="730">
        <v>0</v>
      </c>
      <c r="M60" s="730">
        <v>0</v>
      </c>
      <c r="N60" s="730">
        <v>0</v>
      </c>
      <c r="O60" s="730">
        <v>0</v>
      </c>
      <c r="P60" s="730">
        <v>0</v>
      </c>
      <c r="Q60" s="730">
        <v>0</v>
      </c>
      <c r="R60" s="730">
        <v>99</v>
      </c>
      <c r="S60" s="730">
        <v>0</v>
      </c>
      <c r="T60" s="730">
        <v>0</v>
      </c>
      <c r="U60" s="730">
        <v>0</v>
      </c>
      <c r="V60" s="730">
        <v>0</v>
      </c>
      <c r="W60" s="730">
        <v>0</v>
      </c>
      <c r="X60" s="730">
        <v>0</v>
      </c>
      <c r="Y60" s="730">
        <v>0</v>
      </c>
    </row>
    <row r="61" spans="1:25" s="686" customFormat="1">
      <c r="A61" s="732" t="s">
        <v>545</v>
      </c>
      <c r="B61" s="733" t="s">
        <v>546</v>
      </c>
      <c r="C61" s="733" t="s">
        <v>214</v>
      </c>
      <c r="D61" s="733" t="s">
        <v>359</v>
      </c>
      <c r="E61" s="733" t="s">
        <v>359</v>
      </c>
      <c r="F61" s="734">
        <v>2</v>
      </c>
      <c r="G61" s="734"/>
      <c r="H61" s="734"/>
      <c r="I61" s="684">
        <f t="shared" si="0"/>
        <v>3</v>
      </c>
      <c r="J61" s="734">
        <v>102</v>
      </c>
      <c r="K61" s="734">
        <v>66</v>
      </c>
      <c r="L61" s="734">
        <v>36</v>
      </c>
      <c r="M61" s="734">
        <v>36</v>
      </c>
      <c r="N61" s="734"/>
      <c r="O61" s="734"/>
      <c r="P61" s="734"/>
      <c r="Q61" s="734"/>
      <c r="R61" s="734"/>
      <c r="S61" s="730">
        <v>2</v>
      </c>
      <c r="T61" s="734"/>
      <c r="U61" s="734"/>
      <c r="V61" s="734"/>
      <c r="W61" s="734"/>
      <c r="X61" s="734"/>
      <c r="Y61" s="734"/>
    </row>
    <row r="62" spans="1:25" s="686" customFormat="1">
      <c r="A62" s="732" t="s">
        <v>547</v>
      </c>
      <c r="B62" s="733" t="s">
        <v>548</v>
      </c>
      <c r="C62" s="729" t="s">
        <v>219</v>
      </c>
      <c r="D62" s="733" t="s">
        <v>359</v>
      </c>
      <c r="E62" s="733" t="s">
        <v>359</v>
      </c>
      <c r="F62" s="734"/>
      <c r="G62" s="734"/>
      <c r="H62" s="734"/>
      <c r="I62" s="684">
        <f t="shared" si="0"/>
        <v>2</v>
      </c>
      <c r="J62" s="734">
        <v>68</v>
      </c>
      <c r="K62" s="734">
        <v>32</v>
      </c>
      <c r="L62" s="734">
        <v>36</v>
      </c>
      <c r="M62" s="734"/>
      <c r="N62" s="734">
        <v>18</v>
      </c>
      <c r="O62" s="734">
        <v>18</v>
      </c>
      <c r="P62" s="734"/>
      <c r="Q62" s="734">
        <v>18</v>
      </c>
      <c r="R62" s="734"/>
      <c r="S62" s="730">
        <v>2</v>
      </c>
      <c r="T62" s="734"/>
      <c r="U62" s="734"/>
      <c r="V62" s="734"/>
      <c r="W62" s="734"/>
      <c r="X62" s="734"/>
      <c r="Y62" s="734"/>
    </row>
    <row r="63" spans="1:25" s="685" customFormat="1">
      <c r="A63" s="732" t="s">
        <v>549</v>
      </c>
      <c r="B63" s="733" t="s">
        <v>369</v>
      </c>
      <c r="C63" s="729" t="s">
        <v>219</v>
      </c>
      <c r="D63" s="733" t="s">
        <v>359</v>
      </c>
      <c r="E63" s="733" t="s">
        <v>359</v>
      </c>
      <c r="F63" s="734">
        <v>0</v>
      </c>
      <c r="G63" s="734">
        <v>0</v>
      </c>
      <c r="H63" s="734">
        <v>0</v>
      </c>
      <c r="I63" s="684">
        <f t="shared" si="0"/>
        <v>0</v>
      </c>
      <c r="J63" s="734">
        <v>0</v>
      </c>
      <c r="K63" s="734">
        <v>0</v>
      </c>
      <c r="L63" s="734">
        <v>0</v>
      </c>
      <c r="M63" s="734">
        <v>0</v>
      </c>
      <c r="N63" s="734">
        <v>0</v>
      </c>
      <c r="O63" s="734">
        <v>0</v>
      </c>
      <c r="P63" s="734">
        <v>0</v>
      </c>
      <c r="Q63" s="734">
        <v>0</v>
      </c>
      <c r="R63" s="734">
        <v>0</v>
      </c>
      <c r="S63" s="734">
        <v>99</v>
      </c>
      <c r="T63" s="734">
        <v>0</v>
      </c>
      <c r="U63" s="734">
        <v>0</v>
      </c>
      <c r="V63" s="734">
        <v>0</v>
      </c>
      <c r="W63" s="734">
        <v>0</v>
      </c>
      <c r="X63" s="734">
        <v>0</v>
      </c>
      <c r="Y63" s="734">
        <v>0</v>
      </c>
    </row>
    <row r="64" spans="1:25" s="685" customFormat="1">
      <c r="A64" s="729" t="s">
        <v>419</v>
      </c>
      <c r="B64" s="729" t="s">
        <v>235</v>
      </c>
      <c r="C64" s="729" t="s">
        <v>219</v>
      </c>
      <c r="D64" s="729" t="s">
        <v>359</v>
      </c>
      <c r="E64" s="729" t="s">
        <v>359</v>
      </c>
      <c r="F64" s="730">
        <v>0</v>
      </c>
      <c r="G64" s="730">
        <v>3</v>
      </c>
      <c r="H64" s="730">
        <v>0</v>
      </c>
      <c r="I64" s="684">
        <f t="shared" si="0"/>
        <v>5</v>
      </c>
      <c r="J64" s="730">
        <v>170</v>
      </c>
      <c r="K64" s="730">
        <v>98</v>
      </c>
      <c r="L64" s="730">
        <v>72</v>
      </c>
      <c r="M64" s="730">
        <v>36</v>
      </c>
      <c r="N64" s="730">
        <v>18</v>
      </c>
      <c r="O64" s="730">
        <v>18</v>
      </c>
      <c r="P64" s="730">
        <v>0</v>
      </c>
      <c r="Q64" s="730">
        <v>18</v>
      </c>
      <c r="R64" s="730">
        <v>0</v>
      </c>
      <c r="S64" s="730">
        <v>0</v>
      </c>
      <c r="T64" s="730">
        <v>4</v>
      </c>
      <c r="U64" s="730">
        <v>0</v>
      </c>
      <c r="V64" s="730">
        <v>0</v>
      </c>
      <c r="W64" s="730">
        <v>0</v>
      </c>
      <c r="X64" s="730">
        <v>0</v>
      </c>
      <c r="Y64" s="730">
        <v>0</v>
      </c>
    </row>
    <row r="65" spans="1:25" s="685" customFormat="1">
      <c r="A65" s="729" t="s">
        <v>503</v>
      </c>
      <c r="B65" s="729" t="s">
        <v>369</v>
      </c>
      <c r="C65" s="729" t="s">
        <v>219</v>
      </c>
      <c r="D65" s="729" t="s">
        <v>359</v>
      </c>
      <c r="E65" s="729" t="s">
        <v>359</v>
      </c>
      <c r="F65" s="730">
        <v>0</v>
      </c>
      <c r="G65" s="730">
        <v>0</v>
      </c>
      <c r="H65" s="730">
        <v>0</v>
      </c>
      <c r="I65" s="684">
        <f t="shared" si="0"/>
        <v>0</v>
      </c>
      <c r="J65" s="730">
        <v>0</v>
      </c>
      <c r="K65" s="730">
        <v>0</v>
      </c>
      <c r="L65" s="730">
        <v>0</v>
      </c>
      <c r="M65" s="730">
        <v>0</v>
      </c>
      <c r="N65" s="730">
        <v>0</v>
      </c>
      <c r="O65" s="730">
        <v>0</v>
      </c>
      <c r="P65" s="730">
        <v>0</v>
      </c>
      <c r="Q65" s="730">
        <v>0</v>
      </c>
      <c r="R65" s="730">
        <v>0</v>
      </c>
      <c r="S65" s="730">
        <v>0</v>
      </c>
      <c r="T65" s="730">
        <v>99</v>
      </c>
      <c r="U65" s="730">
        <v>0</v>
      </c>
      <c r="V65" s="730">
        <v>0</v>
      </c>
      <c r="W65" s="730">
        <v>0</v>
      </c>
      <c r="X65" s="730">
        <v>0</v>
      </c>
      <c r="Y65" s="730">
        <v>0</v>
      </c>
    </row>
    <row r="66" spans="1:25" s="686" customFormat="1">
      <c r="A66" s="729" t="s">
        <v>420</v>
      </c>
      <c r="B66" s="729" t="s">
        <v>231</v>
      </c>
      <c r="C66" s="729" t="s">
        <v>101</v>
      </c>
      <c r="D66" s="729" t="s">
        <v>359</v>
      </c>
      <c r="E66" s="729" t="s">
        <v>359</v>
      </c>
      <c r="F66" s="730">
        <v>3</v>
      </c>
      <c r="G66" s="730">
        <v>0</v>
      </c>
      <c r="H66" s="730">
        <v>0</v>
      </c>
      <c r="I66" s="684">
        <f t="shared" si="0"/>
        <v>5</v>
      </c>
      <c r="J66" s="730">
        <v>170</v>
      </c>
      <c r="K66" s="730">
        <v>98</v>
      </c>
      <c r="L66" s="730">
        <v>72</v>
      </c>
      <c r="M66" s="730">
        <v>36</v>
      </c>
      <c r="N66" s="730">
        <v>18</v>
      </c>
      <c r="O66" s="730">
        <v>18</v>
      </c>
      <c r="P66" s="730">
        <v>0</v>
      </c>
      <c r="Q66" s="730">
        <v>0</v>
      </c>
      <c r="R66" s="730">
        <v>0</v>
      </c>
      <c r="S66" s="730">
        <v>0</v>
      </c>
      <c r="T66" s="730">
        <v>4</v>
      </c>
      <c r="U66" s="730">
        <v>0</v>
      </c>
      <c r="V66" s="730">
        <v>0</v>
      </c>
      <c r="W66" s="730">
        <v>0</v>
      </c>
      <c r="X66" s="730">
        <v>0</v>
      </c>
      <c r="Y66" s="730">
        <v>0</v>
      </c>
    </row>
    <row r="67" spans="1:25" s="685" customFormat="1">
      <c r="A67" s="729" t="s">
        <v>421</v>
      </c>
      <c r="B67" s="729" t="s">
        <v>232</v>
      </c>
      <c r="C67" s="729" t="s">
        <v>233</v>
      </c>
      <c r="D67" s="729" t="s">
        <v>359</v>
      </c>
      <c r="E67" s="729" t="s">
        <v>359</v>
      </c>
      <c r="F67" s="730">
        <v>0</v>
      </c>
      <c r="G67" s="730">
        <v>5</v>
      </c>
      <c r="H67" s="730">
        <v>0</v>
      </c>
      <c r="I67" s="684">
        <f t="shared" si="0"/>
        <v>4</v>
      </c>
      <c r="J67" s="730">
        <v>136</v>
      </c>
      <c r="K67" s="730">
        <v>64</v>
      </c>
      <c r="L67" s="730">
        <v>72</v>
      </c>
      <c r="M67" s="730">
        <v>36</v>
      </c>
      <c r="N67" s="730">
        <v>18</v>
      </c>
      <c r="O67" s="730">
        <v>18</v>
      </c>
      <c r="P67" s="730">
        <v>0</v>
      </c>
      <c r="Q67" s="730">
        <v>18</v>
      </c>
      <c r="R67" s="730">
        <v>0</v>
      </c>
      <c r="S67" s="730">
        <v>0</v>
      </c>
      <c r="T67" s="730">
        <v>0</v>
      </c>
      <c r="U67" s="730">
        <v>0</v>
      </c>
      <c r="V67" s="730">
        <v>4</v>
      </c>
      <c r="W67" s="730">
        <v>0</v>
      </c>
      <c r="X67" s="730">
        <v>0</v>
      </c>
      <c r="Y67" s="730">
        <v>0</v>
      </c>
    </row>
    <row r="68" spans="1:25" s="685" customFormat="1">
      <c r="A68" s="729" t="s">
        <v>504</v>
      </c>
      <c r="B68" s="729" t="s">
        <v>369</v>
      </c>
      <c r="C68" s="729" t="s">
        <v>233</v>
      </c>
      <c r="D68" s="729" t="s">
        <v>359</v>
      </c>
      <c r="E68" s="729" t="s">
        <v>359</v>
      </c>
      <c r="F68" s="730">
        <v>0</v>
      </c>
      <c r="G68" s="730">
        <v>0</v>
      </c>
      <c r="H68" s="730">
        <v>0</v>
      </c>
      <c r="I68" s="684">
        <f t="shared" ref="I68:I125" si="1">J68/34</f>
        <v>0</v>
      </c>
      <c r="J68" s="730">
        <v>0</v>
      </c>
      <c r="K68" s="730">
        <v>0</v>
      </c>
      <c r="L68" s="730">
        <v>0</v>
      </c>
      <c r="M68" s="730">
        <v>0</v>
      </c>
      <c r="N68" s="730">
        <v>0</v>
      </c>
      <c r="O68" s="730">
        <v>0</v>
      </c>
      <c r="P68" s="730">
        <v>0</v>
      </c>
      <c r="Q68" s="730">
        <v>0</v>
      </c>
      <c r="R68" s="730">
        <v>0</v>
      </c>
      <c r="S68" s="730">
        <v>0</v>
      </c>
      <c r="T68" s="730">
        <v>0</v>
      </c>
      <c r="U68" s="730">
        <v>0</v>
      </c>
      <c r="V68" s="730">
        <v>99</v>
      </c>
      <c r="W68" s="730">
        <v>0</v>
      </c>
      <c r="X68" s="730">
        <v>0</v>
      </c>
      <c r="Y68" s="730">
        <v>0</v>
      </c>
    </row>
    <row r="69" spans="1:25" s="685" customFormat="1">
      <c r="A69" s="729" t="s">
        <v>422</v>
      </c>
      <c r="B69" s="729" t="s">
        <v>234</v>
      </c>
      <c r="C69" s="729" t="s">
        <v>102</v>
      </c>
      <c r="D69" s="729" t="s">
        <v>359</v>
      </c>
      <c r="E69" s="729" t="s">
        <v>359</v>
      </c>
      <c r="F69" s="730">
        <v>5</v>
      </c>
      <c r="G69" s="730">
        <v>0</v>
      </c>
      <c r="H69" s="730">
        <v>0</v>
      </c>
      <c r="I69" s="684">
        <f t="shared" si="1"/>
        <v>4</v>
      </c>
      <c r="J69" s="730">
        <v>136</v>
      </c>
      <c r="K69" s="730">
        <v>82</v>
      </c>
      <c r="L69" s="730">
        <v>54</v>
      </c>
      <c r="M69" s="730">
        <v>36</v>
      </c>
      <c r="N69" s="730">
        <v>18</v>
      </c>
      <c r="O69" s="730">
        <v>0</v>
      </c>
      <c r="P69" s="730">
        <v>0</v>
      </c>
      <c r="Q69" s="730">
        <v>0</v>
      </c>
      <c r="R69" s="730">
        <v>0</v>
      </c>
      <c r="S69" s="730">
        <v>0</v>
      </c>
      <c r="T69" s="730">
        <v>0</v>
      </c>
      <c r="U69" s="730">
        <v>0</v>
      </c>
      <c r="V69" s="730">
        <v>3</v>
      </c>
      <c r="W69" s="730">
        <v>0</v>
      </c>
      <c r="X69" s="730">
        <v>0</v>
      </c>
      <c r="Y69" s="730">
        <v>0</v>
      </c>
    </row>
    <row r="70" spans="1:25" s="685" customFormat="1">
      <c r="A70" s="729" t="s">
        <v>423</v>
      </c>
      <c r="B70" s="729" t="s">
        <v>275</v>
      </c>
      <c r="C70" s="729" t="s">
        <v>219</v>
      </c>
      <c r="D70" s="729" t="s">
        <v>359</v>
      </c>
      <c r="E70" s="729" t="s">
        <v>359</v>
      </c>
      <c r="F70" s="730">
        <v>0</v>
      </c>
      <c r="G70" s="730">
        <v>5</v>
      </c>
      <c r="H70" s="730">
        <v>0</v>
      </c>
      <c r="I70" s="684">
        <f t="shared" si="1"/>
        <v>4</v>
      </c>
      <c r="J70" s="730">
        <v>136</v>
      </c>
      <c r="K70" s="730">
        <v>82</v>
      </c>
      <c r="L70" s="730">
        <v>54</v>
      </c>
      <c r="M70" s="730">
        <v>36</v>
      </c>
      <c r="N70" s="730">
        <v>0</v>
      </c>
      <c r="O70" s="730">
        <v>18</v>
      </c>
      <c r="P70" s="730">
        <v>0</v>
      </c>
      <c r="Q70" s="730">
        <v>18</v>
      </c>
      <c r="R70" s="730">
        <v>0</v>
      </c>
      <c r="S70" s="730">
        <v>0</v>
      </c>
      <c r="T70" s="730">
        <v>0</v>
      </c>
      <c r="U70" s="730">
        <v>0</v>
      </c>
      <c r="V70" s="730">
        <v>3</v>
      </c>
      <c r="W70" s="730">
        <v>0</v>
      </c>
      <c r="X70" s="730">
        <v>0</v>
      </c>
      <c r="Y70" s="730">
        <v>0</v>
      </c>
    </row>
    <row r="71" spans="1:25" s="685" customFormat="1">
      <c r="A71" s="729" t="s">
        <v>505</v>
      </c>
      <c r="B71" s="729" t="s">
        <v>369</v>
      </c>
      <c r="C71" s="729" t="s">
        <v>219</v>
      </c>
      <c r="D71" s="729" t="s">
        <v>359</v>
      </c>
      <c r="E71" s="729" t="s">
        <v>359</v>
      </c>
      <c r="F71" s="730">
        <v>0</v>
      </c>
      <c r="G71" s="730">
        <v>0</v>
      </c>
      <c r="H71" s="730">
        <v>0</v>
      </c>
      <c r="I71" s="684">
        <f t="shared" si="1"/>
        <v>0</v>
      </c>
      <c r="J71" s="730">
        <v>0</v>
      </c>
      <c r="K71" s="730">
        <v>0</v>
      </c>
      <c r="L71" s="730">
        <v>0</v>
      </c>
      <c r="M71" s="730">
        <v>0</v>
      </c>
      <c r="N71" s="730">
        <v>0</v>
      </c>
      <c r="O71" s="730">
        <v>0</v>
      </c>
      <c r="P71" s="730">
        <v>0</v>
      </c>
      <c r="Q71" s="730">
        <v>0</v>
      </c>
      <c r="R71" s="730">
        <v>0</v>
      </c>
      <c r="S71" s="730">
        <v>0</v>
      </c>
      <c r="T71" s="730">
        <v>0</v>
      </c>
      <c r="U71" s="730">
        <v>0</v>
      </c>
      <c r="V71" s="730">
        <v>99</v>
      </c>
      <c r="W71" s="730">
        <v>0</v>
      </c>
      <c r="X71" s="730">
        <v>0</v>
      </c>
      <c r="Y71" s="730">
        <v>0</v>
      </c>
    </row>
    <row r="72" spans="1:25" s="685" customFormat="1">
      <c r="A72" s="729" t="s">
        <v>506</v>
      </c>
      <c r="B72" s="729" t="s">
        <v>507</v>
      </c>
      <c r="C72" s="729" t="s">
        <v>219</v>
      </c>
      <c r="D72" s="729" t="s">
        <v>359</v>
      </c>
      <c r="E72" s="729" t="s">
        <v>359</v>
      </c>
      <c r="F72" s="730">
        <v>0</v>
      </c>
      <c r="G72" s="730">
        <v>6</v>
      </c>
      <c r="H72" s="730">
        <v>0</v>
      </c>
      <c r="I72" s="684">
        <f t="shared" si="1"/>
        <v>2</v>
      </c>
      <c r="J72" s="730">
        <v>68</v>
      </c>
      <c r="K72" s="730">
        <v>32</v>
      </c>
      <c r="L72" s="730">
        <v>36</v>
      </c>
      <c r="M72" s="730">
        <v>36</v>
      </c>
      <c r="N72" s="730">
        <v>0</v>
      </c>
      <c r="O72" s="730">
        <v>0</v>
      </c>
      <c r="P72" s="730">
        <v>0</v>
      </c>
      <c r="Q72" s="730">
        <v>0</v>
      </c>
      <c r="R72" s="730">
        <v>0</v>
      </c>
      <c r="S72" s="730">
        <v>0</v>
      </c>
      <c r="T72" s="730">
        <v>0</v>
      </c>
      <c r="U72" s="730">
        <v>0</v>
      </c>
      <c r="V72" s="730">
        <v>0</v>
      </c>
      <c r="W72" s="730">
        <v>2</v>
      </c>
      <c r="X72" s="730">
        <v>0</v>
      </c>
      <c r="Y72" s="730">
        <v>0</v>
      </c>
    </row>
    <row r="73" spans="1:25" s="685" customFormat="1">
      <c r="A73" s="729" t="s">
        <v>508</v>
      </c>
      <c r="B73" s="729" t="s">
        <v>509</v>
      </c>
      <c r="C73" s="729" t="s">
        <v>219</v>
      </c>
      <c r="D73" s="729" t="s">
        <v>359</v>
      </c>
      <c r="E73" s="729" t="s">
        <v>359</v>
      </c>
      <c r="F73" s="730"/>
      <c r="G73" s="730"/>
      <c r="H73" s="730"/>
      <c r="I73" s="684">
        <f t="shared" si="1"/>
        <v>2</v>
      </c>
      <c r="J73" s="730">
        <v>68</v>
      </c>
      <c r="K73" s="730">
        <v>32</v>
      </c>
      <c r="L73" s="730">
        <v>36</v>
      </c>
      <c r="M73" s="730"/>
      <c r="N73" s="730">
        <v>36</v>
      </c>
      <c r="O73" s="730">
        <v>0</v>
      </c>
      <c r="P73" s="730"/>
      <c r="Q73" s="730"/>
      <c r="R73" s="730"/>
      <c r="S73" s="730"/>
      <c r="T73" s="730"/>
      <c r="U73" s="730"/>
      <c r="V73" s="730">
        <v>0</v>
      </c>
      <c r="W73" s="730">
        <v>2</v>
      </c>
      <c r="X73" s="730"/>
      <c r="Y73" s="730"/>
    </row>
    <row r="74" spans="1:25" s="685" customFormat="1">
      <c r="A74" s="729" t="s">
        <v>424</v>
      </c>
      <c r="B74" s="729" t="s">
        <v>221</v>
      </c>
      <c r="C74" s="729" t="s">
        <v>219</v>
      </c>
      <c r="D74" s="729" t="s">
        <v>359</v>
      </c>
      <c r="E74" s="729" t="s">
        <v>359</v>
      </c>
      <c r="F74" s="730">
        <v>6</v>
      </c>
      <c r="G74" s="730">
        <v>0</v>
      </c>
      <c r="H74" s="730">
        <v>0</v>
      </c>
      <c r="I74" s="684">
        <f t="shared" si="1"/>
        <v>5</v>
      </c>
      <c r="J74" s="730">
        <v>170</v>
      </c>
      <c r="K74" s="730">
        <v>80</v>
      </c>
      <c r="L74" s="730">
        <v>90</v>
      </c>
      <c r="M74" s="730">
        <v>54</v>
      </c>
      <c r="N74" s="730">
        <v>18</v>
      </c>
      <c r="O74" s="730">
        <v>18</v>
      </c>
      <c r="P74" s="730">
        <v>0</v>
      </c>
      <c r="Q74" s="730">
        <v>18</v>
      </c>
      <c r="R74" s="730">
        <v>0</v>
      </c>
      <c r="S74" s="730">
        <v>0</v>
      </c>
      <c r="T74" s="730">
        <v>0</v>
      </c>
      <c r="U74" s="730">
        <v>0</v>
      </c>
      <c r="V74" s="730">
        <v>0</v>
      </c>
      <c r="W74" s="730">
        <v>5</v>
      </c>
      <c r="X74" s="730">
        <v>0</v>
      </c>
      <c r="Y74" s="730">
        <v>0</v>
      </c>
    </row>
    <row r="75" spans="1:25" s="685" customFormat="1">
      <c r="A75" s="729" t="s">
        <v>510</v>
      </c>
      <c r="B75" s="729" t="s">
        <v>369</v>
      </c>
      <c r="C75" s="729" t="s">
        <v>219</v>
      </c>
      <c r="D75" s="729" t="s">
        <v>359</v>
      </c>
      <c r="E75" s="729" t="s">
        <v>359</v>
      </c>
      <c r="F75" s="730">
        <v>0</v>
      </c>
      <c r="G75" s="730">
        <v>0</v>
      </c>
      <c r="H75" s="730">
        <v>0</v>
      </c>
      <c r="I75" s="684">
        <f t="shared" si="1"/>
        <v>0</v>
      </c>
      <c r="J75" s="730">
        <v>0</v>
      </c>
      <c r="K75" s="730">
        <v>0</v>
      </c>
      <c r="L75" s="730">
        <v>0</v>
      </c>
      <c r="M75" s="730">
        <v>0</v>
      </c>
      <c r="N75" s="730">
        <v>0</v>
      </c>
      <c r="O75" s="730">
        <v>0</v>
      </c>
      <c r="P75" s="730">
        <v>0</v>
      </c>
      <c r="Q75" s="730">
        <v>0</v>
      </c>
      <c r="R75" s="730">
        <v>0</v>
      </c>
      <c r="S75" s="730">
        <v>0</v>
      </c>
      <c r="T75" s="730">
        <v>0</v>
      </c>
      <c r="U75" s="730">
        <v>0</v>
      </c>
      <c r="V75" s="730">
        <v>0</v>
      </c>
      <c r="W75" s="730">
        <v>99</v>
      </c>
      <c r="X75" s="730">
        <v>0</v>
      </c>
      <c r="Y75" s="730">
        <v>0</v>
      </c>
    </row>
    <row r="76" spans="1:25" s="685" customFormat="1">
      <c r="A76" s="729" t="s">
        <v>425</v>
      </c>
      <c r="B76" s="729" t="s">
        <v>274</v>
      </c>
      <c r="C76" s="729" t="s">
        <v>214</v>
      </c>
      <c r="D76" s="729" t="s">
        <v>359</v>
      </c>
      <c r="E76" s="729" t="s">
        <v>359</v>
      </c>
      <c r="F76" s="730">
        <v>6</v>
      </c>
      <c r="G76" s="730">
        <v>0</v>
      </c>
      <c r="H76" s="730">
        <v>0</v>
      </c>
      <c r="I76" s="684">
        <f t="shared" si="1"/>
        <v>5</v>
      </c>
      <c r="J76" s="730">
        <v>170</v>
      </c>
      <c r="K76" s="730">
        <v>98</v>
      </c>
      <c r="L76" s="730">
        <v>72</v>
      </c>
      <c r="M76" s="730">
        <v>36</v>
      </c>
      <c r="N76" s="730">
        <v>36</v>
      </c>
      <c r="O76" s="730">
        <v>0</v>
      </c>
      <c r="P76" s="730">
        <v>0</v>
      </c>
      <c r="Q76" s="730">
        <v>0</v>
      </c>
      <c r="R76" s="730">
        <v>0</v>
      </c>
      <c r="S76" s="730">
        <v>0</v>
      </c>
      <c r="T76" s="730">
        <v>0</v>
      </c>
      <c r="U76" s="730">
        <v>0</v>
      </c>
      <c r="V76" s="730">
        <v>0</v>
      </c>
      <c r="W76" s="730">
        <v>4</v>
      </c>
      <c r="X76" s="730">
        <v>0</v>
      </c>
      <c r="Y76" s="730">
        <v>0</v>
      </c>
    </row>
    <row r="77" spans="1:25" s="685" customFormat="1">
      <c r="A77" s="729" t="s">
        <v>426</v>
      </c>
      <c r="B77" s="729" t="s">
        <v>25</v>
      </c>
      <c r="C77" s="729" t="s">
        <v>116</v>
      </c>
      <c r="D77" s="729" t="s">
        <v>359</v>
      </c>
      <c r="E77" s="729" t="s">
        <v>359</v>
      </c>
      <c r="F77" s="730">
        <v>0</v>
      </c>
      <c r="G77" s="730">
        <v>7</v>
      </c>
      <c r="H77" s="730">
        <v>0</v>
      </c>
      <c r="I77" s="684">
        <f t="shared" si="1"/>
        <v>3</v>
      </c>
      <c r="J77" s="730">
        <v>102</v>
      </c>
      <c r="K77" s="730">
        <v>48</v>
      </c>
      <c r="L77" s="730">
        <v>54</v>
      </c>
      <c r="M77" s="730">
        <v>18</v>
      </c>
      <c r="N77" s="730">
        <v>18</v>
      </c>
      <c r="O77" s="730">
        <v>18</v>
      </c>
      <c r="P77" s="730">
        <v>0</v>
      </c>
      <c r="Q77" s="730">
        <v>0</v>
      </c>
      <c r="R77" s="730">
        <v>0</v>
      </c>
      <c r="S77" s="730">
        <v>0</v>
      </c>
      <c r="T77" s="730">
        <v>0</v>
      </c>
      <c r="U77" s="730">
        <v>0</v>
      </c>
      <c r="V77" s="730">
        <v>0</v>
      </c>
      <c r="W77" s="730">
        <v>0</v>
      </c>
      <c r="X77" s="730">
        <v>3</v>
      </c>
      <c r="Y77" s="730">
        <v>0</v>
      </c>
    </row>
    <row r="78" spans="1:25" s="685" customFormat="1">
      <c r="A78" s="729" t="s">
        <v>427</v>
      </c>
      <c r="B78" s="729" t="s">
        <v>222</v>
      </c>
      <c r="C78" s="729" t="s">
        <v>219</v>
      </c>
      <c r="D78" s="729" t="s">
        <v>359</v>
      </c>
      <c r="E78" s="729" t="s">
        <v>359</v>
      </c>
      <c r="F78" s="730">
        <v>0</v>
      </c>
      <c r="G78" s="730">
        <v>7</v>
      </c>
      <c r="H78" s="730"/>
      <c r="I78" s="684">
        <f t="shared" si="1"/>
        <v>4</v>
      </c>
      <c r="J78" s="730">
        <v>136</v>
      </c>
      <c r="K78" s="730">
        <v>82</v>
      </c>
      <c r="L78" s="730">
        <v>54</v>
      </c>
      <c r="M78" s="730">
        <v>36</v>
      </c>
      <c r="N78" s="730">
        <v>18</v>
      </c>
      <c r="O78" s="730">
        <v>0</v>
      </c>
      <c r="P78" s="730">
        <v>0</v>
      </c>
      <c r="Q78" s="730">
        <v>18</v>
      </c>
      <c r="R78" s="730"/>
      <c r="S78" s="730"/>
      <c r="T78" s="730"/>
      <c r="U78" s="730"/>
      <c r="V78" s="730"/>
      <c r="W78" s="730">
        <v>0</v>
      </c>
      <c r="X78" s="730">
        <v>3</v>
      </c>
      <c r="Y78" s="730"/>
    </row>
    <row r="79" spans="1:25" s="685" customFormat="1">
      <c r="A79" s="729" t="s">
        <v>428</v>
      </c>
      <c r="B79" s="729" t="s">
        <v>369</v>
      </c>
      <c r="C79" s="729" t="s">
        <v>219</v>
      </c>
      <c r="D79" s="729" t="s">
        <v>359</v>
      </c>
      <c r="E79" s="729" t="s">
        <v>359</v>
      </c>
      <c r="F79" s="730"/>
      <c r="G79" s="730"/>
      <c r="H79" s="730"/>
      <c r="I79" s="684">
        <f t="shared" si="1"/>
        <v>0</v>
      </c>
      <c r="J79" s="730"/>
      <c r="K79" s="730">
        <v>0</v>
      </c>
      <c r="L79" s="730">
        <v>0</v>
      </c>
      <c r="M79" s="730"/>
      <c r="N79" s="730"/>
      <c r="O79" s="730"/>
      <c r="P79" s="730"/>
      <c r="Q79" s="730"/>
      <c r="R79" s="730"/>
      <c r="S79" s="730"/>
      <c r="T79" s="730"/>
      <c r="U79" s="730"/>
      <c r="V79" s="730"/>
      <c r="W79" s="730">
        <v>0</v>
      </c>
      <c r="X79" s="730">
        <v>99</v>
      </c>
      <c r="Y79" s="730"/>
    </row>
    <row r="80" spans="1:25" s="685" customFormat="1">
      <c r="A80" s="729" t="s">
        <v>429</v>
      </c>
      <c r="B80" s="729" t="s">
        <v>277</v>
      </c>
      <c r="C80" s="729" t="s">
        <v>219</v>
      </c>
      <c r="D80" s="729" t="s">
        <v>359</v>
      </c>
      <c r="E80" s="729" t="s">
        <v>359</v>
      </c>
      <c r="F80" s="730">
        <v>7</v>
      </c>
      <c r="G80" s="730">
        <v>0</v>
      </c>
      <c r="H80" s="730"/>
      <c r="I80" s="684">
        <f t="shared" si="1"/>
        <v>4</v>
      </c>
      <c r="J80" s="730">
        <v>136</v>
      </c>
      <c r="K80" s="730">
        <v>64</v>
      </c>
      <c r="L80" s="730">
        <v>72</v>
      </c>
      <c r="M80" s="730">
        <v>36</v>
      </c>
      <c r="N80" s="730">
        <v>18</v>
      </c>
      <c r="O80" s="730">
        <v>18</v>
      </c>
      <c r="P80" s="730"/>
      <c r="Q80" s="730"/>
      <c r="R80" s="730"/>
      <c r="S80" s="730"/>
      <c r="T80" s="730"/>
      <c r="U80" s="730"/>
      <c r="V80" s="730"/>
      <c r="W80" s="730">
        <v>0</v>
      </c>
      <c r="X80" s="730">
        <v>4</v>
      </c>
      <c r="Y80" s="730"/>
    </row>
    <row r="81" spans="1:25" s="685" customFormat="1">
      <c r="A81" s="729" t="s">
        <v>430</v>
      </c>
      <c r="B81" s="729" t="s">
        <v>278</v>
      </c>
      <c r="C81" s="729" t="s">
        <v>219</v>
      </c>
      <c r="D81" s="729" t="s">
        <v>359</v>
      </c>
      <c r="E81" s="729" t="s">
        <v>359</v>
      </c>
      <c r="F81" s="730">
        <v>7</v>
      </c>
      <c r="G81" s="730"/>
      <c r="H81" s="730"/>
      <c r="I81" s="684">
        <f t="shared" si="1"/>
        <v>4</v>
      </c>
      <c r="J81" s="730">
        <v>136</v>
      </c>
      <c r="K81" s="730">
        <v>64</v>
      </c>
      <c r="L81" s="730">
        <v>72</v>
      </c>
      <c r="M81" s="730">
        <v>36</v>
      </c>
      <c r="N81" s="730">
        <v>36</v>
      </c>
      <c r="O81" s="730">
        <v>0</v>
      </c>
      <c r="P81" s="730"/>
      <c r="Q81" s="730">
        <v>0</v>
      </c>
      <c r="R81" s="730"/>
      <c r="S81" s="730"/>
      <c r="T81" s="730"/>
      <c r="U81" s="730">
        <v>0</v>
      </c>
      <c r="V81" s="730"/>
      <c r="W81" s="730"/>
      <c r="X81" s="730">
        <v>4</v>
      </c>
      <c r="Y81" s="730"/>
    </row>
    <row r="82" spans="1:25" s="685" customFormat="1">
      <c r="A82" s="729" t="s">
        <v>431</v>
      </c>
      <c r="B82" s="687" t="s">
        <v>64</v>
      </c>
      <c r="C82" s="729"/>
      <c r="D82" s="729" t="s">
        <v>357</v>
      </c>
      <c r="E82" s="729" t="s">
        <v>357</v>
      </c>
      <c r="F82" s="730">
        <v>0</v>
      </c>
      <c r="G82" s="730">
        <v>0</v>
      </c>
      <c r="H82" s="730">
        <v>0</v>
      </c>
      <c r="I82" s="684">
        <f t="shared" si="1"/>
        <v>0</v>
      </c>
      <c r="J82" s="730">
        <v>0</v>
      </c>
      <c r="K82" s="730">
        <v>0</v>
      </c>
      <c r="L82" s="730">
        <v>0</v>
      </c>
      <c r="M82" s="730">
        <v>0</v>
      </c>
      <c r="N82" s="730">
        <v>0</v>
      </c>
      <c r="O82" s="730">
        <v>0</v>
      </c>
      <c r="P82" s="730">
        <v>0</v>
      </c>
      <c r="Q82" s="730">
        <v>0</v>
      </c>
      <c r="R82" s="730">
        <v>0</v>
      </c>
      <c r="S82" s="730">
        <v>0</v>
      </c>
      <c r="T82" s="730">
        <v>0</v>
      </c>
      <c r="U82" s="730">
        <v>0</v>
      </c>
      <c r="V82" s="730">
        <v>0</v>
      </c>
      <c r="W82" s="730">
        <v>0</v>
      </c>
      <c r="X82" s="730">
        <v>0</v>
      </c>
      <c r="Y82" s="730">
        <v>0</v>
      </c>
    </row>
    <row r="83" spans="1:25" s="685" customFormat="1">
      <c r="A83" s="729" t="s">
        <v>432</v>
      </c>
      <c r="B83" s="729" t="s">
        <v>281</v>
      </c>
      <c r="C83" s="729" t="s">
        <v>219</v>
      </c>
      <c r="D83" s="729" t="s">
        <v>359</v>
      </c>
      <c r="E83" s="729" t="s">
        <v>359</v>
      </c>
      <c r="F83" s="730">
        <v>5</v>
      </c>
      <c r="G83" s="730">
        <v>0</v>
      </c>
      <c r="H83" s="730">
        <v>0</v>
      </c>
      <c r="I83" s="684">
        <f t="shared" si="1"/>
        <v>5</v>
      </c>
      <c r="J83" s="730">
        <v>170</v>
      </c>
      <c r="K83" s="730">
        <v>80</v>
      </c>
      <c r="L83" s="730">
        <v>90</v>
      </c>
      <c r="M83" s="730">
        <v>54</v>
      </c>
      <c r="N83" s="730">
        <v>18</v>
      </c>
      <c r="O83" s="730">
        <v>18</v>
      </c>
      <c r="P83" s="730">
        <v>18</v>
      </c>
      <c r="Q83" s="730">
        <v>0</v>
      </c>
      <c r="R83" s="730">
        <v>0</v>
      </c>
      <c r="S83" s="730">
        <v>0</v>
      </c>
      <c r="T83" s="730">
        <v>0</v>
      </c>
      <c r="U83" s="730">
        <v>0</v>
      </c>
      <c r="V83" s="730">
        <v>5</v>
      </c>
      <c r="W83" s="730">
        <v>0</v>
      </c>
      <c r="X83" s="730">
        <v>0</v>
      </c>
      <c r="Y83" s="730">
        <v>0</v>
      </c>
    </row>
    <row r="84" spans="1:25" s="685" customFormat="1">
      <c r="A84" s="729" t="s">
        <v>433</v>
      </c>
      <c r="B84" s="729" t="s">
        <v>282</v>
      </c>
      <c r="C84" s="729" t="s">
        <v>219</v>
      </c>
      <c r="D84" s="729" t="s">
        <v>359</v>
      </c>
      <c r="E84" s="729" t="s">
        <v>359</v>
      </c>
      <c r="F84" s="730">
        <v>6</v>
      </c>
      <c r="G84" s="730">
        <v>0</v>
      </c>
      <c r="H84" s="730">
        <v>0</v>
      </c>
      <c r="I84" s="684">
        <f t="shared" si="1"/>
        <v>4</v>
      </c>
      <c r="J84" s="730">
        <v>136</v>
      </c>
      <c r="K84" s="730">
        <v>64</v>
      </c>
      <c r="L84" s="730">
        <v>72</v>
      </c>
      <c r="M84" s="730">
        <v>36</v>
      </c>
      <c r="N84" s="730">
        <v>18</v>
      </c>
      <c r="O84" s="730">
        <v>18</v>
      </c>
      <c r="P84" s="730">
        <v>0</v>
      </c>
      <c r="Q84" s="730">
        <v>0</v>
      </c>
      <c r="R84" s="730">
        <v>0</v>
      </c>
      <c r="S84" s="730">
        <v>0</v>
      </c>
      <c r="T84" s="730">
        <v>0</v>
      </c>
      <c r="U84" s="730">
        <v>0</v>
      </c>
      <c r="V84" s="730">
        <v>0</v>
      </c>
      <c r="W84" s="730">
        <v>4</v>
      </c>
      <c r="X84" s="730">
        <v>0</v>
      </c>
      <c r="Y84" s="730">
        <v>0</v>
      </c>
    </row>
    <row r="85" spans="1:25" s="685" customFormat="1">
      <c r="A85" s="729" t="s">
        <v>434</v>
      </c>
      <c r="B85" s="729" t="s">
        <v>511</v>
      </c>
      <c r="C85" s="729" t="s">
        <v>219</v>
      </c>
      <c r="D85" s="729" t="s">
        <v>359</v>
      </c>
      <c r="E85" s="729" t="s">
        <v>359</v>
      </c>
      <c r="F85" s="730">
        <v>0</v>
      </c>
      <c r="G85" s="730">
        <v>6</v>
      </c>
      <c r="H85" s="730">
        <v>0</v>
      </c>
      <c r="I85" s="684">
        <f t="shared" si="1"/>
        <v>2</v>
      </c>
      <c r="J85" s="730">
        <v>68</v>
      </c>
      <c r="K85" s="730">
        <v>32</v>
      </c>
      <c r="L85" s="730">
        <v>36</v>
      </c>
      <c r="M85" s="730">
        <v>36</v>
      </c>
      <c r="N85" s="730">
        <v>0</v>
      </c>
      <c r="O85" s="730">
        <v>0</v>
      </c>
      <c r="P85" s="730">
        <v>0</v>
      </c>
      <c r="Q85" s="730">
        <v>0</v>
      </c>
      <c r="R85" s="730">
        <v>0</v>
      </c>
      <c r="S85" s="730">
        <v>0</v>
      </c>
      <c r="T85" s="730">
        <v>0</v>
      </c>
      <c r="U85" s="730">
        <v>0</v>
      </c>
      <c r="V85" s="730">
        <v>0</v>
      </c>
      <c r="W85" s="730">
        <v>2</v>
      </c>
      <c r="X85" s="730">
        <v>0</v>
      </c>
      <c r="Y85" s="730">
        <v>0</v>
      </c>
    </row>
    <row r="86" spans="1:25" s="685" customFormat="1">
      <c r="A86" s="729" t="s">
        <v>435</v>
      </c>
      <c r="B86" s="729" t="s">
        <v>512</v>
      </c>
      <c r="C86" s="729" t="s">
        <v>219</v>
      </c>
      <c r="D86" s="729" t="s">
        <v>359</v>
      </c>
      <c r="E86" s="729" t="s">
        <v>359</v>
      </c>
      <c r="F86" s="730">
        <v>0</v>
      </c>
      <c r="G86" s="730">
        <v>0</v>
      </c>
      <c r="H86" s="730">
        <v>0</v>
      </c>
      <c r="I86" s="684">
        <f t="shared" si="1"/>
        <v>2</v>
      </c>
      <c r="J86" s="730">
        <v>68</v>
      </c>
      <c r="K86" s="730">
        <v>32</v>
      </c>
      <c r="L86" s="730">
        <v>36</v>
      </c>
      <c r="M86" s="730">
        <v>0</v>
      </c>
      <c r="N86" s="730">
        <v>18</v>
      </c>
      <c r="O86" s="730">
        <v>18</v>
      </c>
      <c r="P86" s="730">
        <v>0</v>
      </c>
      <c r="Q86" s="730">
        <v>18</v>
      </c>
      <c r="R86" s="730">
        <v>0</v>
      </c>
      <c r="S86" s="730">
        <v>0</v>
      </c>
      <c r="T86" s="730">
        <v>0</v>
      </c>
      <c r="U86" s="730">
        <v>0</v>
      </c>
      <c r="V86" s="730">
        <v>0</v>
      </c>
      <c r="W86" s="730">
        <v>2</v>
      </c>
      <c r="X86" s="730">
        <v>0</v>
      </c>
      <c r="Y86" s="730">
        <v>0</v>
      </c>
    </row>
    <row r="87" spans="1:25" s="685" customFormat="1">
      <c r="A87" s="729" t="s">
        <v>513</v>
      </c>
      <c r="B87" s="729" t="s">
        <v>369</v>
      </c>
      <c r="C87" s="729" t="s">
        <v>219</v>
      </c>
      <c r="D87" s="729" t="s">
        <v>359</v>
      </c>
      <c r="E87" s="729" t="s">
        <v>359</v>
      </c>
      <c r="F87" s="730">
        <v>0</v>
      </c>
      <c r="G87" s="730">
        <v>0</v>
      </c>
      <c r="H87" s="730">
        <v>0</v>
      </c>
      <c r="I87" s="684">
        <f t="shared" si="1"/>
        <v>0</v>
      </c>
      <c r="J87" s="730">
        <v>0</v>
      </c>
      <c r="K87" s="730">
        <v>0</v>
      </c>
      <c r="L87" s="730">
        <v>0</v>
      </c>
      <c r="M87" s="730">
        <v>0</v>
      </c>
      <c r="N87" s="730">
        <v>0</v>
      </c>
      <c r="O87" s="730">
        <v>0</v>
      </c>
      <c r="P87" s="730">
        <v>0</v>
      </c>
      <c r="Q87" s="730">
        <v>0</v>
      </c>
      <c r="R87" s="730">
        <v>0</v>
      </c>
      <c r="S87" s="730">
        <v>0</v>
      </c>
      <c r="T87" s="730">
        <v>0</v>
      </c>
      <c r="U87" s="730">
        <v>0</v>
      </c>
      <c r="V87" s="730">
        <v>0</v>
      </c>
      <c r="W87" s="730">
        <v>99</v>
      </c>
      <c r="X87" s="730">
        <v>0</v>
      </c>
      <c r="Y87" s="730">
        <v>0</v>
      </c>
    </row>
    <row r="88" spans="1:25" s="685" customFormat="1">
      <c r="A88" s="729" t="s">
        <v>436</v>
      </c>
      <c r="B88" s="729" t="s">
        <v>279</v>
      </c>
      <c r="C88" s="729" t="s">
        <v>280</v>
      </c>
      <c r="D88" s="729" t="s">
        <v>359</v>
      </c>
      <c r="E88" s="729" t="s">
        <v>359</v>
      </c>
      <c r="F88" s="730">
        <v>0</v>
      </c>
      <c r="G88" s="730">
        <v>7</v>
      </c>
      <c r="H88" s="730">
        <v>0</v>
      </c>
      <c r="I88" s="684">
        <f t="shared" si="1"/>
        <v>3</v>
      </c>
      <c r="J88" s="730">
        <v>102</v>
      </c>
      <c r="K88" s="730">
        <v>48</v>
      </c>
      <c r="L88" s="730">
        <v>54</v>
      </c>
      <c r="M88" s="730">
        <v>36</v>
      </c>
      <c r="N88" s="730">
        <v>18</v>
      </c>
      <c r="O88" s="730">
        <v>0</v>
      </c>
      <c r="P88" s="730">
        <v>0</v>
      </c>
      <c r="Q88" s="730">
        <v>0</v>
      </c>
      <c r="R88" s="730">
        <v>0</v>
      </c>
      <c r="S88" s="730">
        <v>0</v>
      </c>
      <c r="T88" s="730">
        <v>0</v>
      </c>
      <c r="U88" s="730">
        <v>0</v>
      </c>
      <c r="V88" s="730">
        <v>0</v>
      </c>
      <c r="W88" s="730">
        <v>0</v>
      </c>
      <c r="X88" s="730">
        <v>3</v>
      </c>
      <c r="Y88" s="730">
        <v>0</v>
      </c>
    </row>
    <row r="89" spans="1:25" s="685" customFormat="1">
      <c r="A89" s="729" t="s">
        <v>437</v>
      </c>
      <c r="B89" s="729" t="s">
        <v>284</v>
      </c>
      <c r="C89" s="729" t="s">
        <v>219</v>
      </c>
      <c r="D89" s="729" t="s">
        <v>359</v>
      </c>
      <c r="E89" s="729" t="s">
        <v>359</v>
      </c>
      <c r="F89" s="730">
        <v>7</v>
      </c>
      <c r="G89" s="730">
        <v>0</v>
      </c>
      <c r="H89" s="730">
        <v>0</v>
      </c>
      <c r="I89" s="684">
        <f t="shared" si="1"/>
        <v>5</v>
      </c>
      <c r="J89" s="730">
        <v>170</v>
      </c>
      <c r="K89" s="730">
        <v>98</v>
      </c>
      <c r="L89" s="730">
        <v>72</v>
      </c>
      <c r="M89" s="730">
        <v>36</v>
      </c>
      <c r="N89" s="730">
        <v>18</v>
      </c>
      <c r="O89" s="730">
        <v>18</v>
      </c>
      <c r="P89" s="730">
        <v>0</v>
      </c>
      <c r="Q89" s="730">
        <v>18</v>
      </c>
      <c r="R89" s="730">
        <v>0</v>
      </c>
      <c r="S89" s="730">
        <v>0</v>
      </c>
      <c r="T89" s="730">
        <v>0</v>
      </c>
      <c r="U89" s="730">
        <v>0</v>
      </c>
      <c r="V89" s="730">
        <v>0</v>
      </c>
      <c r="W89" s="730">
        <v>0</v>
      </c>
      <c r="X89" s="730">
        <v>4</v>
      </c>
      <c r="Y89" s="730">
        <v>0</v>
      </c>
    </row>
    <row r="90" spans="1:25" s="685" customFormat="1">
      <c r="A90" s="729" t="s">
        <v>514</v>
      </c>
      <c r="B90" s="729" t="s">
        <v>369</v>
      </c>
      <c r="C90" s="729" t="s">
        <v>219</v>
      </c>
      <c r="D90" s="729" t="s">
        <v>359</v>
      </c>
      <c r="E90" s="729" t="s">
        <v>359</v>
      </c>
      <c r="F90" s="730">
        <v>0</v>
      </c>
      <c r="G90" s="730">
        <v>0</v>
      </c>
      <c r="H90" s="730">
        <v>0</v>
      </c>
      <c r="I90" s="684">
        <f t="shared" si="1"/>
        <v>0</v>
      </c>
      <c r="J90" s="730">
        <v>0</v>
      </c>
      <c r="K90" s="730">
        <v>0</v>
      </c>
      <c r="L90" s="730">
        <v>0</v>
      </c>
      <c r="M90" s="730">
        <v>0</v>
      </c>
      <c r="N90" s="730">
        <v>0</v>
      </c>
      <c r="O90" s="730">
        <v>0</v>
      </c>
      <c r="P90" s="730">
        <v>0</v>
      </c>
      <c r="Q90" s="730">
        <v>0</v>
      </c>
      <c r="R90" s="730">
        <v>0</v>
      </c>
      <c r="S90" s="730">
        <v>0</v>
      </c>
      <c r="T90" s="730">
        <v>0</v>
      </c>
      <c r="U90" s="730">
        <v>0</v>
      </c>
      <c r="V90" s="730">
        <v>0</v>
      </c>
      <c r="W90" s="730">
        <v>0</v>
      </c>
      <c r="X90" s="730">
        <v>99</v>
      </c>
      <c r="Y90" s="730">
        <v>0</v>
      </c>
    </row>
    <row r="91" spans="1:25" s="685" customFormat="1">
      <c r="A91" s="729" t="s">
        <v>515</v>
      </c>
      <c r="B91" s="729" t="s">
        <v>516</v>
      </c>
      <c r="C91" s="729" t="s">
        <v>219</v>
      </c>
      <c r="D91" s="729" t="s">
        <v>359</v>
      </c>
      <c r="E91" s="729" t="s">
        <v>359</v>
      </c>
      <c r="F91" s="730">
        <v>0</v>
      </c>
      <c r="G91" s="730">
        <v>8</v>
      </c>
      <c r="H91" s="730">
        <v>0</v>
      </c>
      <c r="I91" s="684">
        <f t="shared" si="1"/>
        <v>3</v>
      </c>
      <c r="J91" s="730">
        <v>102</v>
      </c>
      <c r="K91" s="730">
        <v>47</v>
      </c>
      <c r="L91" s="730">
        <v>55</v>
      </c>
      <c r="M91" s="730">
        <v>22</v>
      </c>
      <c r="N91" s="730">
        <v>22</v>
      </c>
      <c r="O91" s="730">
        <v>11</v>
      </c>
      <c r="P91" s="730">
        <v>0</v>
      </c>
      <c r="Q91" s="730">
        <v>0</v>
      </c>
      <c r="R91" s="730">
        <v>0</v>
      </c>
      <c r="S91" s="730">
        <v>0</v>
      </c>
      <c r="T91" s="730">
        <v>0</v>
      </c>
      <c r="U91" s="730">
        <v>0</v>
      </c>
      <c r="V91" s="730">
        <v>0</v>
      </c>
      <c r="W91" s="730">
        <v>0</v>
      </c>
      <c r="X91" s="730">
        <v>0</v>
      </c>
      <c r="Y91" s="730">
        <v>5</v>
      </c>
    </row>
    <row r="92" spans="1:25" s="683" customFormat="1">
      <c r="A92" s="729" t="s">
        <v>438</v>
      </c>
      <c r="B92" s="688" t="s">
        <v>196</v>
      </c>
      <c r="C92" s="729"/>
      <c r="D92" s="729" t="s">
        <v>357</v>
      </c>
      <c r="E92" s="729" t="s">
        <v>357</v>
      </c>
      <c r="F92" s="730">
        <v>0</v>
      </c>
      <c r="G92" s="730">
        <v>0</v>
      </c>
      <c r="H92" s="730">
        <v>0</v>
      </c>
      <c r="I92" s="684">
        <f t="shared" si="1"/>
        <v>0</v>
      </c>
      <c r="J92" s="730">
        <v>0</v>
      </c>
      <c r="K92" s="730">
        <v>0</v>
      </c>
      <c r="L92" s="730">
        <v>0</v>
      </c>
      <c r="M92" s="730">
        <v>0</v>
      </c>
      <c r="N92" s="730">
        <v>0</v>
      </c>
      <c r="O92" s="730">
        <v>0</v>
      </c>
      <c r="P92" s="730">
        <v>0</v>
      </c>
      <c r="Q92" s="730">
        <v>0</v>
      </c>
      <c r="R92" s="730">
        <v>0</v>
      </c>
      <c r="S92" s="730">
        <v>0</v>
      </c>
      <c r="T92" s="730">
        <v>0</v>
      </c>
      <c r="U92" s="730">
        <v>0</v>
      </c>
      <c r="V92" s="730">
        <v>0</v>
      </c>
      <c r="W92" s="730">
        <v>0</v>
      </c>
      <c r="X92" s="730">
        <v>0</v>
      </c>
      <c r="Y92" s="730">
        <v>0</v>
      </c>
    </row>
    <row r="93" spans="1:25" s="685" customFormat="1">
      <c r="A93" s="729" t="s">
        <v>440</v>
      </c>
      <c r="B93" s="729" t="s">
        <v>285</v>
      </c>
      <c r="C93" s="729" t="s">
        <v>219</v>
      </c>
      <c r="D93" s="729" t="s">
        <v>359</v>
      </c>
      <c r="E93" s="729" t="s">
        <v>359</v>
      </c>
      <c r="F93" s="730">
        <v>7</v>
      </c>
      <c r="G93" s="730">
        <v>0</v>
      </c>
      <c r="H93" s="730">
        <v>0</v>
      </c>
      <c r="I93" s="684">
        <f t="shared" si="1"/>
        <v>4</v>
      </c>
      <c r="J93" s="730">
        <v>136</v>
      </c>
      <c r="K93" s="730">
        <v>82</v>
      </c>
      <c r="L93" s="730">
        <v>54</v>
      </c>
      <c r="M93" s="730">
        <v>36</v>
      </c>
      <c r="N93" s="730">
        <v>18</v>
      </c>
      <c r="O93" s="730">
        <v>0</v>
      </c>
      <c r="P93" s="730">
        <v>0</v>
      </c>
      <c r="Q93" s="730">
        <v>0</v>
      </c>
      <c r="R93" s="730">
        <v>0</v>
      </c>
      <c r="S93" s="730">
        <v>0</v>
      </c>
      <c r="T93" s="730">
        <v>0</v>
      </c>
      <c r="U93" s="730">
        <v>0</v>
      </c>
      <c r="V93" s="730">
        <v>0</v>
      </c>
      <c r="W93" s="730">
        <v>0</v>
      </c>
      <c r="X93" s="730">
        <v>3</v>
      </c>
      <c r="Y93" s="730">
        <v>0</v>
      </c>
    </row>
    <row r="94" spans="1:25" s="685" customFormat="1">
      <c r="A94" s="729" t="s">
        <v>441</v>
      </c>
      <c r="B94" s="729" t="s">
        <v>558</v>
      </c>
      <c r="C94" s="729" t="s">
        <v>219</v>
      </c>
      <c r="D94" s="729" t="s">
        <v>359</v>
      </c>
      <c r="E94" s="729" t="s">
        <v>359</v>
      </c>
      <c r="F94" s="730">
        <v>0</v>
      </c>
      <c r="G94" s="730">
        <v>8</v>
      </c>
      <c r="H94" s="730">
        <v>0</v>
      </c>
      <c r="I94" s="684">
        <f t="shared" si="1"/>
        <v>2</v>
      </c>
      <c r="J94" s="730">
        <v>68</v>
      </c>
      <c r="K94" s="730">
        <v>13</v>
      </c>
      <c r="L94" s="730">
        <v>55</v>
      </c>
      <c r="M94" s="730">
        <v>22</v>
      </c>
      <c r="N94" s="730">
        <v>22</v>
      </c>
      <c r="O94" s="730">
        <v>11</v>
      </c>
      <c r="P94" s="730">
        <v>0</v>
      </c>
      <c r="Q94" s="730">
        <v>0</v>
      </c>
      <c r="R94" s="730">
        <v>0</v>
      </c>
      <c r="S94" s="730">
        <v>0</v>
      </c>
      <c r="T94" s="730">
        <v>0</v>
      </c>
      <c r="U94" s="730">
        <v>0</v>
      </c>
      <c r="V94" s="730">
        <v>0</v>
      </c>
      <c r="W94" s="730">
        <v>0</v>
      </c>
      <c r="X94" s="730">
        <v>0</v>
      </c>
      <c r="Y94" s="730">
        <v>5</v>
      </c>
    </row>
    <row r="95" spans="1:25" s="685" customFormat="1">
      <c r="A95" s="729" t="s">
        <v>442</v>
      </c>
      <c r="B95" s="729" t="s">
        <v>286</v>
      </c>
      <c r="C95" s="729" t="s">
        <v>219</v>
      </c>
      <c r="D95" s="729" t="s">
        <v>359</v>
      </c>
      <c r="E95" s="729" t="s">
        <v>359</v>
      </c>
      <c r="F95" s="730">
        <v>0</v>
      </c>
      <c r="G95" s="730">
        <v>8</v>
      </c>
      <c r="H95" s="730">
        <v>0</v>
      </c>
      <c r="I95" s="684">
        <f t="shared" si="1"/>
        <v>2</v>
      </c>
      <c r="J95" s="730">
        <v>68</v>
      </c>
      <c r="K95" s="730">
        <v>13</v>
      </c>
      <c r="L95" s="730">
        <v>55</v>
      </c>
      <c r="M95" s="730">
        <v>22</v>
      </c>
      <c r="N95" s="730">
        <v>22</v>
      </c>
      <c r="O95" s="730">
        <v>11</v>
      </c>
      <c r="P95" s="730">
        <v>0</v>
      </c>
      <c r="Q95" s="730">
        <v>0</v>
      </c>
      <c r="R95" s="730">
        <v>0</v>
      </c>
      <c r="S95" s="730">
        <v>0</v>
      </c>
      <c r="T95" s="730">
        <v>0</v>
      </c>
      <c r="U95" s="730">
        <v>0</v>
      </c>
      <c r="V95" s="730">
        <v>0</v>
      </c>
      <c r="W95" s="730">
        <v>0</v>
      </c>
      <c r="X95" s="730">
        <v>0</v>
      </c>
      <c r="Y95" s="730">
        <v>5</v>
      </c>
    </row>
    <row r="96" spans="1:25" s="685" customFormat="1">
      <c r="A96" s="729" t="s">
        <v>517</v>
      </c>
      <c r="B96" s="729" t="s">
        <v>333</v>
      </c>
      <c r="C96" s="729" t="s">
        <v>219</v>
      </c>
      <c r="D96" s="729" t="s">
        <v>359</v>
      </c>
      <c r="E96" s="729" t="s">
        <v>359</v>
      </c>
      <c r="F96" s="730">
        <v>0</v>
      </c>
      <c r="G96" s="730">
        <v>8</v>
      </c>
      <c r="H96" s="730">
        <v>0</v>
      </c>
      <c r="I96" s="684">
        <f t="shared" si="1"/>
        <v>2</v>
      </c>
      <c r="J96" s="730">
        <v>68</v>
      </c>
      <c r="K96" s="730">
        <v>68</v>
      </c>
      <c r="L96" s="730">
        <v>0</v>
      </c>
      <c r="M96" s="730">
        <v>0</v>
      </c>
      <c r="N96" s="730">
        <v>0</v>
      </c>
      <c r="O96" s="730">
        <v>0</v>
      </c>
      <c r="P96" s="730">
        <v>0</v>
      </c>
      <c r="Q96" s="730">
        <v>0</v>
      </c>
      <c r="R96" s="730">
        <v>0</v>
      </c>
      <c r="S96" s="730">
        <v>0</v>
      </c>
      <c r="T96" s="730">
        <v>0</v>
      </c>
      <c r="U96" s="730">
        <v>0</v>
      </c>
      <c r="V96" s="730">
        <v>0</v>
      </c>
      <c r="W96" s="730">
        <v>0</v>
      </c>
      <c r="X96" s="730">
        <v>0</v>
      </c>
      <c r="Y96" s="730">
        <v>22</v>
      </c>
    </row>
    <row r="97" spans="1:25" s="685" customFormat="1">
      <c r="A97" s="729" t="s">
        <v>443</v>
      </c>
      <c r="B97" s="731" t="s">
        <v>448</v>
      </c>
      <c r="C97" s="729"/>
      <c r="D97" s="729" t="s">
        <v>359</v>
      </c>
      <c r="E97" s="729" t="s">
        <v>357</v>
      </c>
      <c r="F97" s="730">
        <v>0</v>
      </c>
      <c r="G97" s="730">
        <v>7</v>
      </c>
      <c r="H97" s="730">
        <v>0</v>
      </c>
      <c r="I97" s="684">
        <f t="shared" si="1"/>
        <v>3</v>
      </c>
      <c r="J97" s="730">
        <v>102</v>
      </c>
      <c r="K97" s="730">
        <v>48</v>
      </c>
      <c r="L97" s="730">
        <v>54</v>
      </c>
      <c r="M97" s="730">
        <v>36</v>
      </c>
      <c r="N97" s="730">
        <v>18</v>
      </c>
      <c r="O97" s="730">
        <v>0</v>
      </c>
      <c r="P97" s="730">
        <v>0</v>
      </c>
      <c r="Q97" s="730">
        <v>0</v>
      </c>
      <c r="R97" s="730">
        <v>0</v>
      </c>
      <c r="S97" s="730">
        <v>0</v>
      </c>
      <c r="T97" s="730">
        <v>0</v>
      </c>
      <c r="U97" s="730">
        <v>0</v>
      </c>
      <c r="V97" s="730">
        <v>0</v>
      </c>
      <c r="W97" s="730">
        <v>0</v>
      </c>
      <c r="X97" s="730">
        <v>3</v>
      </c>
      <c r="Y97" s="730">
        <v>0</v>
      </c>
    </row>
    <row r="98" spans="1:25" s="683" customFormat="1">
      <c r="A98" s="729" t="s">
        <v>445</v>
      </c>
      <c r="B98" s="729" t="s">
        <v>518</v>
      </c>
      <c r="C98" s="729" t="s">
        <v>219</v>
      </c>
      <c r="D98" s="729" t="s">
        <v>357</v>
      </c>
      <c r="E98" s="729" t="s">
        <v>359</v>
      </c>
      <c r="F98" s="730">
        <v>0</v>
      </c>
      <c r="G98" s="730">
        <v>7</v>
      </c>
      <c r="H98" s="730">
        <v>0</v>
      </c>
      <c r="I98" s="684">
        <f t="shared" si="1"/>
        <v>3</v>
      </c>
      <c r="J98" s="730">
        <v>102</v>
      </c>
      <c r="K98" s="730">
        <v>48</v>
      </c>
      <c r="L98" s="730">
        <v>54</v>
      </c>
      <c r="M98" s="730">
        <v>36</v>
      </c>
      <c r="N98" s="730">
        <v>18</v>
      </c>
      <c r="O98" s="730">
        <v>0</v>
      </c>
      <c r="P98" s="730">
        <v>0</v>
      </c>
      <c r="Q98" s="730">
        <v>0</v>
      </c>
      <c r="R98" s="730">
        <v>0</v>
      </c>
      <c r="S98" s="730">
        <v>0</v>
      </c>
      <c r="T98" s="730">
        <v>0</v>
      </c>
      <c r="U98" s="730">
        <v>0</v>
      </c>
      <c r="V98" s="730">
        <v>0</v>
      </c>
      <c r="W98" s="730">
        <v>0</v>
      </c>
      <c r="X98" s="730">
        <v>3</v>
      </c>
      <c r="Y98" s="730">
        <v>0</v>
      </c>
    </row>
    <row r="99" spans="1:25" s="683" customFormat="1">
      <c r="A99" s="729" t="s">
        <v>446</v>
      </c>
      <c r="B99" s="729" t="s">
        <v>519</v>
      </c>
      <c r="C99" s="729" t="s">
        <v>219</v>
      </c>
      <c r="D99" s="729" t="s">
        <v>357</v>
      </c>
      <c r="E99" s="729" t="s">
        <v>359</v>
      </c>
      <c r="F99" s="730">
        <v>0</v>
      </c>
      <c r="G99" s="730">
        <v>7</v>
      </c>
      <c r="H99" s="730">
        <v>0</v>
      </c>
      <c r="I99" s="684">
        <f t="shared" si="1"/>
        <v>3</v>
      </c>
      <c r="J99" s="730">
        <v>102</v>
      </c>
      <c r="K99" s="730">
        <v>48</v>
      </c>
      <c r="L99" s="730">
        <v>54</v>
      </c>
      <c r="M99" s="730">
        <v>36</v>
      </c>
      <c r="N99" s="730">
        <v>18</v>
      </c>
      <c r="O99" s="730">
        <v>0</v>
      </c>
      <c r="P99" s="730">
        <v>0</v>
      </c>
      <c r="Q99" s="730">
        <v>0</v>
      </c>
      <c r="R99" s="730">
        <v>0</v>
      </c>
      <c r="S99" s="730">
        <v>0</v>
      </c>
      <c r="T99" s="730">
        <v>0</v>
      </c>
      <c r="U99" s="730">
        <v>0</v>
      </c>
      <c r="V99" s="730">
        <v>0</v>
      </c>
      <c r="W99" s="730">
        <v>0</v>
      </c>
      <c r="X99" s="730">
        <v>3</v>
      </c>
      <c r="Y99" s="730">
        <v>0</v>
      </c>
    </row>
    <row r="100" spans="1:25" s="683" customFormat="1">
      <c r="A100" s="729" t="s">
        <v>447</v>
      </c>
      <c r="B100" s="731" t="s">
        <v>452</v>
      </c>
      <c r="C100" s="729"/>
      <c r="D100" s="729" t="s">
        <v>359</v>
      </c>
      <c r="E100" s="729" t="s">
        <v>357</v>
      </c>
      <c r="F100" s="730">
        <v>0</v>
      </c>
      <c r="G100" s="730">
        <v>4</v>
      </c>
      <c r="H100" s="730">
        <v>0</v>
      </c>
      <c r="I100" s="684">
        <f t="shared" si="1"/>
        <v>3</v>
      </c>
      <c r="J100" s="730">
        <v>102</v>
      </c>
      <c r="K100" s="730">
        <v>48</v>
      </c>
      <c r="L100" s="730">
        <v>54</v>
      </c>
      <c r="M100" s="730">
        <v>18</v>
      </c>
      <c r="N100" s="730">
        <v>18</v>
      </c>
      <c r="O100" s="730">
        <v>18</v>
      </c>
      <c r="P100" s="730">
        <v>0</v>
      </c>
      <c r="Q100" s="730">
        <v>18</v>
      </c>
      <c r="R100" s="730">
        <v>0</v>
      </c>
      <c r="S100" s="730">
        <v>0</v>
      </c>
      <c r="T100" s="730">
        <v>0</v>
      </c>
      <c r="U100" s="730">
        <v>3</v>
      </c>
      <c r="V100" s="730">
        <v>0</v>
      </c>
      <c r="W100" s="730">
        <v>0</v>
      </c>
      <c r="X100" s="730">
        <v>0</v>
      </c>
      <c r="Y100" s="730">
        <v>0</v>
      </c>
    </row>
    <row r="101" spans="1:25" s="685" customFormat="1">
      <c r="A101" s="729" t="s">
        <v>520</v>
      </c>
      <c r="B101" s="729" t="s">
        <v>458</v>
      </c>
      <c r="C101" s="729"/>
      <c r="D101" s="729" t="s">
        <v>359</v>
      </c>
      <c r="E101" s="729" t="s">
        <v>359</v>
      </c>
      <c r="F101" s="730"/>
      <c r="G101" s="730"/>
      <c r="H101" s="730"/>
      <c r="I101" s="684">
        <f t="shared" si="1"/>
        <v>0</v>
      </c>
      <c r="J101" s="730"/>
      <c r="K101" s="730">
        <v>0</v>
      </c>
      <c r="L101" s="730">
        <v>0</v>
      </c>
      <c r="M101" s="730"/>
      <c r="N101" s="730"/>
      <c r="O101" s="730"/>
      <c r="P101" s="730"/>
      <c r="Q101" s="730"/>
      <c r="R101" s="730"/>
      <c r="S101" s="730"/>
      <c r="T101" s="730"/>
      <c r="U101" s="730">
        <v>99</v>
      </c>
      <c r="V101" s="730"/>
      <c r="W101" s="730"/>
      <c r="X101" s="730">
        <v>0</v>
      </c>
      <c r="Y101" s="730"/>
    </row>
    <row r="102" spans="1:25" s="685" customFormat="1">
      <c r="A102" s="729" t="s">
        <v>449</v>
      </c>
      <c r="B102" s="729" t="s">
        <v>521</v>
      </c>
      <c r="C102" s="729" t="s">
        <v>230</v>
      </c>
      <c r="D102" s="729" t="s">
        <v>357</v>
      </c>
      <c r="E102" s="729" t="s">
        <v>359</v>
      </c>
      <c r="F102" s="730">
        <v>0</v>
      </c>
      <c r="G102" s="730">
        <v>4</v>
      </c>
      <c r="H102" s="730">
        <v>0</v>
      </c>
      <c r="I102" s="684">
        <f t="shared" si="1"/>
        <v>3</v>
      </c>
      <c r="J102" s="730">
        <v>102</v>
      </c>
      <c r="K102" s="730">
        <v>48</v>
      </c>
      <c r="L102" s="730">
        <v>54</v>
      </c>
      <c r="M102" s="730">
        <v>18</v>
      </c>
      <c r="N102" s="730">
        <v>18</v>
      </c>
      <c r="O102" s="730">
        <v>18</v>
      </c>
      <c r="P102" s="730">
        <v>0</v>
      </c>
      <c r="Q102" s="730">
        <v>18</v>
      </c>
      <c r="R102" s="730">
        <v>0</v>
      </c>
      <c r="S102" s="730">
        <v>0</v>
      </c>
      <c r="T102" s="730">
        <v>0</v>
      </c>
      <c r="U102" s="730">
        <v>3</v>
      </c>
      <c r="V102" s="730">
        <v>0</v>
      </c>
      <c r="W102" s="730">
        <v>0</v>
      </c>
      <c r="X102" s="730">
        <v>0</v>
      </c>
      <c r="Y102" s="730">
        <v>0</v>
      </c>
    </row>
    <row r="103" spans="1:25" s="683" customFormat="1">
      <c r="A103" s="729" t="s">
        <v>450</v>
      </c>
      <c r="B103" s="729" t="s">
        <v>257</v>
      </c>
      <c r="C103" s="729" t="s">
        <v>230</v>
      </c>
      <c r="D103" s="729" t="s">
        <v>357</v>
      </c>
      <c r="E103" s="729" t="s">
        <v>359</v>
      </c>
      <c r="F103" s="730">
        <v>0</v>
      </c>
      <c r="G103" s="730">
        <v>4</v>
      </c>
      <c r="H103" s="730">
        <v>0</v>
      </c>
      <c r="I103" s="684">
        <f t="shared" si="1"/>
        <v>3</v>
      </c>
      <c r="J103" s="730">
        <v>102</v>
      </c>
      <c r="K103" s="730">
        <v>48</v>
      </c>
      <c r="L103" s="730">
        <v>54</v>
      </c>
      <c r="M103" s="730">
        <v>18</v>
      </c>
      <c r="N103" s="730">
        <v>18</v>
      </c>
      <c r="O103" s="730">
        <v>18</v>
      </c>
      <c r="P103" s="730">
        <v>0</v>
      </c>
      <c r="Q103" s="730">
        <v>18</v>
      </c>
      <c r="R103" s="730">
        <v>0</v>
      </c>
      <c r="S103" s="730">
        <v>0</v>
      </c>
      <c r="T103" s="730">
        <v>0</v>
      </c>
      <c r="U103" s="730">
        <v>3</v>
      </c>
      <c r="V103" s="730">
        <v>0</v>
      </c>
      <c r="W103" s="730">
        <v>0</v>
      </c>
      <c r="X103" s="730">
        <v>0</v>
      </c>
      <c r="Y103" s="730">
        <v>0</v>
      </c>
    </row>
    <row r="104" spans="1:25">
      <c r="A104" s="729" t="s">
        <v>451</v>
      </c>
      <c r="B104" s="731" t="s">
        <v>456</v>
      </c>
      <c r="C104" s="729"/>
      <c r="D104" s="729" t="s">
        <v>359</v>
      </c>
      <c r="E104" s="729" t="s">
        <v>357</v>
      </c>
      <c r="F104" s="730">
        <v>0</v>
      </c>
      <c r="G104" s="730">
        <v>4</v>
      </c>
      <c r="H104" s="730">
        <v>0</v>
      </c>
      <c r="I104" s="684">
        <f t="shared" si="1"/>
        <v>2</v>
      </c>
      <c r="J104" s="730">
        <v>68</v>
      </c>
      <c r="K104" s="730">
        <v>32</v>
      </c>
      <c r="L104" s="730">
        <v>36</v>
      </c>
      <c r="M104" s="730">
        <v>18</v>
      </c>
      <c r="N104" s="730">
        <v>0</v>
      </c>
      <c r="O104" s="730">
        <v>18</v>
      </c>
      <c r="P104" s="730">
        <v>0</v>
      </c>
      <c r="Q104" s="730">
        <v>0</v>
      </c>
      <c r="R104" s="730">
        <v>0</v>
      </c>
      <c r="S104" s="730">
        <v>0</v>
      </c>
      <c r="T104" s="730">
        <v>0</v>
      </c>
      <c r="U104" s="730">
        <v>2</v>
      </c>
      <c r="V104" s="730">
        <v>0</v>
      </c>
      <c r="W104" s="730">
        <v>0</v>
      </c>
      <c r="X104" s="730">
        <v>0</v>
      </c>
      <c r="Y104" s="730">
        <v>0</v>
      </c>
    </row>
    <row r="105" spans="1:25" s="690" customFormat="1">
      <c r="A105" s="729" t="s">
        <v>453</v>
      </c>
      <c r="B105" s="729" t="s">
        <v>522</v>
      </c>
      <c r="C105" s="729" t="s">
        <v>101</v>
      </c>
      <c r="D105" s="729" t="s">
        <v>357</v>
      </c>
      <c r="E105" s="729" t="s">
        <v>359</v>
      </c>
      <c r="F105" s="730">
        <v>0</v>
      </c>
      <c r="G105" s="730">
        <v>4</v>
      </c>
      <c r="H105" s="730">
        <v>0</v>
      </c>
      <c r="I105" s="684">
        <f t="shared" si="1"/>
        <v>2</v>
      </c>
      <c r="J105" s="730">
        <v>68</v>
      </c>
      <c r="K105" s="730">
        <v>32</v>
      </c>
      <c r="L105" s="730">
        <v>36</v>
      </c>
      <c r="M105" s="730">
        <v>18</v>
      </c>
      <c r="N105" s="730">
        <v>0</v>
      </c>
      <c r="O105" s="730">
        <v>18</v>
      </c>
      <c r="P105" s="730">
        <v>0</v>
      </c>
      <c r="Q105" s="730">
        <v>0</v>
      </c>
      <c r="R105" s="730">
        <v>0</v>
      </c>
      <c r="S105" s="730">
        <v>0</v>
      </c>
      <c r="T105" s="730">
        <v>0</v>
      </c>
      <c r="U105" s="730">
        <v>2</v>
      </c>
      <c r="V105" s="730">
        <v>0</v>
      </c>
      <c r="W105" s="730">
        <v>0</v>
      </c>
      <c r="X105" s="730">
        <v>0</v>
      </c>
      <c r="Y105" s="730">
        <v>0</v>
      </c>
    </row>
    <row r="106" spans="1:25" s="690" customFormat="1">
      <c r="A106" s="729" t="s">
        <v>454</v>
      </c>
      <c r="B106" s="729" t="s">
        <v>258</v>
      </c>
      <c r="C106" s="729" t="s">
        <v>101</v>
      </c>
      <c r="D106" s="729" t="s">
        <v>357</v>
      </c>
      <c r="E106" s="729" t="s">
        <v>359</v>
      </c>
      <c r="F106" s="730">
        <v>0</v>
      </c>
      <c r="G106" s="730">
        <v>4</v>
      </c>
      <c r="H106" s="730">
        <v>0</v>
      </c>
      <c r="I106" s="684">
        <f t="shared" si="1"/>
        <v>2</v>
      </c>
      <c r="J106" s="730">
        <v>68</v>
      </c>
      <c r="K106" s="730">
        <v>32</v>
      </c>
      <c r="L106" s="730">
        <v>36</v>
      </c>
      <c r="M106" s="730">
        <v>18</v>
      </c>
      <c r="N106" s="730">
        <v>0</v>
      </c>
      <c r="O106" s="730">
        <v>18</v>
      </c>
      <c r="P106" s="730">
        <v>0</v>
      </c>
      <c r="Q106" s="730">
        <v>0</v>
      </c>
      <c r="R106" s="730">
        <v>0</v>
      </c>
      <c r="S106" s="730">
        <v>0</v>
      </c>
      <c r="T106" s="730">
        <v>0</v>
      </c>
      <c r="U106" s="730">
        <v>2</v>
      </c>
      <c r="V106" s="730">
        <v>0</v>
      </c>
      <c r="W106" s="730">
        <v>0</v>
      </c>
      <c r="X106" s="730">
        <v>0</v>
      </c>
      <c r="Y106" s="730">
        <v>0</v>
      </c>
    </row>
    <row r="107" spans="1:25" s="690" customFormat="1">
      <c r="A107" s="729" t="s">
        <v>455</v>
      </c>
      <c r="B107" s="731" t="s">
        <v>462</v>
      </c>
      <c r="C107" s="729"/>
      <c r="D107" s="729" t="s">
        <v>359</v>
      </c>
      <c r="E107" s="729" t="s">
        <v>357</v>
      </c>
      <c r="F107" s="730">
        <v>4</v>
      </c>
      <c r="G107" s="730">
        <v>0</v>
      </c>
      <c r="H107" s="730">
        <v>0</v>
      </c>
      <c r="I107" s="684">
        <f t="shared" si="1"/>
        <v>5</v>
      </c>
      <c r="J107" s="730">
        <v>170</v>
      </c>
      <c r="K107" s="730">
        <v>98</v>
      </c>
      <c r="L107" s="730">
        <v>72</v>
      </c>
      <c r="M107" s="730">
        <v>36</v>
      </c>
      <c r="N107" s="730">
        <v>18</v>
      </c>
      <c r="O107" s="730">
        <v>18</v>
      </c>
      <c r="P107" s="730">
        <v>0</v>
      </c>
      <c r="Q107" s="730">
        <v>18</v>
      </c>
      <c r="R107" s="730">
        <v>0</v>
      </c>
      <c r="S107" s="730">
        <v>0</v>
      </c>
      <c r="T107" s="730">
        <v>0</v>
      </c>
      <c r="U107" s="730">
        <v>4</v>
      </c>
      <c r="V107" s="730">
        <v>0</v>
      </c>
      <c r="W107" s="730">
        <v>0</v>
      </c>
      <c r="X107" s="730">
        <v>0</v>
      </c>
      <c r="Y107" s="730">
        <v>0</v>
      </c>
    </row>
    <row r="108" spans="1:25" s="690" customFormat="1">
      <c r="A108" s="729" t="s">
        <v>457</v>
      </c>
      <c r="B108" s="729" t="s">
        <v>458</v>
      </c>
      <c r="C108" s="729"/>
      <c r="D108" s="729" t="s">
        <v>359</v>
      </c>
      <c r="E108" s="729" t="s">
        <v>359</v>
      </c>
      <c r="F108" s="730"/>
      <c r="G108" s="730"/>
      <c r="H108" s="730"/>
      <c r="I108" s="684">
        <f t="shared" si="1"/>
        <v>0</v>
      </c>
      <c r="J108" s="730"/>
      <c r="K108" s="730">
        <v>0</v>
      </c>
      <c r="L108" s="730">
        <v>0</v>
      </c>
      <c r="M108" s="730"/>
      <c r="N108" s="730"/>
      <c r="O108" s="730"/>
      <c r="P108" s="730"/>
      <c r="Q108" s="730"/>
      <c r="R108" s="730"/>
      <c r="S108" s="730"/>
      <c r="T108" s="730"/>
      <c r="U108" s="730">
        <v>99</v>
      </c>
      <c r="V108" s="730"/>
      <c r="W108" s="730"/>
      <c r="X108" s="730">
        <v>0</v>
      </c>
      <c r="Y108" s="730"/>
    </row>
    <row r="109" spans="1:25" s="690" customFormat="1">
      <c r="A109" s="729" t="s">
        <v>459</v>
      </c>
      <c r="B109" s="729" t="s">
        <v>523</v>
      </c>
      <c r="C109" s="729" t="s">
        <v>219</v>
      </c>
      <c r="D109" s="729" t="s">
        <v>357</v>
      </c>
      <c r="E109" s="729" t="s">
        <v>359</v>
      </c>
      <c r="F109" s="730">
        <v>4</v>
      </c>
      <c r="G109" s="730">
        <v>0</v>
      </c>
      <c r="H109" s="730">
        <v>0</v>
      </c>
      <c r="I109" s="684">
        <f t="shared" si="1"/>
        <v>5</v>
      </c>
      <c r="J109" s="730">
        <v>170</v>
      </c>
      <c r="K109" s="730">
        <v>98</v>
      </c>
      <c r="L109" s="730">
        <v>72</v>
      </c>
      <c r="M109" s="730">
        <v>36</v>
      </c>
      <c r="N109" s="730">
        <v>18</v>
      </c>
      <c r="O109" s="730">
        <v>18</v>
      </c>
      <c r="P109" s="730">
        <v>0</v>
      </c>
      <c r="Q109" s="730">
        <v>18</v>
      </c>
      <c r="R109" s="730">
        <v>0</v>
      </c>
      <c r="S109" s="730">
        <v>0</v>
      </c>
      <c r="T109" s="730">
        <v>0</v>
      </c>
      <c r="U109" s="730">
        <v>4</v>
      </c>
      <c r="V109" s="730">
        <v>0</v>
      </c>
      <c r="W109" s="730">
        <v>0</v>
      </c>
      <c r="X109" s="730">
        <v>0</v>
      </c>
      <c r="Y109" s="730">
        <v>0</v>
      </c>
    </row>
    <row r="110" spans="1:25" s="690" customFormat="1">
      <c r="A110" s="729" t="s">
        <v>460</v>
      </c>
      <c r="B110" s="729" t="s">
        <v>262</v>
      </c>
      <c r="C110" s="729" t="s">
        <v>219</v>
      </c>
      <c r="D110" s="729" t="s">
        <v>357</v>
      </c>
      <c r="E110" s="729" t="s">
        <v>359</v>
      </c>
      <c r="F110" s="730">
        <v>4</v>
      </c>
      <c r="G110" s="730">
        <v>0</v>
      </c>
      <c r="H110" s="730">
        <v>0</v>
      </c>
      <c r="I110" s="684">
        <f t="shared" si="1"/>
        <v>5</v>
      </c>
      <c r="J110" s="730">
        <v>170</v>
      </c>
      <c r="K110" s="730">
        <v>98</v>
      </c>
      <c r="L110" s="730">
        <v>72</v>
      </c>
      <c r="M110" s="730">
        <v>36</v>
      </c>
      <c r="N110" s="730">
        <v>18</v>
      </c>
      <c r="O110" s="730">
        <v>18</v>
      </c>
      <c r="P110" s="730">
        <v>0</v>
      </c>
      <c r="Q110" s="730">
        <v>18</v>
      </c>
      <c r="R110" s="730">
        <v>0</v>
      </c>
      <c r="S110" s="730">
        <v>0</v>
      </c>
      <c r="T110" s="730">
        <v>0</v>
      </c>
      <c r="U110" s="730">
        <v>4</v>
      </c>
      <c r="V110" s="730">
        <v>0</v>
      </c>
      <c r="W110" s="730">
        <v>0</v>
      </c>
      <c r="X110" s="730">
        <v>0</v>
      </c>
      <c r="Y110" s="730">
        <v>0</v>
      </c>
    </row>
    <row r="111" spans="1:25" s="690" customFormat="1">
      <c r="A111" s="729" t="s">
        <v>461</v>
      </c>
      <c r="B111" s="731" t="s">
        <v>466</v>
      </c>
      <c r="C111" s="729"/>
      <c r="D111" s="729" t="s">
        <v>359</v>
      </c>
      <c r="E111" s="729" t="s">
        <v>357</v>
      </c>
      <c r="F111" s="730">
        <v>5</v>
      </c>
      <c r="G111" s="730">
        <v>0</v>
      </c>
      <c r="H111" s="730">
        <v>0</v>
      </c>
      <c r="I111" s="684">
        <f t="shared" si="1"/>
        <v>4</v>
      </c>
      <c r="J111" s="730">
        <v>136</v>
      </c>
      <c r="K111" s="730">
        <v>64</v>
      </c>
      <c r="L111" s="730">
        <v>72</v>
      </c>
      <c r="M111" s="730">
        <v>36</v>
      </c>
      <c r="N111" s="730">
        <v>18</v>
      </c>
      <c r="O111" s="730">
        <v>18</v>
      </c>
      <c r="P111" s="730">
        <v>0</v>
      </c>
      <c r="Q111" s="730">
        <v>0</v>
      </c>
      <c r="R111" s="730">
        <v>0</v>
      </c>
      <c r="S111" s="730">
        <v>0</v>
      </c>
      <c r="T111" s="730">
        <v>0</v>
      </c>
      <c r="U111" s="730">
        <v>0</v>
      </c>
      <c r="V111" s="730">
        <v>4</v>
      </c>
      <c r="W111" s="730">
        <v>0</v>
      </c>
      <c r="X111" s="730">
        <v>0</v>
      </c>
      <c r="Y111" s="730">
        <v>0</v>
      </c>
    </row>
    <row r="112" spans="1:25" s="690" customFormat="1">
      <c r="A112" s="729" t="s">
        <v>463</v>
      </c>
      <c r="B112" s="729" t="s">
        <v>524</v>
      </c>
      <c r="C112" s="729" t="s">
        <v>219</v>
      </c>
      <c r="D112" s="729" t="s">
        <v>357</v>
      </c>
      <c r="E112" s="729" t="s">
        <v>359</v>
      </c>
      <c r="F112" s="730">
        <v>5</v>
      </c>
      <c r="G112" s="730">
        <v>0</v>
      </c>
      <c r="H112" s="730">
        <v>0</v>
      </c>
      <c r="I112" s="684">
        <f t="shared" si="1"/>
        <v>4</v>
      </c>
      <c r="J112" s="730">
        <v>136</v>
      </c>
      <c r="K112" s="730">
        <v>64</v>
      </c>
      <c r="L112" s="730">
        <v>72</v>
      </c>
      <c r="M112" s="730">
        <v>36</v>
      </c>
      <c r="N112" s="730">
        <v>18</v>
      </c>
      <c r="O112" s="730">
        <v>18</v>
      </c>
      <c r="P112" s="730">
        <v>0</v>
      </c>
      <c r="Q112" s="730">
        <v>0</v>
      </c>
      <c r="R112" s="730">
        <v>0</v>
      </c>
      <c r="S112" s="730">
        <v>0</v>
      </c>
      <c r="T112" s="730">
        <v>0</v>
      </c>
      <c r="U112" s="730">
        <v>0</v>
      </c>
      <c r="V112" s="730">
        <v>4</v>
      </c>
      <c r="W112" s="730">
        <v>0</v>
      </c>
      <c r="X112" s="730">
        <v>0</v>
      </c>
      <c r="Y112" s="730">
        <v>0</v>
      </c>
    </row>
    <row r="113" spans="1:25" s="690" customFormat="1">
      <c r="A113" s="729" t="s">
        <v>464</v>
      </c>
      <c r="B113" s="729" t="s">
        <v>263</v>
      </c>
      <c r="C113" s="729" t="s">
        <v>219</v>
      </c>
      <c r="D113" s="729" t="s">
        <v>357</v>
      </c>
      <c r="E113" s="729" t="s">
        <v>359</v>
      </c>
      <c r="F113" s="730">
        <v>5</v>
      </c>
      <c r="G113" s="730">
        <v>0</v>
      </c>
      <c r="H113" s="730">
        <v>0</v>
      </c>
      <c r="I113" s="684">
        <f t="shared" si="1"/>
        <v>4</v>
      </c>
      <c r="J113" s="730">
        <v>136</v>
      </c>
      <c r="K113" s="730">
        <v>64</v>
      </c>
      <c r="L113" s="730">
        <v>72</v>
      </c>
      <c r="M113" s="730">
        <v>36</v>
      </c>
      <c r="N113" s="730">
        <v>18</v>
      </c>
      <c r="O113" s="730">
        <v>18</v>
      </c>
      <c r="P113" s="730">
        <v>0</v>
      </c>
      <c r="Q113" s="730">
        <v>0</v>
      </c>
      <c r="R113" s="730">
        <v>0</v>
      </c>
      <c r="S113" s="730">
        <v>0</v>
      </c>
      <c r="T113" s="730">
        <v>0</v>
      </c>
      <c r="U113" s="730">
        <v>0</v>
      </c>
      <c r="V113" s="730">
        <v>4</v>
      </c>
      <c r="W113" s="730">
        <v>0</v>
      </c>
      <c r="X113" s="730">
        <v>0</v>
      </c>
      <c r="Y113" s="730">
        <v>0</v>
      </c>
    </row>
    <row r="114" spans="1:25" s="690" customFormat="1">
      <c r="A114" s="729" t="s">
        <v>465</v>
      </c>
      <c r="B114" s="731" t="s">
        <v>525</v>
      </c>
      <c r="C114" s="729"/>
      <c r="D114" s="729" t="s">
        <v>359</v>
      </c>
      <c r="E114" s="729" t="s">
        <v>357</v>
      </c>
      <c r="F114" s="730">
        <v>5</v>
      </c>
      <c r="G114" s="730">
        <v>0</v>
      </c>
      <c r="H114" s="730">
        <v>0</v>
      </c>
      <c r="I114" s="684">
        <f t="shared" si="1"/>
        <v>4</v>
      </c>
      <c r="J114" s="730">
        <v>136</v>
      </c>
      <c r="K114" s="730">
        <v>82</v>
      </c>
      <c r="L114" s="730">
        <v>54</v>
      </c>
      <c r="M114" s="730">
        <v>36</v>
      </c>
      <c r="N114" s="730">
        <v>18</v>
      </c>
      <c r="O114" s="730">
        <v>0</v>
      </c>
      <c r="P114" s="730">
        <v>0</v>
      </c>
      <c r="Q114" s="730">
        <v>0</v>
      </c>
      <c r="R114" s="730">
        <v>0</v>
      </c>
      <c r="S114" s="730">
        <v>0</v>
      </c>
      <c r="T114" s="730">
        <v>0</v>
      </c>
      <c r="U114" s="730">
        <v>0</v>
      </c>
      <c r="V114" s="730">
        <v>3</v>
      </c>
      <c r="W114" s="730">
        <v>0</v>
      </c>
      <c r="X114" s="730">
        <v>0</v>
      </c>
      <c r="Y114" s="730">
        <v>0</v>
      </c>
    </row>
    <row r="115" spans="1:25" s="690" customFormat="1">
      <c r="A115" s="729" t="s">
        <v>467</v>
      </c>
      <c r="B115" s="729" t="s">
        <v>526</v>
      </c>
      <c r="C115" s="729" t="s">
        <v>214</v>
      </c>
      <c r="D115" s="729" t="s">
        <v>357</v>
      </c>
      <c r="E115" s="729" t="s">
        <v>359</v>
      </c>
      <c r="F115" s="730">
        <v>5</v>
      </c>
      <c r="G115" s="730">
        <v>0</v>
      </c>
      <c r="H115" s="730">
        <v>0</v>
      </c>
      <c r="I115" s="684">
        <f t="shared" si="1"/>
        <v>4</v>
      </c>
      <c r="J115" s="730">
        <v>136</v>
      </c>
      <c r="K115" s="730">
        <v>82</v>
      </c>
      <c r="L115" s="730">
        <v>54</v>
      </c>
      <c r="M115" s="730">
        <v>36</v>
      </c>
      <c r="N115" s="730">
        <v>18</v>
      </c>
      <c r="O115" s="730">
        <v>0</v>
      </c>
      <c r="P115" s="730">
        <v>0</v>
      </c>
      <c r="Q115" s="730">
        <v>0</v>
      </c>
      <c r="R115" s="730">
        <v>0</v>
      </c>
      <c r="S115" s="730">
        <v>0</v>
      </c>
      <c r="T115" s="730">
        <v>0</v>
      </c>
      <c r="U115" s="730">
        <v>0</v>
      </c>
      <c r="V115" s="730">
        <v>3</v>
      </c>
      <c r="W115" s="730">
        <v>0</v>
      </c>
      <c r="X115" s="730">
        <v>0</v>
      </c>
      <c r="Y115" s="730">
        <v>0</v>
      </c>
    </row>
    <row r="116" spans="1:25" s="690" customFormat="1">
      <c r="A116" s="729" t="s">
        <v>468</v>
      </c>
      <c r="B116" s="729" t="s">
        <v>264</v>
      </c>
      <c r="C116" s="729" t="s">
        <v>214</v>
      </c>
      <c r="D116" s="729" t="s">
        <v>357</v>
      </c>
      <c r="E116" s="729" t="s">
        <v>359</v>
      </c>
      <c r="F116" s="730">
        <v>5</v>
      </c>
      <c r="G116" s="730">
        <v>0</v>
      </c>
      <c r="H116" s="730"/>
      <c r="I116" s="684">
        <f t="shared" si="1"/>
        <v>4</v>
      </c>
      <c r="J116" s="730">
        <v>136</v>
      </c>
      <c r="K116" s="730">
        <v>82</v>
      </c>
      <c r="L116" s="730">
        <v>54</v>
      </c>
      <c r="M116" s="730">
        <v>36</v>
      </c>
      <c r="N116" s="730">
        <v>18</v>
      </c>
      <c r="O116" s="730">
        <v>0</v>
      </c>
      <c r="P116" s="730"/>
      <c r="Q116" s="730"/>
      <c r="R116" s="730"/>
      <c r="S116" s="730"/>
      <c r="T116" s="730">
        <v>0</v>
      </c>
      <c r="U116" s="730"/>
      <c r="V116" s="730">
        <v>3</v>
      </c>
      <c r="W116" s="730"/>
      <c r="X116" s="730"/>
      <c r="Y116" s="730">
        <v>0</v>
      </c>
    </row>
    <row r="117" spans="1:25" s="690" customFormat="1">
      <c r="A117" s="729" t="s">
        <v>527</v>
      </c>
      <c r="B117" s="731" t="s">
        <v>528</v>
      </c>
      <c r="C117" s="729"/>
      <c r="D117" s="729" t="s">
        <v>359</v>
      </c>
      <c r="E117" s="729" t="s">
        <v>357</v>
      </c>
      <c r="F117" s="730">
        <v>0</v>
      </c>
      <c r="G117" s="730">
        <v>8</v>
      </c>
      <c r="H117" s="730">
        <v>0</v>
      </c>
      <c r="I117" s="684">
        <f t="shared" si="1"/>
        <v>2</v>
      </c>
      <c r="J117" s="730">
        <v>68</v>
      </c>
      <c r="K117" s="730">
        <v>24</v>
      </c>
      <c r="L117" s="730">
        <v>44</v>
      </c>
      <c r="M117" s="730">
        <v>22</v>
      </c>
      <c r="N117" s="730">
        <v>22</v>
      </c>
      <c r="O117" s="730">
        <v>0</v>
      </c>
      <c r="P117" s="730">
        <v>0</v>
      </c>
      <c r="Q117" s="730">
        <v>0</v>
      </c>
      <c r="R117" s="730">
        <v>0</v>
      </c>
      <c r="S117" s="730">
        <v>0</v>
      </c>
      <c r="T117" s="730">
        <v>0</v>
      </c>
      <c r="U117" s="730">
        <v>0</v>
      </c>
      <c r="V117" s="730">
        <v>0</v>
      </c>
      <c r="W117" s="730">
        <v>0</v>
      </c>
      <c r="X117" s="730">
        <v>0</v>
      </c>
      <c r="Y117" s="730">
        <v>4</v>
      </c>
    </row>
    <row r="118" spans="1:25" s="690" customFormat="1">
      <c r="A118" s="729" t="s">
        <v>529</v>
      </c>
      <c r="B118" s="729" t="s">
        <v>530</v>
      </c>
      <c r="C118" s="729" t="s">
        <v>219</v>
      </c>
      <c r="D118" s="729" t="s">
        <v>357</v>
      </c>
      <c r="E118" s="729" t="s">
        <v>359</v>
      </c>
      <c r="F118" s="730">
        <v>0</v>
      </c>
      <c r="G118" s="730">
        <v>8</v>
      </c>
      <c r="H118" s="730">
        <v>0</v>
      </c>
      <c r="I118" s="684">
        <f t="shared" si="1"/>
        <v>2</v>
      </c>
      <c r="J118" s="730">
        <v>68</v>
      </c>
      <c r="K118" s="730">
        <v>24</v>
      </c>
      <c r="L118" s="730">
        <v>44</v>
      </c>
      <c r="M118" s="730">
        <v>22</v>
      </c>
      <c r="N118" s="730">
        <v>22</v>
      </c>
      <c r="O118" s="730">
        <v>0</v>
      </c>
      <c r="P118" s="730">
        <v>0</v>
      </c>
      <c r="Q118" s="730">
        <v>0</v>
      </c>
      <c r="R118" s="730">
        <v>0</v>
      </c>
      <c r="S118" s="730">
        <v>0</v>
      </c>
      <c r="T118" s="730">
        <v>0</v>
      </c>
      <c r="U118" s="730">
        <v>0</v>
      </c>
      <c r="V118" s="730">
        <v>0</v>
      </c>
      <c r="W118" s="730">
        <v>0</v>
      </c>
      <c r="X118" s="730">
        <v>0</v>
      </c>
      <c r="Y118" s="730">
        <v>4</v>
      </c>
    </row>
    <row r="119" spans="1:25" s="690" customFormat="1">
      <c r="A119" s="729" t="s">
        <v>531</v>
      </c>
      <c r="B119" s="729" t="s">
        <v>291</v>
      </c>
      <c r="C119" s="729" t="s">
        <v>219</v>
      </c>
      <c r="D119" s="729" t="s">
        <v>357</v>
      </c>
      <c r="E119" s="729" t="s">
        <v>359</v>
      </c>
      <c r="F119" s="730"/>
      <c r="G119" s="730">
        <v>8</v>
      </c>
      <c r="H119" s="730"/>
      <c r="I119" s="684">
        <f t="shared" si="1"/>
        <v>2</v>
      </c>
      <c r="J119" s="730">
        <v>68</v>
      </c>
      <c r="K119" s="730">
        <v>24</v>
      </c>
      <c r="L119" s="730">
        <v>44</v>
      </c>
      <c r="M119" s="730">
        <v>22</v>
      </c>
      <c r="N119" s="730">
        <v>22</v>
      </c>
      <c r="O119" s="730"/>
      <c r="P119" s="730"/>
      <c r="Q119" s="730"/>
      <c r="R119" s="730"/>
      <c r="S119" s="730"/>
      <c r="T119" s="730"/>
      <c r="U119" s="730"/>
      <c r="V119" s="730"/>
      <c r="W119" s="730"/>
      <c r="X119" s="730"/>
      <c r="Y119" s="730">
        <v>4</v>
      </c>
    </row>
    <row r="120" spans="1:25" s="690" customFormat="1">
      <c r="A120" s="729" t="s">
        <v>532</v>
      </c>
      <c r="B120" s="731" t="s">
        <v>533</v>
      </c>
      <c r="C120" s="729"/>
      <c r="D120" s="729" t="s">
        <v>359</v>
      </c>
      <c r="E120" s="729" t="s">
        <v>357</v>
      </c>
      <c r="F120" s="730">
        <v>0</v>
      </c>
      <c r="G120" s="730">
        <v>8</v>
      </c>
      <c r="H120" s="730">
        <v>0</v>
      </c>
      <c r="I120" s="684">
        <f t="shared" si="1"/>
        <v>2</v>
      </c>
      <c r="J120" s="730">
        <v>68</v>
      </c>
      <c r="K120" s="730">
        <v>24</v>
      </c>
      <c r="L120" s="730">
        <v>44</v>
      </c>
      <c r="M120" s="730">
        <v>22</v>
      </c>
      <c r="N120" s="730">
        <v>22</v>
      </c>
      <c r="O120" s="730">
        <v>0</v>
      </c>
      <c r="P120" s="730">
        <v>0</v>
      </c>
      <c r="Q120" s="730">
        <v>0</v>
      </c>
      <c r="R120" s="730">
        <v>0</v>
      </c>
      <c r="S120" s="730">
        <v>0</v>
      </c>
      <c r="T120" s="730">
        <v>0</v>
      </c>
      <c r="U120" s="730">
        <v>0</v>
      </c>
      <c r="V120" s="730">
        <v>0</v>
      </c>
      <c r="W120" s="730">
        <v>0</v>
      </c>
      <c r="X120" s="730">
        <v>0</v>
      </c>
      <c r="Y120" s="730">
        <v>4</v>
      </c>
    </row>
    <row r="121" spans="1:25" s="690" customFormat="1">
      <c r="A121" s="729" t="s">
        <v>534</v>
      </c>
      <c r="B121" s="729" t="s">
        <v>535</v>
      </c>
      <c r="C121" s="729" t="s">
        <v>219</v>
      </c>
      <c r="D121" s="729" t="s">
        <v>357</v>
      </c>
      <c r="E121" s="729" t="s">
        <v>359</v>
      </c>
      <c r="F121" s="730"/>
      <c r="G121" s="730">
        <v>8</v>
      </c>
      <c r="H121" s="730"/>
      <c r="I121" s="684">
        <f t="shared" si="1"/>
        <v>2</v>
      </c>
      <c r="J121" s="730">
        <v>68</v>
      </c>
      <c r="K121" s="730">
        <v>24</v>
      </c>
      <c r="L121" s="730">
        <v>44</v>
      </c>
      <c r="M121" s="730">
        <v>22</v>
      </c>
      <c r="N121" s="730">
        <v>22</v>
      </c>
      <c r="O121" s="730"/>
      <c r="P121" s="730"/>
      <c r="Q121" s="730"/>
      <c r="R121" s="730"/>
      <c r="S121" s="730"/>
      <c r="T121" s="730"/>
      <c r="U121" s="730"/>
      <c r="V121" s="730"/>
      <c r="W121" s="730"/>
      <c r="X121" s="730"/>
      <c r="Y121" s="730">
        <v>4</v>
      </c>
    </row>
    <row r="122" spans="1:25" s="690" customFormat="1">
      <c r="A122" s="729" t="s">
        <v>536</v>
      </c>
      <c r="B122" s="729" t="s">
        <v>266</v>
      </c>
      <c r="C122" s="729" t="s">
        <v>219</v>
      </c>
      <c r="D122" s="729" t="s">
        <v>357</v>
      </c>
      <c r="E122" s="729" t="s">
        <v>359</v>
      </c>
      <c r="F122" s="730"/>
      <c r="G122" s="730">
        <v>8</v>
      </c>
      <c r="H122" s="730"/>
      <c r="I122" s="684">
        <f t="shared" si="1"/>
        <v>2</v>
      </c>
      <c r="J122" s="730">
        <v>68</v>
      </c>
      <c r="K122" s="730">
        <v>24</v>
      </c>
      <c r="L122" s="730">
        <v>44</v>
      </c>
      <c r="M122" s="730">
        <v>22</v>
      </c>
      <c r="N122" s="730">
        <v>22</v>
      </c>
      <c r="O122" s="730"/>
      <c r="P122" s="730"/>
      <c r="Q122" s="730"/>
      <c r="R122" s="730"/>
      <c r="S122" s="730"/>
      <c r="T122" s="730"/>
      <c r="U122" s="730"/>
      <c r="V122" s="730"/>
      <c r="W122" s="730"/>
      <c r="X122" s="730"/>
      <c r="Y122" s="730">
        <v>4</v>
      </c>
    </row>
    <row r="123" spans="1:25" s="690" customFormat="1">
      <c r="A123" s="729" t="s">
        <v>537</v>
      </c>
      <c r="B123" s="731" t="s">
        <v>538</v>
      </c>
      <c r="C123" s="729"/>
      <c r="D123" s="729" t="s">
        <v>359</v>
      </c>
      <c r="E123" s="729" t="s">
        <v>357</v>
      </c>
      <c r="F123" s="730">
        <v>0</v>
      </c>
      <c r="G123" s="730">
        <v>8</v>
      </c>
      <c r="H123" s="730">
        <v>0</v>
      </c>
      <c r="I123" s="684">
        <f t="shared" si="1"/>
        <v>2</v>
      </c>
      <c r="J123" s="730">
        <v>68</v>
      </c>
      <c r="K123" s="730">
        <v>24</v>
      </c>
      <c r="L123" s="730">
        <v>44</v>
      </c>
      <c r="M123" s="730">
        <v>22</v>
      </c>
      <c r="N123" s="730">
        <v>22</v>
      </c>
      <c r="O123" s="730">
        <v>0</v>
      </c>
      <c r="P123" s="730">
        <v>0</v>
      </c>
      <c r="Q123" s="730">
        <v>0</v>
      </c>
      <c r="R123" s="730">
        <v>0</v>
      </c>
      <c r="S123" s="730">
        <v>0</v>
      </c>
      <c r="T123" s="730">
        <v>0</v>
      </c>
      <c r="U123" s="730">
        <v>0</v>
      </c>
      <c r="V123" s="730">
        <v>0</v>
      </c>
      <c r="W123" s="730">
        <v>0</v>
      </c>
      <c r="X123" s="730">
        <v>0</v>
      </c>
      <c r="Y123" s="730">
        <v>4</v>
      </c>
    </row>
    <row r="124" spans="1:25" s="690" customFormat="1">
      <c r="A124" s="729" t="s">
        <v>539</v>
      </c>
      <c r="B124" s="729" t="s">
        <v>265</v>
      </c>
      <c r="C124" s="729" t="s">
        <v>219</v>
      </c>
      <c r="D124" s="729" t="s">
        <v>357</v>
      </c>
      <c r="E124" s="729" t="s">
        <v>359</v>
      </c>
      <c r="F124" s="730"/>
      <c r="G124" s="730">
        <v>8</v>
      </c>
      <c r="H124" s="730"/>
      <c r="I124" s="684">
        <f t="shared" si="1"/>
        <v>2</v>
      </c>
      <c r="J124" s="730">
        <v>68</v>
      </c>
      <c r="K124" s="730">
        <v>24</v>
      </c>
      <c r="L124" s="730">
        <v>44</v>
      </c>
      <c r="M124" s="730">
        <v>22</v>
      </c>
      <c r="N124" s="730">
        <v>22</v>
      </c>
      <c r="O124" s="730"/>
      <c r="P124" s="730"/>
      <c r="Q124" s="730"/>
      <c r="R124" s="730"/>
      <c r="S124" s="730"/>
      <c r="T124" s="730"/>
      <c r="U124" s="730"/>
      <c r="V124" s="730"/>
      <c r="W124" s="730"/>
      <c r="X124" s="730"/>
      <c r="Y124" s="730">
        <v>4</v>
      </c>
    </row>
    <row r="125" spans="1:25" s="690" customFormat="1">
      <c r="A125" s="729" t="s">
        <v>540</v>
      </c>
      <c r="B125" s="729" t="s">
        <v>267</v>
      </c>
      <c r="C125" s="729" t="s">
        <v>219</v>
      </c>
      <c r="D125" s="729" t="s">
        <v>357</v>
      </c>
      <c r="E125" s="729" t="s">
        <v>359</v>
      </c>
      <c r="F125" s="730"/>
      <c r="G125" s="730">
        <v>8</v>
      </c>
      <c r="H125" s="730"/>
      <c r="I125" s="684">
        <f t="shared" si="1"/>
        <v>2</v>
      </c>
      <c r="J125" s="730">
        <v>68</v>
      </c>
      <c r="K125" s="730">
        <v>24</v>
      </c>
      <c r="L125" s="730">
        <v>44</v>
      </c>
      <c r="M125" s="730">
        <v>22</v>
      </c>
      <c r="N125" s="730">
        <v>22</v>
      </c>
      <c r="O125" s="730"/>
      <c r="P125" s="730"/>
      <c r="Q125" s="730"/>
      <c r="R125" s="730"/>
      <c r="S125" s="730"/>
      <c r="T125" s="730"/>
      <c r="U125" s="730"/>
      <c r="V125" s="730"/>
      <c r="W125" s="730"/>
      <c r="X125" s="730"/>
      <c r="Y125" s="730">
        <v>4</v>
      </c>
    </row>
    <row r="126" spans="1:25" s="690" customFormat="1">
      <c r="A126" s="680" t="s">
        <v>469</v>
      </c>
      <c r="B126" s="680" t="s">
        <v>470</v>
      </c>
      <c r="C126" s="680"/>
      <c r="D126" s="680" t="s">
        <v>357</v>
      </c>
      <c r="E126" s="680" t="s">
        <v>357</v>
      </c>
      <c r="F126" s="681">
        <v>0</v>
      </c>
      <c r="G126" s="681">
        <v>0</v>
      </c>
      <c r="H126" s="681">
        <v>0</v>
      </c>
      <c r="I126" s="682">
        <v>2</v>
      </c>
      <c r="J126" s="681">
        <v>396</v>
      </c>
      <c r="K126" s="681">
        <v>0</v>
      </c>
      <c r="L126" s="681">
        <v>0</v>
      </c>
      <c r="M126" s="681">
        <v>0</v>
      </c>
      <c r="N126" s="681">
        <v>0</v>
      </c>
      <c r="O126" s="681">
        <v>0</v>
      </c>
      <c r="P126" s="681">
        <v>0</v>
      </c>
      <c r="Q126" s="681">
        <v>0</v>
      </c>
      <c r="R126" s="681">
        <v>0</v>
      </c>
      <c r="S126" s="681">
        <v>0</v>
      </c>
      <c r="T126" s="681">
        <v>0</v>
      </c>
      <c r="U126" s="681">
        <v>0</v>
      </c>
      <c r="V126" s="681">
        <v>0</v>
      </c>
      <c r="W126" s="681">
        <v>0</v>
      </c>
      <c r="X126" s="681">
        <v>0</v>
      </c>
      <c r="Y126" s="681">
        <v>0</v>
      </c>
    </row>
    <row r="127" spans="1:25" s="690" customFormat="1">
      <c r="A127" s="733" t="s">
        <v>471</v>
      </c>
      <c r="B127" s="733" t="s">
        <v>18</v>
      </c>
      <c r="C127" s="733" t="s">
        <v>472</v>
      </c>
      <c r="D127" s="733" t="s">
        <v>359</v>
      </c>
      <c r="E127" s="733" t="s">
        <v>359</v>
      </c>
      <c r="F127" s="734">
        <v>0</v>
      </c>
      <c r="G127" s="734">
        <v>0</v>
      </c>
      <c r="H127" s="734">
        <v>1</v>
      </c>
      <c r="I127" s="684"/>
      <c r="J127" s="734">
        <v>90</v>
      </c>
      <c r="K127" s="734"/>
      <c r="L127" s="734">
        <v>90</v>
      </c>
      <c r="M127" s="734">
        <v>0</v>
      </c>
      <c r="N127" s="734">
        <v>0</v>
      </c>
      <c r="O127" s="734">
        <v>90</v>
      </c>
      <c r="P127" s="734">
        <v>0</v>
      </c>
      <c r="Q127" s="734">
        <v>0</v>
      </c>
      <c r="R127" s="734">
        <v>5</v>
      </c>
      <c r="S127" s="734">
        <v>0</v>
      </c>
      <c r="T127" s="734">
        <v>0</v>
      </c>
      <c r="U127" s="734">
        <v>0</v>
      </c>
      <c r="V127" s="734">
        <v>0</v>
      </c>
      <c r="W127" s="734">
        <v>0</v>
      </c>
      <c r="X127" s="734">
        <v>0</v>
      </c>
      <c r="Y127" s="734">
        <v>0</v>
      </c>
    </row>
    <row r="128" spans="1:25" s="690" customFormat="1">
      <c r="A128" s="733" t="s">
        <v>473</v>
      </c>
      <c r="B128" s="733" t="s">
        <v>18</v>
      </c>
      <c r="C128" s="733" t="s">
        <v>472</v>
      </c>
      <c r="D128" s="733" t="s">
        <v>359</v>
      </c>
      <c r="E128" s="733" t="s">
        <v>359</v>
      </c>
      <c r="F128" s="734">
        <v>0</v>
      </c>
      <c r="G128" s="734">
        <v>0</v>
      </c>
      <c r="H128" s="734">
        <v>2</v>
      </c>
      <c r="I128" s="684">
        <v>1</v>
      </c>
      <c r="J128" s="734">
        <v>108</v>
      </c>
      <c r="K128" s="734"/>
      <c r="L128" s="734">
        <v>108</v>
      </c>
      <c r="M128" s="734">
        <v>0</v>
      </c>
      <c r="N128" s="734">
        <v>0</v>
      </c>
      <c r="O128" s="734">
        <v>108</v>
      </c>
      <c r="P128" s="734">
        <v>0</v>
      </c>
      <c r="Q128" s="734">
        <v>0</v>
      </c>
      <c r="R128" s="734">
        <v>0</v>
      </c>
      <c r="S128" s="734">
        <v>6</v>
      </c>
      <c r="T128" s="734">
        <v>0</v>
      </c>
      <c r="U128" s="734">
        <v>0</v>
      </c>
      <c r="V128" s="734">
        <v>0</v>
      </c>
      <c r="W128" s="734">
        <v>0</v>
      </c>
      <c r="X128" s="734">
        <v>0</v>
      </c>
      <c r="Y128" s="734">
        <v>0</v>
      </c>
    </row>
    <row r="129" spans="1:251" s="690" customFormat="1">
      <c r="A129" s="733" t="s">
        <v>474</v>
      </c>
      <c r="B129" s="733" t="s">
        <v>18</v>
      </c>
      <c r="C129" s="733" t="s">
        <v>472</v>
      </c>
      <c r="D129" s="733" t="s">
        <v>359</v>
      </c>
      <c r="E129" s="733" t="s">
        <v>359</v>
      </c>
      <c r="F129" s="734">
        <v>0</v>
      </c>
      <c r="G129" s="734">
        <v>0</v>
      </c>
      <c r="H129" s="734">
        <v>3</v>
      </c>
      <c r="I129" s="684"/>
      <c r="J129" s="734">
        <v>90</v>
      </c>
      <c r="K129" s="734"/>
      <c r="L129" s="734">
        <v>90</v>
      </c>
      <c r="M129" s="734">
        <v>0</v>
      </c>
      <c r="N129" s="734">
        <v>0</v>
      </c>
      <c r="O129" s="734">
        <v>90</v>
      </c>
      <c r="P129" s="734">
        <v>0</v>
      </c>
      <c r="Q129" s="734">
        <v>0</v>
      </c>
      <c r="R129" s="734">
        <v>0</v>
      </c>
      <c r="S129" s="734">
        <v>0</v>
      </c>
      <c r="T129" s="734">
        <v>5</v>
      </c>
      <c r="U129" s="734">
        <v>0</v>
      </c>
      <c r="V129" s="734">
        <v>0</v>
      </c>
      <c r="W129" s="734">
        <v>0</v>
      </c>
      <c r="X129" s="734">
        <v>0</v>
      </c>
      <c r="Y129" s="734">
        <v>0</v>
      </c>
    </row>
    <row r="130" spans="1:251" s="690" customFormat="1">
      <c r="A130" s="733" t="s">
        <v>475</v>
      </c>
      <c r="B130" s="733" t="s">
        <v>18</v>
      </c>
      <c r="C130" s="733" t="s">
        <v>472</v>
      </c>
      <c r="D130" s="733" t="s">
        <v>359</v>
      </c>
      <c r="E130" s="733" t="s">
        <v>359</v>
      </c>
      <c r="F130" s="734">
        <v>0</v>
      </c>
      <c r="G130" s="734">
        <v>0</v>
      </c>
      <c r="H130" s="734">
        <v>4</v>
      </c>
      <c r="I130" s="684">
        <v>1</v>
      </c>
      <c r="J130" s="734">
        <v>108</v>
      </c>
      <c r="K130" s="734"/>
      <c r="L130" s="734">
        <v>108</v>
      </c>
      <c r="M130" s="734">
        <v>0</v>
      </c>
      <c r="N130" s="734">
        <v>0</v>
      </c>
      <c r="O130" s="734">
        <v>108</v>
      </c>
      <c r="P130" s="734">
        <v>0</v>
      </c>
      <c r="Q130" s="734">
        <v>0</v>
      </c>
      <c r="R130" s="734">
        <v>0</v>
      </c>
      <c r="S130" s="734">
        <v>0</v>
      </c>
      <c r="T130" s="734">
        <v>0</v>
      </c>
      <c r="U130" s="734">
        <v>6</v>
      </c>
      <c r="V130" s="734">
        <v>0</v>
      </c>
      <c r="W130" s="734">
        <v>0</v>
      </c>
      <c r="X130" s="734">
        <v>0</v>
      </c>
      <c r="Y130" s="734">
        <v>0</v>
      </c>
    </row>
    <row r="131" spans="1:251">
      <c r="A131" s="691"/>
      <c r="B131" s="691"/>
      <c r="C131" s="691"/>
      <c r="D131" s="691"/>
      <c r="E131" s="691"/>
      <c r="F131" s="692"/>
      <c r="G131" s="692"/>
      <c r="H131" s="692"/>
      <c r="I131" s="692"/>
      <c r="J131" s="693"/>
      <c r="K131" s="693"/>
      <c r="L131" s="693"/>
      <c r="M131" s="693"/>
      <c r="N131" s="693"/>
      <c r="O131" s="693"/>
      <c r="P131" s="693"/>
      <c r="Q131" s="693"/>
      <c r="R131" s="693"/>
      <c r="S131" s="693"/>
      <c r="T131" s="693"/>
      <c r="U131" s="693"/>
      <c r="V131" s="693"/>
      <c r="W131" s="693"/>
      <c r="X131" s="693"/>
      <c r="Y131" s="693"/>
    </row>
    <row r="132" spans="1:251">
      <c r="A132" s="694" t="s">
        <v>552</v>
      </c>
      <c r="B132" s="694"/>
      <c r="C132" s="694"/>
      <c r="D132" s="694"/>
      <c r="E132" s="694"/>
      <c r="F132" s="694"/>
      <c r="G132" s="694"/>
      <c r="H132" s="694"/>
      <c r="I132" s="694"/>
      <c r="J132" s="695"/>
      <c r="K132" s="695"/>
      <c r="L132" s="695"/>
      <c r="M132" s="695"/>
      <c r="N132" s="695"/>
      <c r="O132" s="695"/>
      <c r="P132" s="695"/>
      <c r="Q132" s="695"/>
      <c r="R132" s="695"/>
      <c r="S132" s="695"/>
      <c r="T132" s="695"/>
      <c r="U132" s="695"/>
      <c r="V132" s="695"/>
      <c r="W132" s="695"/>
      <c r="X132" s="695"/>
      <c r="Y132" s="695"/>
      <c r="Z132" s="696"/>
      <c r="AA132" s="696"/>
      <c r="AB132" s="696"/>
      <c r="AC132" s="696"/>
      <c r="AD132" s="696"/>
      <c r="AE132" s="696"/>
      <c r="AF132" s="696"/>
      <c r="AG132" s="696"/>
      <c r="AH132" s="696"/>
      <c r="AI132" s="696"/>
      <c r="AJ132" s="696"/>
      <c r="AK132" s="696"/>
      <c r="AL132" s="696"/>
      <c r="AM132" s="696"/>
      <c r="AN132" s="696"/>
      <c r="AO132" s="696"/>
      <c r="AP132" s="696"/>
      <c r="AQ132" s="696"/>
      <c r="AR132" s="696"/>
      <c r="AS132" s="696"/>
      <c r="AT132" s="696"/>
      <c r="AU132" s="696"/>
      <c r="AV132" s="696"/>
      <c r="AW132" s="696"/>
      <c r="AX132" s="696"/>
      <c r="AY132" s="696"/>
      <c r="AZ132" s="696"/>
      <c r="BA132" s="696"/>
      <c r="BB132" s="696"/>
      <c r="BC132" s="696"/>
      <c r="BD132" s="696"/>
      <c r="BE132" s="696"/>
      <c r="BF132" s="696"/>
      <c r="BG132" s="696"/>
      <c r="BH132" s="696"/>
      <c r="BI132" s="696"/>
      <c r="BJ132" s="696"/>
      <c r="BK132" s="696"/>
      <c r="BL132" s="696"/>
      <c r="BM132" s="696"/>
      <c r="BN132" s="696"/>
      <c r="BO132" s="696"/>
      <c r="BP132" s="696"/>
      <c r="BQ132" s="696"/>
      <c r="BR132" s="696"/>
      <c r="BS132" s="696"/>
      <c r="BT132" s="696"/>
      <c r="BU132" s="696"/>
      <c r="BV132" s="696"/>
      <c r="BW132" s="696"/>
      <c r="BX132" s="696"/>
      <c r="BY132" s="696"/>
      <c r="BZ132" s="696"/>
      <c r="CA132" s="696"/>
      <c r="CB132" s="696"/>
      <c r="CC132" s="696"/>
      <c r="CD132" s="696"/>
      <c r="CE132" s="696"/>
      <c r="CF132" s="696"/>
      <c r="CG132" s="696"/>
      <c r="CH132" s="696"/>
      <c r="CI132" s="696"/>
      <c r="CJ132" s="696"/>
      <c r="CK132" s="696"/>
      <c r="CL132" s="696"/>
      <c r="CM132" s="696"/>
      <c r="CN132" s="696"/>
      <c r="CO132" s="696"/>
      <c r="CP132" s="696"/>
      <c r="CQ132" s="696"/>
      <c r="CR132" s="696"/>
      <c r="CS132" s="696"/>
      <c r="CT132" s="696"/>
      <c r="CU132" s="696"/>
      <c r="CV132" s="696"/>
      <c r="CW132" s="696"/>
      <c r="CX132" s="696"/>
      <c r="CY132" s="696"/>
      <c r="CZ132" s="696"/>
      <c r="DA132" s="696"/>
      <c r="DB132" s="696"/>
      <c r="DC132" s="696"/>
      <c r="DD132" s="696"/>
      <c r="DE132" s="696"/>
      <c r="DF132" s="696"/>
      <c r="DG132" s="696"/>
      <c r="DH132" s="696"/>
      <c r="DI132" s="696"/>
      <c r="DJ132" s="696"/>
      <c r="DK132" s="696"/>
      <c r="DL132" s="696"/>
      <c r="DM132" s="696"/>
      <c r="DN132" s="696"/>
      <c r="DO132" s="696"/>
      <c r="DP132" s="696"/>
      <c r="DQ132" s="696"/>
      <c r="DR132" s="696"/>
      <c r="DS132" s="696"/>
      <c r="DT132" s="696"/>
      <c r="DU132" s="696"/>
      <c r="DV132" s="696"/>
      <c r="DW132" s="696"/>
      <c r="DX132" s="696"/>
      <c r="DY132" s="696"/>
      <c r="DZ132" s="696"/>
      <c r="EA132" s="696"/>
      <c r="EB132" s="696"/>
      <c r="EC132" s="696"/>
      <c r="ED132" s="696"/>
      <c r="EE132" s="696"/>
      <c r="EF132" s="696"/>
      <c r="EG132" s="696"/>
      <c r="EH132" s="696"/>
      <c r="EI132" s="696"/>
      <c r="EJ132" s="696"/>
      <c r="EK132" s="696"/>
      <c r="EL132" s="696"/>
      <c r="EM132" s="696"/>
      <c r="EN132" s="696"/>
      <c r="EO132" s="696"/>
      <c r="EP132" s="696"/>
      <c r="EQ132" s="696"/>
      <c r="ER132" s="696"/>
      <c r="ES132" s="696"/>
      <c r="ET132" s="696"/>
      <c r="EU132" s="696"/>
      <c r="EV132" s="696"/>
      <c r="EW132" s="696"/>
      <c r="EX132" s="696"/>
      <c r="EY132" s="696"/>
      <c r="EZ132" s="696"/>
      <c r="FA132" s="696"/>
      <c r="FB132" s="696"/>
      <c r="FC132" s="696"/>
      <c r="FD132" s="696"/>
      <c r="FE132" s="696"/>
      <c r="FF132" s="696"/>
      <c r="FG132" s="696"/>
      <c r="FH132" s="696"/>
      <c r="FI132" s="696"/>
      <c r="FJ132" s="696"/>
      <c r="FK132" s="696"/>
      <c r="FL132" s="696"/>
      <c r="FM132" s="696"/>
      <c r="FN132" s="696"/>
      <c r="FO132" s="696"/>
      <c r="FP132" s="696"/>
      <c r="FQ132" s="696"/>
      <c r="FR132" s="696"/>
      <c r="FS132" s="696"/>
      <c r="FT132" s="696"/>
      <c r="FU132" s="696"/>
      <c r="FV132" s="696"/>
      <c r="FW132" s="696"/>
      <c r="FX132" s="696"/>
      <c r="FY132" s="696"/>
      <c r="FZ132" s="696"/>
      <c r="GA132" s="696"/>
      <c r="GB132" s="696"/>
      <c r="GC132" s="696"/>
      <c r="GD132" s="696"/>
      <c r="GE132" s="696"/>
      <c r="GF132" s="696"/>
      <c r="GG132" s="696"/>
      <c r="GH132" s="696"/>
      <c r="GI132" s="696"/>
      <c r="GJ132" s="696"/>
      <c r="GK132" s="696"/>
      <c r="GL132" s="696"/>
      <c r="GM132" s="696"/>
      <c r="GN132" s="696"/>
      <c r="GO132" s="696"/>
      <c r="GP132" s="696"/>
      <c r="GQ132" s="696"/>
      <c r="GR132" s="696"/>
      <c r="GS132" s="696"/>
      <c r="GT132" s="696"/>
      <c r="GU132" s="696"/>
      <c r="GV132" s="696"/>
      <c r="GW132" s="696"/>
      <c r="GX132" s="696"/>
      <c r="GY132" s="696"/>
      <c r="GZ132" s="696"/>
      <c r="HA132" s="696"/>
      <c r="HB132" s="696"/>
      <c r="HC132" s="696"/>
      <c r="HD132" s="696"/>
      <c r="HE132" s="696"/>
      <c r="HF132" s="696"/>
      <c r="HG132" s="696"/>
      <c r="HH132" s="696"/>
      <c r="HI132" s="696"/>
      <c r="HJ132" s="696"/>
      <c r="HK132" s="696"/>
      <c r="HL132" s="696"/>
      <c r="HM132" s="696"/>
      <c r="HN132" s="696"/>
      <c r="HO132" s="696"/>
      <c r="HP132" s="696"/>
      <c r="HQ132" s="696"/>
      <c r="HR132" s="696"/>
      <c r="HS132" s="696"/>
      <c r="HT132" s="696"/>
      <c r="HU132" s="696"/>
      <c r="HV132" s="696"/>
      <c r="HW132" s="696"/>
      <c r="HX132" s="696"/>
      <c r="HY132" s="696"/>
      <c r="HZ132" s="696"/>
      <c r="IA132" s="696"/>
      <c r="IB132" s="696"/>
      <c r="IC132" s="696"/>
      <c r="ID132" s="696"/>
      <c r="IE132" s="696"/>
      <c r="IF132" s="696"/>
      <c r="IG132" s="696"/>
      <c r="IH132" s="696"/>
      <c r="II132" s="696"/>
      <c r="IJ132" s="696"/>
      <c r="IK132" s="696"/>
      <c r="IL132" s="696"/>
      <c r="IM132" s="696"/>
      <c r="IN132" s="696"/>
      <c r="IO132" s="696"/>
      <c r="IP132" s="696"/>
      <c r="IQ132" s="696"/>
    </row>
    <row r="133" spans="1:251">
      <c r="A133" s="697"/>
      <c r="B133" s="698"/>
      <c r="C133" s="698"/>
      <c r="D133" s="698"/>
      <c r="E133" s="698"/>
      <c r="F133" s="699"/>
      <c r="G133" s="699"/>
      <c r="H133" s="699"/>
      <c r="I133" s="699"/>
      <c r="J133" s="698"/>
      <c r="K133" s="698"/>
      <c r="L133" s="698"/>
      <c r="M133" s="698"/>
      <c r="N133" s="698"/>
      <c r="O133" s="698"/>
      <c r="P133" s="698"/>
      <c r="Q133" s="698"/>
      <c r="R133" s="698"/>
      <c r="S133" s="698"/>
      <c r="T133" s="698"/>
      <c r="U133" s="698"/>
      <c r="V133" s="698"/>
      <c r="W133" s="698"/>
      <c r="X133" s="698"/>
      <c r="Y133" s="698"/>
      <c r="Z133" s="696"/>
      <c r="AA133" s="696"/>
      <c r="AB133" s="696"/>
      <c r="AC133" s="696"/>
      <c r="AD133" s="696"/>
      <c r="AE133" s="696"/>
      <c r="AF133" s="696"/>
      <c r="AG133" s="696"/>
      <c r="AH133" s="696"/>
      <c r="AI133" s="696"/>
      <c r="AJ133" s="696"/>
      <c r="AK133" s="696"/>
      <c r="AL133" s="696"/>
      <c r="AM133" s="696"/>
      <c r="AN133" s="696"/>
      <c r="AO133" s="696"/>
      <c r="AP133" s="696"/>
      <c r="AQ133" s="696"/>
      <c r="AR133" s="696"/>
      <c r="AS133" s="696"/>
      <c r="AT133" s="696"/>
      <c r="AU133" s="696"/>
      <c r="AV133" s="696"/>
      <c r="AW133" s="696"/>
      <c r="AX133" s="696"/>
      <c r="AY133" s="696"/>
      <c r="AZ133" s="696"/>
      <c r="BA133" s="696"/>
      <c r="BB133" s="696"/>
      <c r="BC133" s="696"/>
      <c r="BD133" s="696"/>
      <c r="BE133" s="696"/>
      <c r="BF133" s="696"/>
      <c r="BG133" s="696"/>
      <c r="BH133" s="696"/>
      <c r="BI133" s="696"/>
      <c r="BJ133" s="696"/>
      <c r="BK133" s="696"/>
      <c r="BL133" s="696"/>
      <c r="BM133" s="696"/>
      <c r="BN133" s="696"/>
      <c r="BO133" s="696"/>
      <c r="BP133" s="696"/>
      <c r="BQ133" s="696"/>
      <c r="BR133" s="696"/>
      <c r="BS133" s="696"/>
      <c r="BT133" s="696"/>
      <c r="BU133" s="696"/>
      <c r="BV133" s="696"/>
      <c r="BW133" s="696"/>
      <c r="BX133" s="696"/>
      <c r="BY133" s="696"/>
      <c r="BZ133" s="696"/>
      <c r="CA133" s="696"/>
      <c r="CB133" s="696"/>
      <c r="CC133" s="696"/>
      <c r="CD133" s="696"/>
      <c r="CE133" s="696"/>
      <c r="CF133" s="696"/>
      <c r="CG133" s="696"/>
      <c r="CH133" s="696"/>
      <c r="CI133" s="696"/>
      <c r="CJ133" s="696"/>
      <c r="CK133" s="696"/>
      <c r="CL133" s="696"/>
      <c r="CM133" s="696"/>
      <c r="CN133" s="696"/>
      <c r="CO133" s="696"/>
      <c r="CP133" s="696"/>
      <c r="CQ133" s="696"/>
      <c r="CR133" s="696"/>
      <c r="CS133" s="696"/>
      <c r="CT133" s="696"/>
      <c r="CU133" s="696"/>
      <c r="CV133" s="696"/>
      <c r="CW133" s="696"/>
      <c r="CX133" s="696"/>
      <c r="CY133" s="696"/>
      <c r="CZ133" s="696"/>
      <c r="DA133" s="696"/>
      <c r="DB133" s="696"/>
      <c r="DC133" s="696"/>
      <c r="DD133" s="696"/>
      <c r="DE133" s="696"/>
      <c r="DF133" s="696"/>
      <c r="DG133" s="696"/>
      <c r="DH133" s="696"/>
      <c r="DI133" s="696"/>
      <c r="DJ133" s="696"/>
      <c r="DK133" s="696"/>
      <c r="DL133" s="696"/>
      <c r="DM133" s="696"/>
      <c r="DN133" s="696"/>
      <c r="DO133" s="696"/>
      <c r="DP133" s="696"/>
      <c r="DQ133" s="696"/>
      <c r="DR133" s="696"/>
      <c r="DS133" s="696"/>
      <c r="DT133" s="696"/>
      <c r="DU133" s="696"/>
      <c r="DV133" s="696"/>
      <c r="DW133" s="696"/>
      <c r="DX133" s="696"/>
      <c r="DY133" s="696"/>
      <c r="DZ133" s="696"/>
      <c r="EA133" s="696"/>
      <c r="EB133" s="696"/>
      <c r="EC133" s="696"/>
      <c r="ED133" s="696"/>
      <c r="EE133" s="696"/>
      <c r="EF133" s="696"/>
      <c r="EG133" s="696"/>
      <c r="EH133" s="696"/>
      <c r="EI133" s="696"/>
      <c r="EJ133" s="696"/>
      <c r="EK133" s="696"/>
      <c r="EL133" s="696"/>
      <c r="EM133" s="696"/>
      <c r="EN133" s="696"/>
      <c r="EO133" s="696"/>
      <c r="EP133" s="696"/>
      <c r="EQ133" s="696"/>
      <c r="ER133" s="696"/>
      <c r="ES133" s="696"/>
      <c r="ET133" s="696"/>
      <c r="EU133" s="696"/>
      <c r="EV133" s="696"/>
      <c r="EW133" s="696"/>
      <c r="EX133" s="696"/>
      <c r="EY133" s="696"/>
      <c r="EZ133" s="696"/>
      <c r="FA133" s="696"/>
      <c r="FB133" s="696"/>
      <c r="FC133" s="696"/>
      <c r="FD133" s="696"/>
      <c r="FE133" s="696"/>
      <c r="FF133" s="696"/>
      <c r="FG133" s="696"/>
      <c r="FH133" s="696"/>
      <c r="FI133" s="696"/>
      <c r="FJ133" s="696"/>
      <c r="FK133" s="696"/>
      <c r="FL133" s="696"/>
      <c r="FM133" s="696"/>
      <c r="FN133" s="696"/>
      <c r="FO133" s="696"/>
      <c r="FP133" s="696"/>
      <c r="FQ133" s="696"/>
      <c r="FR133" s="696"/>
      <c r="FS133" s="696"/>
      <c r="FT133" s="696"/>
      <c r="FU133" s="696"/>
      <c r="FV133" s="696"/>
      <c r="FW133" s="696"/>
      <c r="FX133" s="696"/>
      <c r="FY133" s="696"/>
      <c r="FZ133" s="696"/>
      <c r="GA133" s="696"/>
      <c r="GB133" s="696"/>
      <c r="GC133" s="696"/>
      <c r="GD133" s="696"/>
      <c r="GE133" s="696"/>
      <c r="GF133" s="696"/>
      <c r="GG133" s="696"/>
      <c r="GH133" s="696"/>
      <c r="GI133" s="696"/>
      <c r="GJ133" s="696"/>
      <c r="GK133" s="696"/>
      <c r="GL133" s="696"/>
      <c r="GM133" s="696"/>
      <c r="GN133" s="696"/>
      <c r="GO133" s="696"/>
      <c r="GP133" s="696"/>
      <c r="GQ133" s="696"/>
      <c r="GR133" s="696"/>
      <c r="GS133" s="696"/>
      <c r="GT133" s="696"/>
      <c r="GU133" s="696"/>
      <c r="GV133" s="696"/>
      <c r="GW133" s="696"/>
      <c r="GX133" s="696"/>
      <c r="GY133" s="696"/>
      <c r="GZ133" s="696"/>
      <c r="HA133" s="696"/>
      <c r="HB133" s="696"/>
      <c r="HC133" s="696"/>
      <c r="HD133" s="696"/>
      <c r="HE133" s="696"/>
      <c r="HF133" s="696"/>
      <c r="HG133" s="696"/>
      <c r="HH133" s="696"/>
      <c r="HI133" s="696"/>
      <c r="HJ133" s="696"/>
      <c r="HK133" s="696"/>
      <c r="HL133" s="696"/>
      <c r="HM133" s="696"/>
      <c r="HN133" s="696"/>
      <c r="HO133" s="696"/>
      <c r="HP133" s="696"/>
      <c r="HQ133" s="696"/>
      <c r="HR133" s="696"/>
      <c r="HS133" s="696"/>
      <c r="HT133" s="696"/>
      <c r="HU133" s="696"/>
      <c r="HV133" s="696"/>
      <c r="HW133" s="696"/>
      <c r="HX133" s="696"/>
      <c r="HY133" s="696"/>
      <c r="HZ133" s="696"/>
      <c r="IA133" s="696"/>
      <c r="IB133" s="696"/>
      <c r="IC133" s="696"/>
      <c r="ID133" s="696"/>
      <c r="IE133" s="696"/>
      <c r="IF133" s="696"/>
      <c r="IG133" s="696"/>
      <c r="IH133" s="696"/>
      <c r="II133" s="696"/>
      <c r="IJ133" s="696"/>
      <c r="IK133" s="696"/>
      <c r="IL133" s="696"/>
      <c r="IM133" s="696"/>
      <c r="IN133" s="696"/>
      <c r="IO133" s="696"/>
      <c r="IP133" s="696"/>
      <c r="IQ133" s="696"/>
    </row>
    <row r="134" spans="1:251" ht="11.85" customHeight="1">
      <c r="A134" s="697"/>
      <c r="B134" s="700" t="s">
        <v>476</v>
      </c>
      <c r="C134" s="698"/>
      <c r="D134" s="698"/>
      <c r="E134" s="698"/>
      <c r="F134" s="699"/>
      <c r="G134" s="699"/>
      <c r="H134" s="699"/>
      <c r="I134" s="699"/>
      <c r="J134" s="698"/>
      <c r="K134" s="698"/>
      <c r="L134" s="698"/>
      <c r="M134" s="698"/>
      <c r="N134" s="698"/>
      <c r="O134" s="698"/>
      <c r="P134" s="698"/>
      <c r="Q134" s="698"/>
      <c r="R134" s="698"/>
      <c r="S134" s="698"/>
      <c r="T134" s="698"/>
      <c r="U134" s="698"/>
      <c r="V134" s="698"/>
      <c r="W134" s="698"/>
      <c r="X134" s="698"/>
      <c r="Y134" s="698"/>
      <c r="Z134" s="696"/>
      <c r="AA134" s="696"/>
      <c r="AB134" s="696"/>
      <c r="AC134" s="696"/>
      <c r="AD134" s="696"/>
      <c r="AE134" s="696"/>
      <c r="AF134" s="696"/>
      <c r="AG134" s="696"/>
      <c r="AH134" s="696"/>
      <c r="AI134" s="696"/>
      <c r="AJ134" s="696"/>
      <c r="AK134" s="696"/>
      <c r="AL134" s="696"/>
      <c r="AM134" s="696"/>
      <c r="AN134" s="696"/>
      <c r="AO134" s="696"/>
      <c r="AP134" s="696"/>
      <c r="AQ134" s="696"/>
      <c r="AR134" s="696"/>
      <c r="AS134" s="696"/>
      <c r="AT134" s="696"/>
      <c r="AU134" s="696"/>
      <c r="AV134" s="696"/>
      <c r="AW134" s="696"/>
      <c r="AX134" s="696"/>
      <c r="AY134" s="696"/>
      <c r="AZ134" s="696"/>
      <c r="BA134" s="696"/>
      <c r="BB134" s="696"/>
      <c r="BC134" s="696"/>
      <c r="BD134" s="696"/>
      <c r="BE134" s="696"/>
      <c r="BF134" s="696"/>
      <c r="BG134" s="696"/>
      <c r="BH134" s="696"/>
      <c r="BI134" s="696"/>
      <c r="BJ134" s="696"/>
      <c r="BK134" s="696"/>
      <c r="BL134" s="696"/>
      <c r="BM134" s="696"/>
      <c r="BN134" s="696"/>
      <c r="BO134" s="696"/>
      <c r="BP134" s="696"/>
      <c r="BQ134" s="696"/>
      <c r="BR134" s="696"/>
      <c r="BS134" s="696"/>
      <c r="BT134" s="696"/>
      <c r="BU134" s="696"/>
      <c r="BV134" s="696"/>
      <c r="BW134" s="696"/>
      <c r="BX134" s="696"/>
      <c r="BY134" s="696"/>
      <c r="BZ134" s="696"/>
      <c r="CA134" s="696"/>
      <c r="CB134" s="696"/>
      <c r="CC134" s="696"/>
      <c r="CD134" s="696"/>
      <c r="CE134" s="696"/>
      <c r="CF134" s="696"/>
      <c r="CG134" s="696"/>
      <c r="CH134" s="696"/>
      <c r="CI134" s="696"/>
      <c r="CJ134" s="696"/>
      <c r="CK134" s="696"/>
      <c r="CL134" s="696"/>
      <c r="CM134" s="696"/>
      <c r="CN134" s="696"/>
      <c r="CO134" s="696"/>
      <c r="CP134" s="696"/>
      <c r="CQ134" s="696"/>
      <c r="CR134" s="696"/>
      <c r="CS134" s="696"/>
      <c r="CT134" s="696"/>
      <c r="CU134" s="696"/>
      <c r="CV134" s="696"/>
      <c r="CW134" s="696"/>
      <c r="CX134" s="696"/>
      <c r="CY134" s="696"/>
      <c r="CZ134" s="696"/>
      <c r="DA134" s="696"/>
      <c r="DB134" s="696"/>
      <c r="DC134" s="696"/>
      <c r="DD134" s="696"/>
      <c r="DE134" s="696"/>
      <c r="DF134" s="696"/>
      <c r="DG134" s="696"/>
      <c r="DH134" s="696"/>
      <c r="DI134" s="696"/>
      <c r="DJ134" s="696"/>
      <c r="DK134" s="696"/>
      <c r="DL134" s="696"/>
      <c r="DM134" s="696"/>
      <c r="DN134" s="696"/>
      <c r="DO134" s="696"/>
      <c r="DP134" s="696"/>
      <c r="DQ134" s="696"/>
      <c r="DR134" s="696"/>
      <c r="DS134" s="696"/>
      <c r="DT134" s="696"/>
      <c r="DU134" s="696"/>
      <c r="DV134" s="696"/>
      <c r="DW134" s="696"/>
      <c r="DX134" s="696"/>
      <c r="DY134" s="696"/>
      <c r="DZ134" s="696"/>
      <c r="EA134" s="696"/>
      <c r="EB134" s="696"/>
      <c r="EC134" s="696"/>
      <c r="ED134" s="696"/>
      <c r="EE134" s="696"/>
      <c r="EF134" s="696"/>
      <c r="EG134" s="696"/>
      <c r="EH134" s="696"/>
      <c r="EI134" s="696"/>
      <c r="EJ134" s="696"/>
      <c r="EK134" s="696"/>
      <c r="EL134" s="696"/>
      <c r="EM134" s="696"/>
      <c r="EN134" s="696"/>
      <c r="EO134" s="696"/>
      <c r="EP134" s="696"/>
      <c r="EQ134" s="696"/>
      <c r="ER134" s="696"/>
      <c r="ES134" s="696"/>
      <c r="ET134" s="696"/>
      <c r="EU134" s="696"/>
      <c r="EV134" s="696"/>
      <c r="EW134" s="696"/>
      <c r="EX134" s="696"/>
      <c r="EY134" s="696"/>
      <c r="EZ134" s="696"/>
      <c r="FA134" s="696"/>
      <c r="FB134" s="696"/>
      <c r="FC134" s="696"/>
      <c r="FD134" s="696"/>
      <c r="FE134" s="696"/>
      <c r="FF134" s="696"/>
      <c r="FG134" s="696"/>
      <c r="FH134" s="696"/>
      <c r="FI134" s="696"/>
      <c r="FJ134" s="696"/>
      <c r="FK134" s="696"/>
      <c r="FL134" s="696"/>
      <c r="FM134" s="696"/>
      <c r="FN134" s="696"/>
      <c r="FO134" s="696"/>
      <c r="FP134" s="696"/>
      <c r="FQ134" s="696"/>
      <c r="FR134" s="696"/>
      <c r="FS134" s="696"/>
      <c r="FT134" s="696"/>
      <c r="FU134" s="696"/>
      <c r="FV134" s="696"/>
      <c r="FW134" s="696"/>
      <c r="FX134" s="696"/>
      <c r="FY134" s="696"/>
      <c r="FZ134" s="696"/>
      <c r="GA134" s="696"/>
      <c r="GB134" s="696"/>
      <c r="GC134" s="696"/>
      <c r="GD134" s="696"/>
      <c r="GE134" s="696"/>
      <c r="GF134" s="696"/>
      <c r="GG134" s="696"/>
      <c r="GH134" s="696"/>
      <c r="GI134" s="696"/>
      <c r="GJ134" s="696"/>
      <c r="GK134" s="696"/>
      <c r="GL134" s="696"/>
      <c r="GM134" s="696"/>
      <c r="GN134" s="696"/>
      <c r="GO134" s="696"/>
      <c r="GP134" s="696"/>
      <c r="GQ134" s="696"/>
      <c r="GR134" s="696"/>
      <c r="GS134" s="696"/>
      <c r="GT134" s="696"/>
      <c r="GU134" s="696"/>
      <c r="GV134" s="696"/>
      <c r="GW134" s="696"/>
      <c r="GX134" s="696"/>
      <c r="GY134" s="696"/>
      <c r="GZ134" s="696"/>
      <c r="HA134" s="696"/>
      <c r="HB134" s="696"/>
      <c r="HC134" s="696"/>
      <c r="HD134" s="696"/>
      <c r="HE134" s="696"/>
      <c r="HF134" s="696"/>
      <c r="HG134" s="696"/>
      <c r="HH134" s="696"/>
      <c r="HI134" s="696"/>
      <c r="HJ134" s="696"/>
      <c r="HK134" s="696"/>
      <c r="HL134" s="696"/>
      <c r="HM134" s="696"/>
      <c r="HN134" s="696"/>
      <c r="HO134" s="696"/>
      <c r="HP134" s="696"/>
      <c r="HQ134" s="696"/>
      <c r="HR134" s="696"/>
      <c r="HS134" s="696"/>
      <c r="HT134" s="696"/>
      <c r="HU134" s="696"/>
      <c r="HV134" s="696"/>
      <c r="HW134" s="696"/>
      <c r="HX134" s="696"/>
      <c r="HY134" s="696"/>
      <c r="HZ134" s="696"/>
      <c r="IA134" s="696"/>
      <c r="IB134" s="696"/>
      <c r="IC134" s="696"/>
      <c r="ID134" s="696"/>
      <c r="IE134" s="696"/>
      <c r="IF134" s="696"/>
      <c r="IG134" s="696"/>
      <c r="IH134" s="696"/>
      <c r="II134" s="696"/>
      <c r="IJ134" s="696"/>
      <c r="IK134" s="696"/>
      <c r="IL134" s="696"/>
      <c r="IM134" s="696"/>
      <c r="IN134" s="696"/>
      <c r="IO134" s="696"/>
      <c r="IP134" s="696"/>
      <c r="IQ134" s="696"/>
    </row>
    <row r="135" spans="1:251" ht="11.85" customHeight="1">
      <c r="A135" s="697"/>
      <c r="B135" s="701"/>
      <c r="C135" s="702" t="s">
        <v>477</v>
      </c>
      <c r="D135" s="1299" t="s">
        <v>478</v>
      </c>
      <c r="E135" s="1300"/>
      <c r="F135" s="1300"/>
      <c r="G135" s="1300"/>
      <c r="H135" s="1300"/>
      <c r="I135" s="1300"/>
      <c r="J135" s="1301"/>
      <c r="K135" s="703" t="s">
        <v>32</v>
      </c>
      <c r="L135" s="1299" t="s">
        <v>202</v>
      </c>
      <c r="M135" s="1300"/>
      <c r="N135" s="1300"/>
      <c r="O135" s="1301"/>
      <c r="P135" s="1303" t="s">
        <v>479</v>
      </c>
      <c r="Q135" s="1304"/>
      <c r="R135" s="1304"/>
      <c r="S135" s="1304"/>
      <c r="T135" s="1304"/>
      <c r="U135" s="1304"/>
      <c r="V135" s="1304"/>
      <c r="W135" s="1304"/>
      <c r="X135" s="1305"/>
      <c r="Y135" s="698"/>
      <c r="Z135" s="698"/>
      <c r="AA135" s="698"/>
      <c r="AB135" s="698"/>
      <c r="AC135" s="696"/>
      <c r="AD135" s="696"/>
      <c r="AE135" s="696"/>
      <c r="AF135" s="696"/>
      <c r="AG135" s="696"/>
      <c r="AH135" s="696"/>
      <c r="AI135" s="696"/>
      <c r="AJ135" s="696"/>
      <c r="AK135" s="696"/>
      <c r="AL135" s="696"/>
      <c r="AM135" s="696"/>
      <c r="AN135" s="696"/>
      <c r="AO135" s="696"/>
      <c r="AP135" s="696"/>
      <c r="AQ135" s="696"/>
      <c r="AR135" s="696"/>
      <c r="AS135" s="696"/>
      <c r="AT135" s="696"/>
      <c r="AU135" s="696"/>
      <c r="AV135" s="696"/>
      <c r="AW135" s="696"/>
      <c r="AX135" s="696"/>
      <c r="AY135" s="696"/>
      <c r="AZ135" s="696"/>
      <c r="BA135" s="696"/>
      <c r="BB135" s="696"/>
      <c r="BC135" s="696"/>
      <c r="BD135" s="696"/>
      <c r="BE135" s="696"/>
      <c r="BF135" s="696"/>
      <c r="BG135" s="696"/>
      <c r="BH135" s="696"/>
      <c r="BI135" s="696"/>
      <c r="BJ135" s="696"/>
      <c r="BK135" s="696"/>
      <c r="BL135" s="696"/>
      <c r="BM135" s="696"/>
      <c r="BN135" s="696"/>
      <c r="BO135" s="696"/>
      <c r="BP135" s="696"/>
      <c r="BQ135" s="696"/>
      <c r="BR135" s="696"/>
      <c r="BS135" s="696"/>
      <c r="BT135" s="696"/>
      <c r="BU135" s="696"/>
      <c r="BV135" s="696"/>
      <c r="BW135" s="696"/>
      <c r="BX135" s="696"/>
      <c r="BY135" s="696"/>
      <c r="BZ135" s="696"/>
      <c r="CA135" s="696"/>
      <c r="CB135" s="696"/>
      <c r="CC135" s="696"/>
      <c r="CD135" s="696"/>
      <c r="CE135" s="696"/>
      <c r="CF135" s="696"/>
      <c r="CG135" s="696"/>
      <c r="CH135" s="696"/>
      <c r="CI135" s="696"/>
      <c r="CJ135" s="696"/>
      <c r="CK135" s="696"/>
      <c r="CL135" s="696"/>
      <c r="CM135" s="696"/>
      <c r="CN135" s="696"/>
      <c r="CO135" s="696"/>
      <c r="CP135" s="696"/>
      <c r="CQ135" s="696"/>
      <c r="CR135" s="696"/>
      <c r="CS135" s="696"/>
      <c r="CT135" s="696"/>
      <c r="CU135" s="696"/>
      <c r="CV135" s="696"/>
      <c r="CW135" s="696"/>
      <c r="CX135" s="696"/>
      <c r="CY135" s="696"/>
      <c r="CZ135" s="696"/>
      <c r="DA135" s="696"/>
      <c r="DB135" s="696"/>
      <c r="DC135" s="696"/>
      <c r="DD135" s="696"/>
      <c r="DE135" s="696"/>
      <c r="DF135" s="696"/>
      <c r="DG135" s="696"/>
      <c r="DH135" s="696"/>
      <c r="DI135" s="696"/>
      <c r="DJ135" s="696"/>
      <c r="DK135" s="696"/>
      <c r="DL135" s="696"/>
      <c r="DM135" s="696"/>
      <c r="DN135" s="696"/>
      <c r="DO135" s="696"/>
      <c r="DP135" s="696"/>
      <c r="DQ135" s="696"/>
      <c r="DR135" s="696"/>
      <c r="DS135" s="696"/>
      <c r="DT135" s="696"/>
      <c r="DU135" s="696"/>
      <c r="DV135" s="696"/>
      <c r="DW135" s="696"/>
      <c r="DX135" s="696"/>
      <c r="DY135" s="696"/>
      <c r="DZ135" s="696"/>
      <c r="EA135" s="696"/>
      <c r="EB135" s="696"/>
      <c r="EC135" s="696"/>
      <c r="ED135" s="696"/>
      <c r="EE135" s="696"/>
      <c r="EF135" s="696"/>
      <c r="EG135" s="696"/>
      <c r="EH135" s="696"/>
      <c r="EI135" s="696"/>
      <c r="EJ135" s="696"/>
      <c r="EK135" s="696"/>
      <c r="EL135" s="696"/>
      <c r="EM135" s="696"/>
      <c r="EN135" s="696"/>
      <c r="EO135" s="696"/>
      <c r="EP135" s="696"/>
      <c r="EQ135" s="696"/>
      <c r="ER135" s="696"/>
      <c r="ES135" s="696"/>
      <c r="ET135" s="696"/>
      <c r="EU135" s="696"/>
      <c r="EV135" s="696"/>
      <c r="EW135" s="696"/>
      <c r="EX135" s="696"/>
      <c r="EY135" s="696"/>
      <c r="EZ135" s="696"/>
      <c r="FA135" s="696"/>
      <c r="FB135" s="696"/>
      <c r="FC135" s="696"/>
      <c r="FD135" s="696"/>
      <c r="FE135" s="696"/>
      <c r="FF135" s="696"/>
      <c r="FG135" s="696"/>
      <c r="FH135" s="696"/>
      <c r="FI135" s="696"/>
      <c r="FJ135" s="696"/>
      <c r="FK135" s="696"/>
      <c r="FL135" s="696"/>
      <c r="FM135" s="696"/>
      <c r="FN135" s="696"/>
      <c r="FO135" s="696"/>
      <c r="FP135" s="696"/>
      <c r="FQ135" s="696"/>
      <c r="FR135" s="696"/>
      <c r="FS135" s="696"/>
      <c r="FT135" s="696"/>
      <c r="FU135" s="696"/>
      <c r="FV135" s="696"/>
      <c r="FW135" s="696"/>
      <c r="FX135" s="696"/>
      <c r="FY135" s="696"/>
      <c r="FZ135" s="696"/>
      <c r="GA135" s="696"/>
      <c r="GB135" s="696"/>
      <c r="GC135" s="696"/>
      <c r="GD135" s="696"/>
      <c r="GE135" s="696"/>
      <c r="GF135" s="696"/>
      <c r="GG135" s="696"/>
      <c r="GH135" s="696"/>
      <c r="GI135" s="696"/>
      <c r="GJ135" s="696"/>
      <c r="GK135" s="696"/>
      <c r="GL135" s="696"/>
      <c r="GM135" s="696"/>
      <c r="GN135" s="696"/>
      <c r="GO135" s="696"/>
      <c r="GP135" s="696"/>
      <c r="GQ135" s="696"/>
      <c r="GR135" s="696"/>
      <c r="GS135" s="696"/>
      <c r="GT135" s="696"/>
      <c r="GU135" s="696"/>
      <c r="GV135" s="696"/>
      <c r="GW135" s="696"/>
      <c r="GX135" s="696"/>
      <c r="GY135" s="696"/>
      <c r="GZ135" s="696"/>
      <c r="HA135" s="696"/>
      <c r="HB135" s="696"/>
      <c r="HC135" s="696"/>
      <c r="HD135" s="696"/>
      <c r="HE135" s="696"/>
      <c r="HF135" s="696"/>
      <c r="HG135" s="696"/>
      <c r="HH135" s="696"/>
      <c r="HI135" s="696"/>
      <c r="HJ135" s="696"/>
      <c r="HK135" s="696"/>
      <c r="HL135" s="696"/>
      <c r="HM135" s="696"/>
      <c r="HN135" s="696"/>
      <c r="HO135" s="696"/>
      <c r="HP135" s="696"/>
      <c r="HQ135" s="696"/>
      <c r="HR135" s="696"/>
      <c r="HS135" s="696"/>
      <c r="HT135" s="696"/>
      <c r="HU135" s="696"/>
      <c r="HV135" s="696"/>
      <c r="HW135" s="696"/>
      <c r="HX135" s="696"/>
      <c r="HY135" s="696"/>
      <c r="HZ135" s="696"/>
      <c r="IA135" s="696"/>
      <c r="IB135" s="696"/>
      <c r="IC135" s="696"/>
      <c r="ID135" s="696"/>
      <c r="IE135" s="696"/>
      <c r="IF135" s="696"/>
      <c r="IG135" s="696"/>
      <c r="IH135" s="696"/>
      <c r="II135" s="696"/>
      <c r="IJ135" s="696"/>
    </row>
    <row r="136" spans="1:251" ht="11.85" customHeight="1">
      <c r="A136" s="697"/>
      <c r="B136" s="704" t="s">
        <v>80</v>
      </c>
      <c r="C136" s="705">
        <v>4</v>
      </c>
      <c r="D136" s="1299">
        <v>2</v>
      </c>
      <c r="E136" s="1300"/>
      <c r="F136" s="1300"/>
      <c r="G136" s="1300"/>
      <c r="H136" s="1300"/>
      <c r="I136" s="1300"/>
      <c r="J136" s="1301"/>
      <c r="K136" s="703">
        <v>3</v>
      </c>
      <c r="L136" s="1299" t="s">
        <v>219</v>
      </c>
      <c r="M136" s="1300"/>
      <c r="N136" s="1300"/>
      <c r="O136" s="1301"/>
      <c r="P136" s="1303" t="s">
        <v>480</v>
      </c>
      <c r="Q136" s="1304"/>
      <c r="R136" s="1304"/>
      <c r="S136" s="1304"/>
      <c r="T136" s="1304"/>
      <c r="U136" s="1304"/>
      <c r="V136" s="1304"/>
      <c r="W136" s="1304"/>
      <c r="X136" s="1305"/>
      <c r="Y136" s="698"/>
      <c r="Z136" s="698"/>
      <c r="AA136" s="698"/>
      <c r="AB136" s="698"/>
      <c r="AC136" s="696"/>
      <c r="AD136" s="696"/>
      <c r="AE136" s="696"/>
      <c r="AF136" s="696"/>
      <c r="AG136" s="696"/>
      <c r="AH136" s="696"/>
      <c r="AI136" s="696"/>
      <c r="AJ136" s="696"/>
      <c r="AK136" s="696"/>
      <c r="AL136" s="696"/>
      <c r="AM136" s="696"/>
      <c r="AN136" s="696"/>
      <c r="AO136" s="696"/>
      <c r="AP136" s="696"/>
      <c r="AQ136" s="696"/>
      <c r="AR136" s="696"/>
      <c r="AS136" s="696"/>
      <c r="AT136" s="696"/>
      <c r="AU136" s="696"/>
      <c r="AV136" s="696"/>
      <c r="AW136" s="696"/>
      <c r="AX136" s="696"/>
      <c r="AY136" s="696"/>
      <c r="AZ136" s="696"/>
      <c r="BA136" s="696"/>
      <c r="BB136" s="696"/>
      <c r="BC136" s="696"/>
      <c r="BD136" s="696"/>
      <c r="BE136" s="696"/>
      <c r="BF136" s="696"/>
      <c r="BG136" s="696"/>
      <c r="BH136" s="696"/>
      <c r="BI136" s="696"/>
      <c r="BJ136" s="696"/>
      <c r="BK136" s="696"/>
      <c r="BL136" s="696"/>
      <c r="BM136" s="696"/>
      <c r="BN136" s="696"/>
      <c r="BO136" s="696"/>
      <c r="BP136" s="696"/>
      <c r="BQ136" s="696"/>
      <c r="BR136" s="696"/>
      <c r="BS136" s="696"/>
      <c r="BT136" s="696"/>
      <c r="BU136" s="696"/>
      <c r="BV136" s="696"/>
      <c r="BW136" s="696"/>
      <c r="BX136" s="696"/>
      <c r="BY136" s="696"/>
      <c r="BZ136" s="696"/>
      <c r="CA136" s="696"/>
      <c r="CB136" s="696"/>
      <c r="CC136" s="696"/>
      <c r="CD136" s="696"/>
      <c r="CE136" s="696"/>
      <c r="CF136" s="696"/>
      <c r="CG136" s="696"/>
      <c r="CH136" s="696"/>
      <c r="CI136" s="696"/>
      <c r="CJ136" s="696"/>
      <c r="CK136" s="696"/>
      <c r="CL136" s="696"/>
      <c r="CM136" s="696"/>
      <c r="CN136" s="696"/>
      <c r="CO136" s="696"/>
      <c r="CP136" s="696"/>
      <c r="CQ136" s="696"/>
      <c r="CR136" s="696"/>
      <c r="CS136" s="696"/>
      <c r="CT136" s="696"/>
      <c r="CU136" s="696"/>
      <c r="CV136" s="696"/>
      <c r="CW136" s="696"/>
      <c r="CX136" s="696"/>
      <c r="CY136" s="696"/>
      <c r="CZ136" s="696"/>
      <c r="DA136" s="696"/>
      <c r="DB136" s="696"/>
      <c r="DC136" s="696"/>
      <c r="DD136" s="696"/>
      <c r="DE136" s="696"/>
      <c r="DF136" s="696"/>
      <c r="DG136" s="696"/>
      <c r="DH136" s="696"/>
      <c r="DI136" s="696"/>
      <c r="DJ136" s="696"/>
      <c r="DK136" s="696"/>
      <c r="DL136" s="696"/>
      <c r="DM136" s="696"/>
      <c r="DN136" s="696"/>
      <c r="DO136" s="696"/>
      <c r="DP136" s="696"/>
      <c r="DQ136" s="696"/>
      <c r="DR136" s="696"/>
      <c r="DS136" s="696"/>
      <c r="DT136" s="696"/>
      <c r="DU136" s="696"/>
      <c r="DV136" s="696"/>
      <c r="DW136" s="696"/>
      <c r="DX136" s="696"/>
      <c r="DY136" s="696"/>
      <c r="DZ136" s="696"/>
      <c r="EA136" s="696"/>
      <c r="EB136" s="696"/>
      <c r="EC136" s="696"/>
      <c r="ED136" s="696"/>
      <c r="EE136" s="696"/>
      <c r="EF136" s="696"/>
      <c r="EG136" s="696"/>
      <c r="EH136" s="696"/>
      <c r="EI136" s="696"/>
      <c r="EJ136" s="696"/>
      <c r="EK136" s="696"/>
      <c r="EL136" s="696"/>
      <c r="EM136" s="696"/>
      <c r="EN136" s="696"/>
      <c r="EO136" s="696"/>
      <c r="EP136" s="696"/>
      <c r="EQ136" s="696"/>
      <c r="ER136" s="696"/>
      <c r="ES136" s="696"/>
      <c r="ET136" s="696"/>
      <c r="EU136" s="696"/>
      <c r="EV136" s="696"/>
      <c r="EW136" s="696"/>
      <c r="EX136" s="696"/>
      <c r="EY136" s="696"/>
      <c r="EZ136" s="696"/>
      <c r="FA136" s="696"/>
      <c r="FB136" s="696"/>
      <c r="FC136" s="696"/>
      <c r="FD136" s="696"/>
      <c r="FE136" s="696"/>
      <c r="FF136" s="696"/>
      <c r="FG136" s="696"/>
      <c r="FH136" s="696"/>
      <c r="FI136" s="696"/>
      <c r="FJ136" s="696"/>
      <c r="FK136" s="696"/>
      <c r="FL136" s="696"/>
      <c r="FM136" s="696"/>
      <c r="FN136" s="696"/>
      <c r="FO136" s="696"/>
      <c r="FP136" s="696"/>
      <c r="FQ136" s="696"/>
      <c r="FR136" s="696"/>
      <c r="FS136" s="696"/>
      <c r="FT136" s="696"/>
      <c r="FU136" s="696"/>
      <c r="FV136" s="696"/>
      <c r="FW136" s="696"/>
      <c r="FX136" s="696"/>
      <c r="FY136" s="696"/>
      <c r="FZ136" s="696"/>
      <c r="GA136" s="696"/>
      <c r="GB136" s="696"/>
      <c r="GC136" s="696"/>
      <c r="GD136" s="696"/>
      <c r="GE136" s="696"/>
      <c r="GF136" s="696"/>
      <c r="GG136" s="696"/>
      <c r="GH136" s="696"/>
      <c r="GI136" s="696"/>
      <c r="GJ136" s="696"/>
      <c r="GK136" s="696"/>
      <c r="GL136" s="696"/>
      <c r="GM136" s="696"/>
      <c r="GN136" s="696"/>
      <c r="GO136" s="696"/>
      <c r="GP136" s="696"/>
      <c r="GQ136" s="696"/>
      <c r="GR136" s="696"/>
      <c r="GS136" s="696"/>
      <c r="GT136" s="696"/>
      <c r="GU136" s="696"/>
      <c r="GV136" s="696"/>
      <c r="GW136" s="696"/>
      <c r="GX136" s="696"/>
      <c r="GY136" s="696"/>
      <c r="GZ136" s="696"/>
      <c r="HA136" s="696"/>
      <c r="HB136" s="696"/>
      <c r="HC136" s="696"/>
      <c r="HD136" s="696"/>
      <c r="HE136" s="696"/>
      <c r="HF136" s="696"/>
      <c r="HG136" s="696"/>
      <c r="HH136" s="696"/>
      <c r="HI136" s="696"/>
      <c r="HJ136" s="696"/>
      <c r="HK136" s="696"/>
      <c r="HL136" s="696"/>
      <c r="HM136" s="696"/>
      <c r="HN136" s="696"/>
      <c r="HO136" s="696"/>
      <c r="HP136" s="696"/>
      <c r="HQ136" s="696"/>
      <c r="HR136" s="696"/>
      <c r="HS136" s="696"/>
      <c r="HT136" s="696"/>
      <c r="HU136" s="696"/>
      <c r="HV136" s="696"/>
      <c r="HW136" s="696"/>
      <c r="HX136" s="696"/>
      <c r="HY136" s="696"/>
      <c r="HZ136" s="696"/>
      <c r="IA136" s="696"/>
      <c r="IB136" s="696"/>
      <c r="IC136" s="696"/>
      <c r="ID136" s="696"/>
      <c r="IE136" s="696"/>
      <c r="IF136" s="696"/>
      <c r="IG136" s="696"/>
      <c r="IH136" s="696"/>
      <c r="II136" s="696"/>
      <c r="IJ136" s="696"/>
    </row>
    <row r="137" spans="1:251" ht="11.85" customHeight="1">
      <c r="A137" s="697"/>
      <c r="B137" s="704" t="s">
        <v>81</v>
      </c>
      <c r="C137" s="705">
        <v>6</v>
      </c>
      <c r="D137" s="1299">
        <v>2</v>
      </c>
      <c r="E137" s="1300"/>
      <c r="F137" s="1300"/>
      <c r="G137" s="1300"/>
      <c r="H137" s="1300"/>
      <c r="I137" s="1300"/>
      <c r="J137" s="1301"/>
      <c r="K137" s="703">
        <v>3</v>
      </c>
      <c r="L137" s="1299" t="s">
        <v>219</v>
      </c>
      <c r="M137" s="1300"/>
      <c r="N137" s="1300"/>
      <c r="O137" s="1301"/>
      <c r="P137" s="1303" t="s">
        <v>480</v>
      </c>
      <c r="Q137" s="1304"/>
      <c r="R137" s="1304"/>
      <c r="S137" s="1304"/>
      <c r="T137" s="1304"/>
      <c r="U137" s="1304"/>
      <c r="V137" s="1304"/>
      <c r="W137" s="1304"/>
      <c r="X137" s="1305"/>
      <c r="Y137" s="698"/>
      <c r="Z137" s="698"/>
      <c r="AA137" s="698"/>
      <c r="AB137" s="698"/>
      <c r="AC137" s="696"/>
      <c r="AD137" s="696"/>
      <c r="AE137" s="696"/>
      <c r="AF137" s="696"/>
      <c r="AG137" s="696"/>
      <c r="AH137" s="696"/>
      <c r="AI137" s="696"/>
      <c r="AJ137" s="696"/>
      <c r="AK137" s="696"/>
      <c r="AL137" s="696"/>
      <c r="AM137" s="696"/>
      <c r="AN137" s="696"/>
      <c r="AO137" s="696"/>
      <c r="AP137" s="696"/>
      <c r="AQ137" s="696"/>
      <c r="AR137" s="696"/>
      <c r="AS137" s="696"/>
      <c r="AT137" s="696"/>
      <c r="AU137" s="696"/>
      <c r="AV137" s="696"/>
      <c r="AW137" s="696"/>
      <c r="AX137" s="696"/>
      <c r="AY137" s="696"/>
      <c r="AZ137" s="696"/>
      <c r="BA137" s="696"/>
      <c r="BB137" s="696"/>
      <c r="BC137" s="696"/>
      <c r="BD137" s="696"/>
      <c r="BE137" s="696"/>
      <c r="BF137" s="696"/>
      <c r="BG137" s="696"/>
      <c r="BH137" s="696"/>
      <c r="BI137" s="696"/>
      <c r="BJ137" s="696"/>
      <c r="BK137" s="696"/>
      <c r="BL137" s="696"/>
      <c r="BM137" s="696"/>
      <c r="BN137" s="696"/>
      <c r="BO137" s="696"/>
      <c r="BP137" s="696"/>
      <c r="BQ137" s="696"/>
      <c r="BR137" s="696"/>
      <c r="BS137" s="696"/>
      <c r="BT137" s="696"/>
      <c r="BU137" s="696"/>
      <c r="BV137" s="696"/>
      <c r="BW137" s="696"/>
      <c r="BX137" s="696"/>
      <c r="BY137" s="696"/>
      <c r="BZ137" s="696"/>
      <c r="CA137" s="696"/>
      <c r="CB137" s="696"/>
      <c r="CC137" s="696"/>
      <c r="CD137" s="696"/>
      <c r="CE137" s="696"/>
      <c r="CF137" s="696"/>
      <c r="CG137" s="696"/>
      <c r="CH137" s="696"/>
      <c r="CI137" s="696"/>
      <c r="CJ137" s="696"/>
      <c r="CK137" s="696"/>
      <c r="CL137" s="696"/>
      <c r="CM137" s="696"/>
      <c r="CN137" s="696"/>
      <c r="CO137" s="696"/>
      <c r="CP137" s="696"/>
      <c r="CQ137" s="696"/>
      <c r="CR137" s="696"/>
      <c r="CS137" s="696"/>
      <c r="CT137" s="696"/>
      <c r="CU137" s="696"/>
      <c r="CV137" s="696"/>
      <c r="CW137" s="696"/>
      <c r="CX137" s="696"/>
      <c r="CY137" s="696"/>
      <c r="CZ137" s="696"/>
      <c r="DA137" s="696"/>
      <c r="DB137" s="696"/>
      <c r="DC137" s="696"/>
      <c r="DD137" s="696"/>
      <c r="DE137" s="696"/>
      <c r="DF137" s="696"/>
      <c r="DG137" s="696"/>
      <c r="DH137" s="696"/>
      <c r="DI137" s="696"/>
      <c r="DJ137" s="696"/>
      <c r="DK137" s="696"/>
      <c r="DL137" s="696"/>
      <c r="DM137" s="696"/>
      <c r="DN137" s="696"/>
      <c r="DO137" s="696"/>
      <c r="DP137" s="696"/>
      <c r="DQ137" s="696"/>
      <c r="DR137" s="696"/>
      <c r="DS137" s="696"/>
      <c r="DT137" s="696"/>
      <c r="DU137" s="696"/>
      <c r="DV137" s="696"/>
      <c r="DW137" s="696"/>
      <c r="DX137" s="696"/>
      <c r="DY137" s="696"/>
      <c r="DZ137" s="696"/>
      <c r="EA137" s="696"/>
      <c r="EB137" s="696"/>
      <c r="EC137" s="696"/>
      <c r="ED137" s="696"/>
      <c r="EE137" s="696"/>
      <c r="EF137" s="696"/>
      <c r="EG137" s="696"/>
      <c r="EH137" s="696"/>
      <c r="EI137" s="696"/>
      <c r="EJ137" s="696"/>
      <c r="EK137" s="696"/>
      <c r="EL137" s="696"/>
      <c r="EM137" s="696"/>
      <c r="EN137" s="696"/>
      <c r="EO137" s="696"/>
      <c r="EP137" s="696"/>
      <c r="EQ137" s="696"/>
      <c r="ER137" s="696"/>
      <c r="ES137" s="696"/>
      <c r="ET137" s="696"/>
      <c r="EU137" s="696"/>
      <c r="EV137" s="696"/>
      <c r="EW137" s="696"/>
      <c r="EX137" s="696"/>
      <c r="EY137" s="696"/>
      <c r="EZ137" s="696"/>
      <c r="FA137" s="696"/>
      <c r="FB137" s="696"/>
      <c r="FC137" s="696"/>
      <c r="FD137" s="696"/>
      <c r="FE137" s="696"/>
      <c r="FF137" s="696"/>
      <c r="FG137" s="696"/>
      <c r="FH137" s="696"/>
      <c r="FI137" s="696"/>
      <c r="FJ137" s="696"/>
      <c r="FK137" s="696"/>
      <c r="FL137" s="696"/>
      <c r="FM137" s="696"/>
      <c r="FN137" s="696"/>
      <c r="FO137" s="696"/>
      <c r="FP137" s="696"/>
      <c r="FQ137" s="696"/>
      <c r="FR137" s="696"/>
      <c r="FS137" s="696"/>
      <c r="FT137" s="696"/>
      <c r="FU137" s="696"/>
      <c r="FV137" s="696"/>
      <c r="FW137" s="696"/>
      <c r="FX137" s="696"/>
      <c r="FY137" s="696"/>
      <c r="FZ137" s="696"/>
      <c r="GA137" s="696"/>
      <c r="GB137" s="696"/>
      <c r="GC137" s="696"/>
      <c r="GD137" s="696"/>
      <c r="GE137" s="696"/>
      <c r="GF137" s="696"/>
      <c r="GG137" s="696"/>
      <c r="GH137" s="696"/>
      <c r="GI137" s="696"/>
      <c r="GJ137" s="696"/>
      <c r="GK137" s="696"/>
      <c r="GL137" s="696"/>
      <c r="GM137" s="696"/>
      <c r="GN137" s="696"/>
      <c r="GO137" s="696"/>
      <c r="GP137" s="696"/>
      <c r="GQ137" s="696"/>
      <c r="GR137" s="696"/>
      <c r="GS137" s="696"/>
      <c r="GT137" s="696"/>
      <c r="GU137" s="696"/>
      <c r="GV137" s="696"/>
      <c r="GW137" s="696"/>
      <c r="GX137" s="696"/>
      <c r="GY137" s="696"/>
      <c r="GZ137" s="696"/>
      <c r="HA137" s="696"/>
      <c r="HB137" s="696"/>
      <c r="HC137" s="696"/>
      <c r="HD137" s="696"/>
      <c r="HE137" s="696"/>
      <c r="HF137" s="696"/>
      <c r="HG137" s="696"/>
      <c r="HH137" s="696"/>
      <c r="HI137" s="696"/>
      <c r="HJ137" s="696"/>
      <c r="HK137" s="696"/>
      <c r="HL137" s="696"/>
      <c r="HM137" s="696"/>
      <c r="HN137" s="696"/>
      <c r="HO137" s="696"/>
      <c r="HP137" s="696"/>
      <c r="HQ137" s="696"/>
      <c r="HR137" s="696"/>
      <c r="HS137" s="696"/>
      <c r="HT137" s="696"/>
      <c r="HU137" s="696"/>
      <c r="HV137" s="696"/>
      <c r="HW137" s="696"/>
      <c r="HX137" s="696"/>
      <c r="HY137" s="696"/>
      <c r="HZ137" s="696"/>
      <c r="IA137" s="696"/>
      <c r="IB137" s="696"/>
      <c r="IC137" s="696"/>
      <c r="ID137" s="696"/>
      <c r="IE137" s="696"/>
      <c r="IF137" s="696"/>
      <c r="IG137" s="696"/>
      <c r="IH137" s="696"/>
      <c r="II137" s="696"/>
      <c r="IJ137" s="696"/>
    </row>
    <row r="138" spans="1:251" ht="11.85" customHeight="1">
      <c r="A138" s="697"/>
      <c r="B138" s="704" t="s">
        <v>112</v>
      </c>
      <c r="C138" s="705">
        <v>8</v>
      </c>
      <c r="D138" s="1299">
        <v>2</v>
      </c>
      <c r="E138" s="1300"/>
      <c r="F138" s="1300"/>
      <c r="G138" s="1300"/>
      <c r="H138" s="1300"/>
      <c r="I138" s="1300"/>
      <c r="J138" s="1301"/>
      <c r="K138" s="703">
        <v>3</v>
      </c>
      <c r="L138" s="1299" t="s">
        <v>219</v>
      </c>
      <c r="M138" s="1300"/>
      <c r="N138" s="1300"/>
      <c r="O138" s="1301"/>
      <c r="P138" s="1303" t="s">
        <v>480</v>
      </c>
      <c r="Q138" s="1304"/>
      <c r="R138" s="1304"/>
      <c r="S138" s="1304"/>
      <c r="T138" s="1304"/>
      <c r="U138" s="1304"/>
      <c r="V138" s="1304"/>
      <c r="W138" s="1304"/>
      <c r="X138" s="1305"/>
      <c r="Y138" s="698"/>
      <c r="Z138" s="698"/>
      <c r="AA138" s="698"/>
      <c r="AB138" s="698"/>
      <c r="AC138" s="696"/>
      <c r="AD138" s="696"/>
      <c r="AE138" s="696"/>
      <c r="AF138" s="696"/>
      <c r="AG138" s="696"/>
      <c r="AH138" s="696"/>
      <c r="AI138" s="696"/>
      <c r="AJ138" s="696"/>
      <c r="AK138" s="696"/>
      <c r="AL138" s="696"/>
      <c r="AM138" s="696"/>
      <c r="AN138" s="696"/>
      <c r="AO138" s="696"/>
      <c r="AP138" s="696"/>
      <c r="AQ138" s="696"/>
      <c r="AR138" s="696"/>
      <c r="AS138" s="696"/>
      <c r="AT138" s="696"/>
      <c r="AU138" s="696"/>
      <c r="AV138" s="696"/>
      <c r="AW138" s="696"/>
      <c r="AX138" s="696"/>
      <c r="AY138" s="696"/>
      <c r="AZ138" s="696"/>
      <c r="BA138" s="696"/>
      <c r="BB138" s="696"/>
      <c r="BC138" s="696"/>
      <c r="BD138" s="696"/>
      <c r="BE138" s="696"/>
      <c r="BF138" s="696"/>
      <c r="BG138" s="696"/>
      <c r="BH138" s="696"/>
      <c r="BI138" s="696"/>
      <c r="BJ138" s="696"/>
      <c r="BK138" s="696"/>
      <c r="BL138" s="696"/>
      <c r="BM138" s="696"/>
      <c r="BN138" s="696"/>
      <c r="BO138" s="696"/>
      <c r="BP138" s="696"/>
      <c r="BQ138" s="696"/>
      <c r="BR138" s="696"/>
      <c r="BS138" s="696"/>
      <c r="BT138" s="696"/>
      <c r="BU138" s="696"/>
      <c r="BV138" s="696"/>
      <c r="BW138" s="696"/>
      <c r="BX138" s="696"/>
      <c r="BY138" s="696"/>
      <c r="BZ138" s="696"/>
      <c r="CA138" s="696"/>
      <c r="CB138" s="696"/>
      <c r="CC138" s="696"/>
      <c r="CD138" s="696"/>
      <c r="CE138" s="696"/>
      <c r="CF138" s="696"/>
      <c r="CG138" s="696"/>
      <c r="CH138" s="696"/>
      <c r="CI138" s="696"/>
      <c r="CJ138" s="696"/>
      <c r="CK138" s="696"/>
      <c r="CL138" s="696"/>
      <c r="CM138" s="696"/>
      <c r="CN138" s="696"/>
      <c r="CO138" s="696"/>
      <c r="CP138" s="696"/>
      <c r="CQ138" s="696"/>
      <c r="CR138" s="696"/>
      <c r="CS138" s="696"/>
      <c r="CT138" s="696"/>
      <c r="CU138" s="696"/>
      <c r="CV138" s="696"/>
      <c r="CW138" s="696"/>
      <c r="CX138" s="696"/>
      <c r="CY138" s="696"/>
      <c r="CZ138" s="696"/>
      <c r="DA138" s="696"/>
      <c r="DB138" s="696"/>
      <c r="DC138" s="696"/>
      <c r="DD138" s="696"/>
      <c r="DE138" s="696"/>
      <c r="DF138" s="696"/>
      <c r="DG138" s="696"/>
      <c r="DH138" s="696"/>
      <c r="DI138" s="696"/>
      <c r="DJ138" s="696"/>
      <c r="DK138" s="696"/>
      <c r="DL138" s="696"/>
      <c r="DM138" s="696"/>
      <c r="DN138" s="696"/>
      <c r="DO138" s="696"/>
      <c r="DP138" s="696"/>
      <c r="DQ138" s="696"/>
      <c r="DR138" s="696"/>
      <c r="DS138" s="696"/>
      <c r="DT138" s="696"/>
      <c r="DU138" s="696"/>
      <c r="DV138" s="696"/>
      <c r="DW138" s="696"/>
      <c r="DX138" s="696"/>
      <c r="DY138" s="696"/>
      <c r="DZ138" s="696"/>
      <c r="EA138" s="696"/>
      <c r="EB138" s="696"/>
      <c r="EC138" s="696"/>
      <c r="ED138" s="696"/>
      <c r="EE138" s="696"/>
      <c r="EF138" s="696"/>
      <c r="EG138" s="696"/>
      <c r="EH138" s="696"/>
      <c r="EI138" s="696"/>
      <c r="EJ138" s="696"/>
      <c r="EK138" s="696"/>
      <c r="EL138" s="696"/>
      <c r="EM138" s="696"/>
      <c r="EN138" s="696"/>
      <c r="EO138" s="696"/>
      <c r="EP138" s="696"/>
      <c r="EQ138" s="696"/>
      <c r="ER138" s="696"/>
      <c r="ES138" s="696"/>
      <c r="ET138" s="696"/>
      <c r="EU138" s="696"/>
      <c r="EV138" s="696"/>
      <c r="EW138" s="696"/>
      <c r="EX138" s="696"/>
      <c r="EY138" s="696"/>
      <c r="EZ138" s="696"/>
      <c r="FA138" s="696"/>
      <c r="FB138" s="696"/>
      <c r="FC138" s="696"/>
      <c r="FD138" s="696"/>
      <c r="FE138" s="696"/>
      <c r="FF138" s="696"/>
      <c r="FG138" s="696"/>
      <c r="FH138" s="696"/>
      <c r="FI138" s="696"/>
      <c r="FJ138" s="696"/>
      <c r="FK138" s="696"/>
      <c r="FL138" s="696"/>
      <c r="FM138" s="696"/>
      <c r="FN138" s="696"/>
      <c r="FO138" s="696"/>
      <c r="FP138" s="696"/>
      <c r="FQ138" s="696"/>
      <c r="FR138" s="696"/>
      <c r="FS138" s="696"/>
      <c r="FT138" s="696"/>
      <c r="FU138" s="696"/>
      <c r="FV138" s="696"/>
      <c r="FW138" s="696"/>
      <c r="FX138" s="696"/>
      <c r="FY138" s="696"/>
      <c r="FZ138" s="696"/>
      <c r="GA138" s="696"/>
      <c r="GB138" s="696"/>
      <c r="GC138" s="696"/>
      <c r="GD138" s="696"/>
      <c r="GE138" s="696"/>
      <c r="GF138" s="696"/>
      <c r="GG138" s="696"/>
      <c r="GH138" s="696"/>
      <c r="GI138" s="696"/>
      <c r="GJ138" s="696"/>
      <c r="GK138" s="696"/>
      <c r="GL138" s="696"/>
      <c r="GM138" s="696"/>
      <c r="GN138" s="696"/>
      <c r="GO138" s="696"/>
      <c r="GP138" s="696"/>
      <c r="GQ138" s="696"/>
      <c r="GR138" s="696"/>
      <c r="GS138" s="696"/>
      <c r="GT138" s="696"/>
      <c r="GU138" s="696"/>
      <c r="GV138" s="696"/>
      <c r="GW138" s="696"/>
      <c r="GX138" s="696"/>
      <c r="GY138" s="696"/>
      <c r="GZ138" s="696"/>
      <c r="HA138" s="696"/>
      <c r="HB138" s="696"/>
      <c r="HC138" s="696"/>
      <c r="HD138" s="696"/>
      <c r="HE138" s="696"/>
      <c r="HF138" s="696"/>
      <c r="HG138" s="696"/>
      <c r="HH138" s="696"/>
      <c r="HI138" s="696"/>
      <c r="HJ138" s="696"/>
      <c r="HK138" s="696"/>
      <c r="HL138" s="696"/>
      <c r="HM138" s="696"/>
      <c r="HN138" s="696"/>
      <c r="HO138" s="696"/>
      <c r="HP138" s="696"/>
      <c r="HQ138" s="696"/>
      <c r="HR138" s="696"/>
      <c r="HS138" s="696"/>
      <c r="HT138" s="696"/>
      <c r="HU138" s="696"/>
      <c r="HV138" s="696"/>
      <c r="HW138" s="696"/>
      <c r="HX138" s="696"/>
      <c r="HY138" s="696"/>
      <c r="HZ138" s="696"/>
      <c r="IA138" s="696"/>
      <c r="IB138" s="696"/>
      <c r="IC138" s="696"/>
      <c r="ID138" s="696"/>
      <c r="IE138" s="696"/>
      <c r="IF138" s="696"/>
      <c r="IG138" s="696"/>
      <c r="IH138" s="696"/>
      <c r="II138" s="696"/>
      <c r="IJ138" s="696"/>
    </row>
    <row r="139" spans="1:251" ht="11.85" customHeight="1">
      <c r="A139" s="697"/>
      <c r="B139" s="706"/>
      <c r="C139" s="707"/>
      <c r="D139" s="707"/>
      <c r="E139" s="707"/>
      <c r="F139" s="707"/>
      <c r="G139" s="707"/>
      <c r="H139" s="707"/>
      <c r="I139" s="707"/>
      <c r="J139" s="708"/>
      <c r="K139" s="708"/>
      <c r="L139" s="708"/>
      <c r="M139" s="708"/>
      <c r="N139" s="708"/>
      <c r="O139" s="708"/>
      <c r="P139" s="698"/>
      <c r="Q139" s="698"/>
      <c r="R139" s="698"/>
      <c r="S139" s="698"/>
      <c r="T139" s="698"/>
      <c r="U139" s="698"/>
      <c r="V139" s="698"/>
      <c r="W139" s="698"/>
      <c r="X139" s="698"/>
      <c r="Y139" s="698"/>
      <c r="Z139" s="696"/>
      <c r="AA139" s="696"/>
      <c r="AB139" s="696"/>
      <c r="AC139" s="696"/>
      <c r="AD139" s="696"/>
      <c r="AE139" s="696"/>
      <c r="AF139" s="696"/>
      <c r="AG139" s="696"/>
      <c r="AH139" s="696"/>
      <c r="AI139" s="696"/>
      <c r="AJ139" s="696"/>
      <c r="AK139" s="696"/>
      <c r="AL139" s="696"/>
      <c r="AM139" s="696"/>
      <c r="AN139" s="696"/>
      <c r="AO139" s="696"/>
      <c r="AP139" s="696"/>
      <c r="AQ139" s="696"/>
      <c r="AR139" s="696"/>
      <c r="AS139" s="696"/>
      <c r="AT139" s="696"/>
      <c r="AU139" s="696"/>
      <c r="AV139" s="696"/>
      <c r="AW139" s="696"/>
      <c r="AX139" s="696"/>
      <c r="AY139" s="696"/>
      <c r="AZ139" s="696"/>
      <c r="BA139" s="696"/>
      <c r="BB139" s="696"/>
      <c r="BC139" s="696"/>
      <c r="BD139" s="696"/>
      <c r="BE139" s="696"/>
      <c r="BF139" s="696"/>
      <c r="BG139" s="696"/>
      <c r="BH139" s="696"/>
      <c r="BI139" s="696"/>
      <c r="BJ139" s="696"/>
      <c r="BK139" s="696"/>
      <c r="BL139" s="696"/>
      <c r="BM139" s="696"/>
      <c r="BN139" s="696"/>
      <c r="BO139" s="696"/>
      <c r="BP139" s="696"/>
      <c r="BQ139" s="696"/>
      <c r="BR139" s="696"/>
      <c r="BS139" s="696"/>
      <c r="BT139" s="696"/>
      <c r="BU139" s="696"/>
      <c r="BV139" s="696"/>
      <c r="BW139" s="696"/>
      <c r="BX139" s="696"/>
      <c r="BY139" s="696"/>
      <c r="BZ139" s="696"/>
      <c r="CA139" s="696"/>
      <c r="CB139" s="696"/>
      <c r="CC139" s="696"/>
      <c r="CD139" s="696"/>
      <c r="CE139" s="696"/>
      <c r="CF139" s="696"/>
      <c r="CG139" s="696"/>
      <c r="CH139" s="696"/>
      <c r="CI139" s="696"/>
      <c r="CJ139" s="696"/>
      <c r="CK139" s="696"/>
      <c r="CL139" s="696"/>
      <c r="CM139" s="696"/>
      <c r="CN139" s="696"/>
      <c r="CO139" s="696"/>
      <c r="CP139" s="696"/>
      <c r="CQ139" s="696"/>
      <c r="CR139" s="696"/>
      <c r="CS139" s="696"/>
      <c r="CT139" s="696"/>
      <c r="CU139" s="696"/>
      <c r="CV139" s="696"/>
      <c r="CW139" s="696"/>
      <c r="CX139" s="696"/>
      <c r="CY139" s="696"/>
      <c r="CZ139" s="696"/>
      <c r="DA139" s="696"/>
      <c r="DB139" s="696"/>
      <c r="DC139" s="696"/>
      <c r="DD139" s="696"/>
      <c r="DE139" s="696"/>
      <c r="DF139" s="696"/>
      <c r="DG139" s="696"/>
      <c r="DH139" s="696"/>
      <c r="DI139" s="696"/>
      <c r="DJ139" s="696"/>
      <c r="DK139" s="696"/>
      <c r="DL139" s="696"/>
      <c r="DM139" s="696"/>
      <c r="DN139" s="696"/>
      <c r="DO139" s="696"/>
      <c r="DP139" s="696"/>
      <c r="DQ139" s="696"/>
      <c r="DR139" s="696"/>
      <c r="DS139" s="696"/>
      <c r="DT139" s="696"/>
      <c r="DU139" s="696"/>
      <c r="DV139" s="696"/>
      <c r="DW139" s="696"/>
      <c r="DX139" s="696"/>
      <c r="DY139" s="696"/>
      <c r="DZ139" s="696"/>
      <c r="EA139" s="696"/>
      <c r="EB139" s="696"/>
      <c r="EC139" s="696"/>
      <c r="ED139" s="696"/>
      <c r="EE139" s="696"/>
      <c r="EF139" s="696"/>
      <c r="EG139" s="696"/>
      <c r="EH139" s="696"/>
      <c r="EI139" s="696"/>
      <c r="EJ139" s="696"/>
      <c r="EK139" s="696"/>
      <c r="EL139" s="696"/>
      <c r="EM139" s="696"/>
      <c r="EN139" s="696"/>
      <c r="EO139" s="696"/>
      <c r="EP139" s="696"/>
      <c r="EQ139" s="696"/>
      <c r="ER139" s="696"/>
      <c r="ES139" s="696"/>
      <c r="ET139" s="696"/>
      <c r="EU139" s="696"/>
      <c r="EV139" s="696"/>
      <c r="EW139" s="696"/>
      <c r="EX139" s="696"/>
      <c r="EY139" s="696"/>
      <c r="EZ139" s="696"/>
      <c r="FA139" s="696"/>
      <c r="FB139" s="696"/>
      <c r="FC139" s="696"/>
      <c r="FD139" s="696"/>
      <c r="FE139" s="696"/>
      <c r="FF139" s="696"/>
      <c r="FG139" s="696"/>
      <c r="FH139" s="696"/>
      <c r="FI139" s="696"/>
      <c r="FJ139" s="696"/>
      <c r="FK139" s="696"/>
      <c r="FL139" s="696"/>
      <c r="FM139" s="696"/>
      <c r="FN139" s="696"/>
      <c r="FO139" s="696"/>
      <c r="FP139" s="696"/>
      <c r="FQ139" s="696"/>
      <c r="FR139" s="696"/>
      <c r="FS139" s="696"/>
      <c r="FT139" s="696"/>
      <c r="FU139" s="696"/>
      <c r="FV139" s="696"/>
      <c r="FW139" s="696"/>
      <c r="FX139" s="696"/>
      <c r="FY139" s="696"/>
      <c r="FZ139" s="696"/>
      <c r="GA139" s="696"/>
      <c r="GB139" s="696"/>
      <c r="GC139" s="696"/>
      <c r="GD139" s="696"/>
      <c r="GE139" s="696"/>
      <c r="GF139" s="696"/>
      <c r="GG139" s="696"/>
      <c r="GH139" s="696"/>
      <c r="GI139" s="696"/>
      <c r="GJ139" s="696"/>
      <c r="GK139" s="696"/>
      <c r="GL139" s="696"/>
      <c r="GM139" s="696"/>
      <c r="GN139" s="696"/>
      <c r="GO139" s="696"/>
      <c r="GP139" s="696"/>
      <c r="GQ139" s="696"/>
      <c r="GR139" s="696"/>
      <c r="GS139" s="696"/>
      <c r="GT139" s="696"/>
      <c r="GU139" s="696"/>
      <c r="GV139" s="696"/>
      <c r="GW139" s="696"/>
      <c r="GX139" s="696"/>
      <c r="GY139" s="696"/>
      <c r="GZ139" s="696"/>
      <c r="HA139" s="696"/>
      <c r="HB139" s="696"/>
      <c r="HC139" s="696"/>
      <c r="HD139" s="696"/>
      <c r="HE139" s="696"/>
      <c r="HF139" s="696"/>
      <c r="HG139" s="696"/>
      <c r="HH139" s="696"/>
      <c r="HI139" s="696"/>
      <c r="HJ139" s="696"/>
      <c r="HK139" s="696"/>
      <c r="HL139" s="696"/>
      <c r="HM139" s="696"/>
      <c r="HN139" s="696"/>
      <c r="HO139" s="696"/>
      <c r="HP139" s="696"/>
      <c r="HQ139" s="696"/>
      <c r="HR139" s="696"/>
      <c r="HS139" s="696"/>
      <c r="HT139" s="696"/>
      <c r="HU139" s="696"/>
      <c r="HV139" s="696"/>
      <c r="HW139" s="696"/>
      <c r="HX139" s="696"/>
      <c r="HY139" s="696"/>
      <c r="HZ139" s="696"/>
      <c r="IA139" s="696"/>
      <c r="IB139" s="696"/>
      <c r="IC139" s="696"/>
      <c r="ID139" s="696"/>
      <c r="IE139" s="696"/>
      <c r="IF139" s="696"/>
      <c r="IG139" s="696"/>
      <c r="IH139" s="696"/>
      <c r="II139" s="696"/>
      <c r="IJ139" s="696"/>
      <c r="IK139" s="696"/>
      <c r="IL139" s="696"/>
      <c r="IM139" s="696"/>
      <c r="IN139" s="696"/>
      <c r="IO139" s="696"/>
      <c r="IP139" s="696"/>
      <c r="IQ139" s="696"/>
    </row>
    <row r="140" spans="1:251" ht="11.85" customHeight="1">
      <c r="A140" s="709"/>
      <c r="B140" s="710" t="s">
        <v>481</v>
      </c>
    </row>
    <row r="141" spans="1:251" ht="11.85" customHeight="1">
      <c r="A141" s="709"/>
      <c r="B141" s="713"/>
      <c r="C141" s="714" t="s">
        <v>477</v>
      </c>
      <c r="D141" s="1299" t="s">
        <v>478</v>
      </c>
      <c r="E141" s="1300"/>
      <c r="F141" s="1300"/>
      <c r="G141" s="1300"/>
      <c r="H141" s="1300"/>
      <c r="I141" s="1300"/>
      <c r="J141" s="1301"/>
      <c r="K141" s="703" t="s">
        <v>32</v>
      </c>
      <c r="L141" s="1299" t="s">
        <v>202</v>
      </c>
      <c r="M141" s="1300"/>
      <c r="N141" s="1300"/>
      <c r="O141" s="1301"/>
      <c r="P141" s="715"/>
      <c r="Q141" s="716"/>
      <c r="Z141" s="711"/>
    </row>
    <row r="142" spans="1:251" ht="11.85" customHeight="1">
      <c r="A142" s="709"/>
      <c r="B142" s="713" t="s">
        <v>482</v>
      </c>
      <c r="C142" s="714">
        <v>8</v>
      </c>
      <c r="D142" s="1306">
        <v>8</v>
      </c>
      <c r="E142" s="1306"/>
      <c r="F142" s="1306"/>
      <c r="G142" s="1306"/>
      <c r="H142" s="1306"/>
      <c r="I142" s="1306"/>
      <c r="J142" s="1306"/>
      <c r="K142" s="703">
        <v>12</v>
      </c>
      <c r="L142" s="1299" t="s">
        <v>219</v>
      </c>
      <c r="M142" s="1300"/>
      <c r="N142" s="1300"/>
      <c r="O142" s="1301"/>
      <c r="P142" s="715"/>
      <c r="Q142" s="716"/>
      <c r="R142" s="706"/>
      <c r="S142" s="706"/>
      <c r="T142" s="706"/>
      <c r="U142" s="706"/>
      <c r="V142" s="706"/>
      <c r="Z142" s="711"/>
    </row>
    <row r="143" spans="1:251">
      <c r="A143" s="697"/>
      <c r="B143" s="706"/>
      <c r="C143" s="707"/>
      <c r="D143" s="707"/>
      <c r="E143" s="707"/>
      <c r="F143" s="707"/>
      <c r="G143" s="707"/>
      <c r="H143" s="707"/>
      <c r="I143" s="707"/>
      <c r="J143" s="708"/>
      <c r="K143" s="708"/>
      <c r="L143" s="708"/>
      <c r="M143" s="708"/>
      <c r="N143" s="708"/>
      <c r="O143" s="708"/>
      <c r="P143" s="698"/>
      <c r="Q143" s="698"/>
      <c r="R143" s="698"/>
      <c r="S143" s="698"/>
      <c r="T143" s="698"/>
      <c r="U143" s="698"/>
      <c r="V143" s="698"/>
      <c r="W143" s="698"/>
      <c r="X143" s="698"/>
      <c r="Y143" s="698"/>
      <c r="Z143" s="696"/>
      <c r="AA143" s="696"/>
      <c r="AB143" s="696"/>
      <c r="AC143" s="696"/>
      <c r="AD143" s="696"/>
      <c r="AE143" s="696"/>
      <c r="AF143" s="696"/>
      <c r="AG143" s="696"/>
      <c r="AH143" s="696"/>
      <c r="AI143" s="696"/>
      <c r="AJ143" s="696"/>
      <c r="AK143" s="696"/>
      <c r="AL143" s="696"/>
      <c r="AM143" s="696"/>
      <c r="AN143" s="696"/>
      <c r="AO143" s="696"/>
      <c r="AP143" s="696"/>
      <c r="AQ143" s="696"/>
      <c r="AR143" s="696"/>
      <c r="AS143" s="696"/>
      <c r="AT143" s="696"/>
      <c r="AU143" s="696"/>
      <c r="AV143" s="696"/>
      <c r="AW143" s="696"/>
      <c r="AX143" s="696"/>
      <c r="AY143" s="696"/>
      <c r="AZ143" s="696"/>
      <c r="BA143" s="696"/>
      <c r="BB143" s="696"/>
      <c r="BC143" s="696"/>
      <c r="BD143" s="696"/>
      <c r="BE143" s="696"/>
      <c r="BF143" s="696"/>
      <c r="BG143" s="696"/>
      <c r="BH143" s="696"/>
      <c r="BI143" s="696"/>
      <c r="BJ143" s="696"/>
      <c r="BK143" s="696"/>
      <c r="BL143" s="696"/>
      <c r="BM143" s="696"/>
      <c r="BN143" s="696"/>
      <c r="BO143" s="696"/>
      <c r="BP143" s="696"/>
      <c r="BQ143" s="696"/>
      <c r="BR143" s="696"/>
      <c r="BS143" s="696"/>
      <c r="BT143" s="696"/>
      <c r="BU143" s="696"/>
      <c r="BV143" s="696"/>
      <c r="BW143" s="696"/>
      <c r="BX143" s="696"/>
      <c r="BY143" s="696"/>
      <c r="BZ143" s="696"/>
      <c r="CA143" s="696"/>
      <c r="CB143" s="696"/>
      <c r="CC143" s="696"/>
      <c r="CD143" s="696"/>
      <c r="CE143" s="696"/>
      <c r="CF143" s="696"/>
      <c r="CG143" s="696"/>
      <c r="CH143" s="696"/>
      <c r="CI143" s="696"/>
      <c r="CJ143" s="696"/>
      <c r="CK143" s="696"/>
      <c r="CL143" s="696"/>
      <c r="CM143" s="696"/>
      <c r="CN143" s="696"/>
      <c r="CO143" s="696"/>
      <c r="CP143" s="696"/>
      <c r="CQ143" s="696"/>
      <c r="CR143" s="696"/>
      <c r="CS143" s="696"/>
      <c r="CT143" s="696"/>
      <c r="CU143" s="696"/>
      <c r="CV143" s="696"/>
      <c r="CW143" s="696"/>
      <c r="CX143" s="696"/>
      <c r="CY143" s="696"/>
      <c r="CZ143" s="696"/>
      <c r="DA143" s="696"/>
      <c r="DB143" s="696"/>
      <c r="DC143" s="696"/>
      <c r="DD143" s="696"/>
      <c r="DE143" s="696"/>
      <c r="DF143" s="696"/>
      <c r="DG143" s="696"/>
      <c r="DH143" s="696"/>
      <c r="DI143" s="696"/>
      <c r="DJ143" s="696"/>
      <c r="DK143" s="696"/>
      <c r="DL143" s="696"/>
      <c r="DM143" s="696"/>
      <c r="DN143" s="696"/>
      <c r="DO143" s="696"/>
      <c r="DP143" s="696"/>
      <c r="DQ143" s="696"/>
      <c r="DR143" s="696"/>
      <c r="DS143" s="696"/>
      <c r="DT143" s="696"/>
      <c r="DU143" s="696"/>
      <c r="DV143" s="696"/>
      <c r="DW143" s="696"/>
      <c r="DX143" s="696"/>
      <c r="DY143" s="696"/>
      <c r="DZ143" s="696"/>
      <c r="EA143" s="696"/>
      <c r="EB143" s="696"/>
      <c r="EC143" s="696"/>
      <c r="ED143" s="696"/>
      <c r="EE143" s="696"/>
      <c r="EF143" s="696"/>
      <c r="EG143" s="696"/>
      <c r="EH143" s="696"/>
      <c r="EI143" s="696"/>
      <c r="EJ143" s="696"/>
      <c r="EK143" s="696"/>
      <c r="EL143" s="696"/>
      <c r="EM143" s="696"/>
      <c r="EN143" s="696"/>
      <c r="EO143" s="696"/>
      <c r="EP143" s="696"/>
      <c r="EQ143" s="696"/>
      <c r="ER143" s="696"/>
      <c r="ES143" s="696"/>
      <c r="ET143" s="696"/>
      <c r="EU143" s="696"/>
      <c r="EV143" s="696"/>
      <c r="EW143" s="696"/>
      <c r="EX143" s="696"/>
      <c r="EY143" s="696"/>
      <c r="EZ143" s="696"/>
      <c r="FA143" s="696"/>
      <c r="FB143" s="696"/>
      <c r="FC143" s="696"/>
      <c r="FD143" s="696"/>
      <c r="FE143" s="696"/>
      <c r="FF143" s="696"/>
      <c r="FG143" s="696"/>
      <c r="FH143" s="696"/>
      <c r="FI143" s="696"/>
      <c r="FJ143" s="696"/>
      <c r="FK143" s="696"/>
      <c r="FL143" s="696"/>
      <c r="FM143" s="696"/>
      <c r="FN143" s="696"/>
      <c r="FO143" s="696"/>
      <c r="FP143" s="696"/>
      <c r="FQ143" s="696"/>
      <c r="FR143" s="696"/>
      <c r="FS143" s="696"/>
      <c r="FT143" s="696"/>
      <c r="FU143" s="696"/>
      <c r="FV143" s="696"/>
      <c r="FW143" s="696"/>
      <c r="FX143" s="696"/>
      <c r="FY143" s="696"/>
      <c r="FZ143" s="696"/>
      <c r="GA143" s="696"/>
      <c r="GB143" s="696"/>
      <c r="GC143" s="696"/>
      <c r="GD143" s="696"/>
      <c r="GE143" s="696"/>
      <c r="GF143" s="696"/>
      <c r="GG143" s="696"/>
      <c r="GH143" s="696"/>
      <c r="GI143" s="696"/>
      <c r="GJ143" s="696"/>
      <c r="GK143" s="696"/>
      <c r="GL143" s="696"/>
      <c r="GM143" s="696"/>
      <c r="GN143" s="696"/>
      <c r="GO143" s="696"/>
      <c r="GP143" s="696"/>
      <c r="GQ143" s="696"/>
      <c r="GR143" s="696"/>
      <c r="GS143" s="696"/>
      <c r="GT143" s="696"/>
      <c r="GU143" s="696"/>
      <c r="GV143" s="696"/>
      <c r="GW143" s="696"/>
      <c r="GX143" s="696"/>
      <c r="GY143" s="696"/>
      <c r="GZ143" s="696"/>
      <c r="HA143" s="696"/>
      <c r="HB143" s="696"/>
      <c r="HC143" s="696"/>
      <c r="HD143" s="696"/>
      <c r="HE143" s="696"/>
      <c r="HF143" s="696"/>
      <c r="HG143" s="696"/>
      <c r="HH143" s="696"/>
      <c r="HI143" s="696"/>
      <c r="HJ143" s="696"/>
      <c r="HK143" s="696"/>
      <c r="HL143" s="696"/>
      <c r="HM143" s="696"/>
      <c r="HN143" s="696"/>
      <c r="HO143" s="696"/>
      <c r="HP143" s="696"/>
      <c r="HQ143" s="696"/>
      <c r="HR143" s="696"/>
      <c r="HS143" s="696"/>
      <c r="HT143" s="696"/>
      <c r="HU143" s="696"/>
      <c r="HV143" s="696"/>
      <c r="HW143" s="696"/>
      <c r="HX143" s="696"/>
      <c r="HY143" s="696"/>
      <c r="HZ143" s="696"/>
      <c r="IA143" s="696"/>
      <c r="IB143" s="696"/>
      <c r="IC143" s="696"/>
      <c r="ID143" s="696"/>
      <c r="IE143" s="696"/>
      <c r="IF143" s="696"/>
      <c r="IG143" s="696"/>
      <c r="IH143" s="696"/>
      <c r="II143" s="696"/>
      <c r="IJ143" s="696"/>
      <c r="IK143" s="696"/>
      <c r="IL143" s="696"/>
      <c r="IM143" s="696"/>
      <c r="IN143" s="696"/>
      <c r="IO143" s="696"/>
      <c r="IP143" s="696"/>
      <c r="IQ143" s="696"/>
    </row>
    <row r="144" spans="1:251" ht="12.75" customHeight="1">
      <c r="A144" s="1302" t="s">
        <v>541</v>
      </c>
      <c r="B144" s="1302"/>
      <c r="C144" s="1302"/>
      <c r="D144" s="1302"/>
      <c r="E144" s="1302"/>
      <c r="F144" s="1302"/>
      <c r="G144" s="1302"/>
      <c r="H144" s="1302"/>
      <c r="I144" s="1302"/>
      <c r="J144" s="1302"/>
      <c r="K144" s="1302"/>
      <c r="L144" s="1302"/>
      <c r="M144" s="1302"/>
      <c r="N144" s="1302"/>
      <c r="O144" s="1302"/>
      <c r="P144" s="1302"/>
      <c r="Q144" s="1302"/>
      <c r="R144" s="1302"/>
      <c r="S144" s="1302"/>
      <c r="T144" s="1302"/>
      <c r="U144" s="1302"/>
      <c r="V144" s="1302"/>
      <c r="W144" s="1302"/>
      <c r="X144" s="1302"/>
      <c r="Y144" s="1302"/>
      <c r="Z144" s="698"/>
      <c r="AA144" s="698"/>
      <c r="AB144" s="698"/>
      <c r="AC144" s="698"/>
      <c r="AD144" s="698"/>
      <c r="AE144" s="698"/>
      <c r="AF144" s="698"/>
      <c r="AG144" s="698"/>
      <c r="AH144" s="698"/>
      <c r="AI144" s="698"/>
      <c r="AJ144" s="698"/>
      <c r="AK144" s="698"/>
      <c r="AL144" s="698"/>
      <c r="AM144" s="698"/>
      <c r="AN144" s="698"/>
      <c r="AO144" s="698"/>
      <c r="AP144" s="698"/>
      <c r="AQ144" s="698"/>
      <c r="AR144" s="698"/>
      <c r="AS144" s="698"/>
      <c r="AT144" s="698"/>
      <c r="AU144" s="698"/>
      <c r="AV144" s="698"/>
      <c r="AW144" s="698"/>
      <c r="AX144" s="698"/>
      <c r="AY144" s="698"/>
      <c r="AZ144" s="698"/>
      <c r="BA144" s="698"/>
      <c r="BB144" s="698"/>
      <c r="BC144" s="698"/>
      <c r="BD144" s="698"/>
      <c r="BE144" s="698"/>
      <c r="BF144" s="698"/>
      <c r="BG144" s="698"/>
      <c r="BH144" s="698"/>
      <c r="BI144" s="698"/>
      <c r="BJ144" s="698"/>
      <c r="BK144" s="698"/>
      <c r="BL144" s="698"/>
      <c r="BM144" s="698"/>
      <c r="BN144" s="698"/>
      <c r="BO144" s="698"/>
      <c r="BP144" s="698"/>
      <c r="BQ144" s="698"/>
      <c r="BR144" s="698"/>
      <c r="BS144" s="698"/>
      <c r="BT144" s="698"/>
      <c r="BU144" s="698"/>
      <c r="BV144" s="698"/>
      <c r="BW144" s="698"/>
      <c r="BX144" s="698"/>
      <c r="BY144" s="698"/>
      <c r="BZ144" s="698"/>
      <c r="CA144" s="698"/>
      <c r="CB144" s="698"/>
      <c r="CC144" s="698"/>
      <c r="CD144" s="698"/>
      <c r="CE144" s="698"/>
      <c r="CF144" s="698"/>
      <c r="CG144" s="698"/>
      <c r="CH144" s="698"/>
      <c r="CI144" s="698"/>
      <c r="CJ144" s="698"/>
      <c r="CK144" s="698"/>
      <c r="CL144" s="698"/>
      <c r="CM144" s="698"/>
      <c r="CN144" s="698"/>
      <c r="CO144" s="698"/>
      <c r="CP144" s="698"/>
      <c r="CQ144" s="698"/>
      <c r="CR144" s="698"/>
      <c r="CS144" s="698"/>
      <c r="CT144" s="698"/>
      <c r="CU144" s="698"/>
      <c r="CV144" s="698"/>
      <c r="CW144" s="698"/>
      <c r="CX144" s="698"/>
      <c r="CY144" s="698"/>
      <c r="CZ144" s="698"/>
      <c r="DA144" s="698"/>
      <c r="DB144" s="698"/>
      <c r="DC144" s="698"/>
      <c r="DD144" s="698"/>
      <c r="DE144" s="698"/>
      <c r="DF144" s="698"/>
      <c r="DG144" s="698"/>
      <c r="DH144" s="698"/>
      <c r="DI144" s="698"/>
      <c r="DJ144" s="698"/>
      <c r="DK144" s="698"/>
      <c r="DL144" s="698"/>
      <c r="DM144" s="698"/>
      <c r="DN144" s="698"/>
      <c r="DO144" s="698"/>
      <c r="DP144" s="698"/>
      <c r="DQ144" s="698"/>
      <c r="DR144" s="698"/>
      <c r="DS144" s="698"/>
      <c r="DT144" s="698"/>
      <c r="DU144" s="698"/>
      <c r="DV144" s="698"/>
      <c r="DW144" s="698"/>
      <c r="DX144" s="698"/>
      <c r="DY144" s="698"/>
      <c r="DZ144" s="698"/>
      <c r="EA144" s="698"/>
      <c r="EB144" s="698"/>
      <c r="EC144" s="698"/>
      <c r="ED144" s="698"/>
      <c r="EE144" s="698"/>
      <c r="EF144" s="698"/>
      <c r="EG144" s="698"/>
      <c r="EH144" s="698"/>
      <c r="EI144" s="698"/>
      <c r="EJ144" s="698"/>
      <c r="EK144" s="698"/>
      <c r="EL144" s="698"/>
      <c r="EM144" s="698"/>
      <c r="EN144" s="698"/>
      <c r="EO144" s="698"/>
      <c r="EP144" s="698"/>
      <c r="EQ144" s="698"/>
      <c r="ER144" s="698"/>
      <c r="ES144" s="698"/>
      <c r="ET144" s="698"/>
      <c r="EU144" s="698"/>
      <c r="EV144" s="698"/>
      <c r="EW144" s="698"/>
      <c r="EX144" s="698"/>
      <c r="EY144" s="698"/>
      <c r="EZ144" s="698"/>
      <c r="FA144" s="698"/>
      <c r="FB144" s="698"/>
      <c r="FC144" s="698"/>
      <c r="FD144" s="698"/>
      <c r="FE144" s="698"/>
      <c r="FF144" s="698"/>
      <c r="FG144" s="698"/>
      <c r="FH144" s="698"/>
      <c r="FI144" s="698"/>
      <c r="FJ144" s="698"/>
      <c r="FK144" s="698"/>
      <c r="FL144" s="698"/>
      <c r="FM144" s="698"/>
      <c r="FN144" s="698"/>
      <c r="FO144" s="698"/>
      <c r="FP144" s="698"/>
      <c r="FQ144" s="698"/>
      <c r="FR144" s="698"/>
      <c r="FS144" s="698"/>
      <c r="FT144" s="698"/>
      <c r="FU144" s="698"/>
      <c r="FV144" s="698"/>
      <c r="FW144" s="698"/>
      <c r="FX144" s="698"/>
      <c r="FY144" s="698"/>
      <c r="FZ144" s="698"/>
      <c r="GA144" s="698"/>
      <c r="GB144" s="698"/>
      <c r="GC144" s="698"/>
      <c r="GD144" s="698"/>
      <c r="GE144" s="698"/>
      <c r="GF144" s="698"/>
      <c r="GG144" s="698"/>
      <c r="GH144" s="698"/>
      <c r="GI144" s="698"/>
      <c r="GJ144" s="698"/>
      <c r="GK144" s="698"/>
      <c r="GL144" s="698"/>
      <c r="GM144" s="698"/>
      <c r="GN144" s="698"/>
      <c r="GO144" s="698"/>
      <c r="GP144" s="698"/>
      <c r="GQ144" s="698"/>
      <c r="GR144" s="698"/>
      <c r="GS144" s="698"/>
      <c r="GT144" s="698"/>
      <c r="GU144" s="698"/>
      <c r="GV144" s="698"/>
      <c r="GW144" s="698"/>
      <c r="GX144" s="698"/>
      <c r="GY144" s="698"/>
      <c r="GZ144" s="698"/>
      <c r="HA144" s="698"/>
      <c r="HB144" s="698"/>
      <c r="HC144" s="698"/>
      <c r="HD144" s="698"/>
      <c r="HE144" s="698"/>
      <c r="HF144" s="698"/>
      <c r="HG144" s="698"/>
      <c r="HH144" s="698"/>
      <c r="HI144" s="698"/>
      <c r="HJ144" s="698"/>
      <c r="HK144" s="698"/>
      <c r="HL144" s="698"/>
      <c r="HM144" s="698"/>
      <c r="HN144" s="698"/>
      <c r="HO144" s="698"/>
      <c r="HP144" s="698"/>
      <c r="HQ144" s="698"/>
      <c r="HR144" s="698"/>
      <c r="HS144" s="698"/>
      <c r="HT144" s="698"/>
      <c r="HU144" s="698"/>
      <c r="HV144" s="698"/>
      <c r="HW144" s="698"/>
      <c r="HX144" s="698"/>
      <c r="HY144" s="698"/>
      <c r="HZ144" s="698"/>
      <c r="IA144" s="698"/>
      <c r="IB144" s="698"/>
      <c r="IC144" s="698"/>
      <c r="ID144" s="698"/>
      <c r="IE144" s="698"/>
      <c r="IF144" s="698"/>
      <c r="IG144" s="698"/>
      <c r="IH144" s="698"/>
      <c r="II144" s="698"/>
      <c r="IJ144" s="698"/>
      <c r="IK144" s="698"/>
      <c r="IL144" s="698"/>
      <c r="IM144" s="698"/>
      <c r="IN144" s="698"/>
      <c r="IO144" s="698"/>
      <c r="IP144" s="698"/>
      <c r="IQ144" s="698"/>
    </row>
    <row r="145" spans="1:251">
      <c r="A145" s="718"/>
      <c r="B145" s="719"/>
      <c r="C145" s="719"/>
      <c r="D145" s="719"/>
      <c r="E145" s="719"/>
      <c r="F145" s="717"/>
      <c r="G145" s="717"/>
      <c r="H145" s="717"/>
      <c r="I145" s="717"/>
      <c r="J145" s="719"/>
      <c r="K145" s="719"/>
      <c r="L145" s="719"/>
      <c r="M145" s="719"/>
      <c r="N145" s="719"/>
      <c r="O145" s="698"/>
      <c r="P145" s="698"/>
      <c r="Q145" s="698"/>
      <c r="R145" s="698"/>
      <c r="S145" s="698"/>
      <c r="T145" s="698"/>
      <c r="U145" s="698"/>
      <c r="V145" s="698"/>
      <c r="W145" s="698"/>
      <c r="X145" s="698"/>
      <c r="Y145" s="698"/>
      <c r="Z145" s="698"/>
      <c r="AA145" s="698"/>
      <c r="AB145" s="698"/>
      <c r="AC145" s="698"/>
      <c r="AD145" s="698"/>
      <c r="AE145" s="698"/>
      <c r="AF145" s="698"/>
      <c r="AG145" s="698"/>
      <c r="AH145" s="698"/>
      <c r="AI145" s="698"/>
      <c r="AJ145" s="698"/>
      <c r="AK145" s="698"/>
      <c r="AL145" s="698"/>
      <c r="AM145" s="698"/>
      <c r="AN145" s="698"/>
      <c r="AO145" s="698"/>
      <c r="AP145" s="698"/>
      <c r="AQ145" s="698"/>
      <c r="AR145" s="698"/>
      <c r="AS145" s="698"/>
      <c r="AT145" s="698"/>
      <c r="AU145" s="698"/>
      <c r="AV145" s="698"/>
      <c r="AW145" s="698"/>
      <c r="AX145" s="698"/>
      <c r="AY145" s="698"/>
      <c r="AZ145" s="698"/>
      <c r="BA145" s="698"/>
      <c r="BB145" s="698"/>
      <c r="BC145" s="698"/>
      <c r="BD145" s="698"/>
      <c r="BE145" s="698"/>
      <c r="BF145" s="698"/>
      <c r="BG145" s="698"/>
      <c r="BH145" s="698"/>
      <c r="BI145" s="698"/>
      <c r="BJ145" s="698"/>
      <c r="BK145" s="698"/>
      <c r="BL145" s="698"/>
      <c r="BM145" s="698"/>
      <c r="BN145" s="698"/>
      <c r="BO145" s="698"/>
      <c r="BP145" s="698"/>
      <c r="BQ145" s="698"/>
      <c r="BR145" s="698"/>
      <c r="BS145" s="698"/>
      <c r="BT145" s="698"/>
      <c r="BU145" s="698"/>
      <c r="BV145" s="698"/>
      <c r="BW145" s="698"/>
      <c r="BX145" s="698"/>
      <c r="BY145" s="698"/>
      <c r="BZ145" s="698"/>
      <c r="CA145" s="698"/>
      <c r="CB145" s="698"/>
      <c r="CC145" s="698"/>
      <c r="CD145" s="698"/>
      <c r="CE145" s="698"/>
      <c r="CF145" s="698"/>
      <c r="CG145" s="698"/>
      <c r="CH145" s="698"/>
      <c r="CI145" s="698"/>
      <c r="CJ145" s="698"/>
      <c r="CK145" s="698"/>
      <c r="CL145" s="698"/>
      <c r="CM145" s="698"/>
      <c r="CN145" s="698"/>
      <c r="CO145" s="698"/>
      <c r="CP145" s="698"/>
      <c r="CQ145" s="698"/>
      <c r="CR145" s="698"/>
      <c r="CS145" s="698"/>
      <c r="CT145" s="698"/>
      <c r="CU145" s="698"/>
      <c r="CV145" s="698"/>
      <c r="CW145" s="698"/>
      <c r="CX145" s="698"/>
      <c r="CY145" s="698"/>
      <c r="CZ145" s="698"/>
      <c r="DA145" s="698"/>
      <c r="DB145" s="698"/>
      <c r="DC145" s="698"/>
      <c r="DD145" s="698"/>
      <c r="DE145" s="698"/>
      <c r="DF145" s="698"/>
      <c r="DG145" s="698"/>
      <c r="DH145" s="698"/>
      <c r="DI145" s="698"/>
      <c r="DJ145" s="698"/>
      <c r="DK145" s="698"/>
      <c r="DL145" s="698"/>
      <c r="DM145" s="698"/>
      <c r="DN145" s="698"/>
      <c r="DO145" s="698"/>
      <c r="DP145" s="698"/>
      <c r="DQ145" s="698"/>
      <c r="DR145" s="698"/>
      <c r="DS145" s="698"/>
      <c r="DT145" s="698"/>
      <c r="DU145" s="698"/>
      <c r="DV145" s="698"/>
      <c r="DW145" s="698"/>
      <c r="DX145" s="698"/>
      <c r="DY145" s="698"/>
      <c r="DZ145" s="698"/>
      <c r="EA145" s="698"/>
      <c r="EB145" s="698"/>
      <c r="EC145" s="698"/>
      <c r="ED145" s="698"/>
      <c r="EE145" s="698"/>
      <c r="EF145" s="698"/>
      <c r="EG145" s="698"/>
      <c r="EH145" s="698"/>
      <c r="EI145" s="698"/>
      <c r="EJ145" s="698"/>
      <c r="EK145" s="698"/>
      <c r="EL145" s="698"/>
      <c r="EM145" s="698"/>
      <c r="EN145" s="698"/>
      <c r="EO145" s="698"/>
      <c r="EP145" s="698"/>
      <c r="EQ145" s="698"/>
      <c r="ER145" s="698"/>
      <c r="ES145" s="698"/>
      <c r="ET145" s="698"/>
      <c r="EU145" s="698"/>
      <c r="EV145" s="698"/>
      <c r="EW145" s="698"/>
      <c r="EX145" s="698"/>
      <c r="EY145" s="698"/>
      <c r="EZ145" s="698"/>
      <c r="FA145" s="698"/>
      <c r="FB145" s="698"/>
      <c r="FC145" s="698"/>
      <c r="FD145" s="698"/>
      <c r="FE145" s="698"/>
      <c r="FF145" s="698"/>
      <c r="FG145" s="698"/>
      <c r="FH145" s="698"/>
      <c r="FI145" s="698"/>
      <c r="FJ145" s="698"/>
      <c r="FK145" s="698"/>
      <c r="FL145" s="698"/>
      <c r="FM145" s="698"/>
      <c r="FN145" s="698"/>
      <c r="FO145" s="698"/>
      <c r="FP145" s="698"/>
      <c r="FQ145" s="698"/>
      <c r="FR145" s="698"/>
      <c r="FS145" s="698"/>
      <c r="FT145" s="698"/>
      <c r="FU145" s="698"/>
      <c r="FV145" s="698"/>
      <c r="FW145" s="698"/>
      <c r="FX145" s="698"/>
      <c r="FY145" s="698"/>
      <c r="FZ145" s="698"/>
      <c r="GA145" s="698"/>
      <c r="GB145" s="698"/>
      <c r="GC145" s="698"/>
      <c r="GD145" s="698"/>
      <c r="GE145" s="698"/>
      <c r="GF145" s="698"/>
      <c r="GG145" s="698"/>
      <c r="GH145" s="698"/>
      <c r="GI145" s="698"/>
      <c r="GJ145" s="698"/>
      <c r="GK145" s="698"/>
      <c r="GL145" s="698"/>
      <c r="GM145" s="698"/>
      <c r="GN145" s="698"/>
      <c r="GO145" s="698"/>
      <c r="GP145" s="698"/>
      <c r="GQ145" s="698"/>
      <c r="GR145" s="698"/>
      <c r="GS145" s="698"/>
      <c r="GT145" s="698"/>
      <c r="GU145" s="698"/>
      <c r="GV145" s="698"/>
      <c r="GW145" s="698"/>
      <c r="GX145" s="698"/>
      <c r="GY145" s="698"/>
      <c r="GZ145" s="698"/>
      <c r="HA145" s="698"/>
      <c r="HB145" s="698"/>
      <c r="HC145" s="698"/>
      <c r="HD145" s="698"/>
      <c r="HE145" s="698"/>
      <c r="HF145" s="698"/>
      <c r="HG145" s="698"/>
      <c r="HH145" s="698"/>
      <c r="HI145" s="698"/>
      <c r="HJ145" s="698"/>
      <c r="HK145" s="698"/>
      <c r="HL145" s="698"/>
      <c r="HM145" s="698"/>
      <c r="HN145" s="698"/>
      <c r="HO145" s="698"/>
      <c r="HP145" s="698"/>
      <c r="HQ145" s="698"/>
      <c r="HR145" s="698"/>
      <c r="HS145" s="698"/>
      <c r="HT145" s="698"/>
      <c r="HU145" s="698"/>
      <c r="HV145" s="698"/>
      <c r="HW145" s="698"/>
      <c r="HX145" s="698"/>
      <c r="HY145" s="698"/>
      <c r="HZ145" s="698"/>
      <c r="IA145" s="698"/>
      <c r="IB145" s="698"/>
      <c r="IC145" s="698"/>
      <c r="ID145" s="698"/>
      <c r="IE145" s="698"/>
      <c r="IF145" s="698"/>
      <c r="IG145" s="698"/>
      <c r="IH145" s="698"/>
      <c r="II145" s="698"/>
      <c r="IJ145" s="698"/>
      <c r="IK145" s="698"/>
      <c r="IL145" s="698"/>
      <c r="IM145" s="698"/>
      <c r="IN145" s="698"/>
      <c r="IO145" s="698"/>
      <c r="IP145" s="698"/>
      <c r="IQ145" s="698"/>
    </row>
    <row r="146" spans="1:251" ht="20.100000000000001" customHeight="1">
      <c r="A146" s="709"/>
      <c r="B146" s="711" t="s">
        <v>542</v>
      </c>
      <c r="C146" s="720"/>
      <c r="D146" s="721" t="s">
        <v>543</v>
      </c>
    </row>
    <row r="147" spans="1:251" ht="20.100000000000001" customHeight="1">
      <c r="A147" s="709"/>
      <c r="B147" s="698" t="str">
        <f>Шахм!AA152</f>
        <v>Зав.кафедрой АСОИУ</v>
      </c>
      <c r="C147" s="722"/>
      <c r="D147" s="721" t="str">
        <f>Шахм!AF152</f>
        <v>Б.Я. Советов</v>
      </c>
      <c r="Z147" s="711"/>
      <c r="AA147" s="711"/>
      <c r="AB147" s="711"/>
      <c r="AC147" s="711"/>
      <c r="AD147" s="711"/>
      <c r="AE147" s="711"/>
      <c r="AF147" s="711"/>
      <c r="AG147" s="711"/>
      <c r="AH147" s="711"/>
      <c r="AI147" s="711"/>
      <c r="AJ147" s="711"/>
      <c r="AK147" s="711"/>
      <c r="AL147" s="711"/>
      <c r="AM147" s="711"/>
      <c r="AN147" s="711"/>
      <c r="AO147" s="711"/>
      <c r="AP147" s="711"/>
      <c r="AQ147" s="711"/>
      <c r="AR147" s="711"/>
      <c r="AS147" s="711"/>
      <c r="AT147" s="711"/>
      <c r="AU147" s="711"/>
      <c r="AV147" s="711"/>
      <c r="AW147" s="711"/>
      <c r="AX147" s="711"/>
      <c r="AY147" s="711"/>
      <c r="AZ147" s="711"/>
      <c r="BA147" s="711"/>
      <c r="BB147" s="711"/>
      <c r="BC147" s="711"/>
      <c r="BD147" s="711"/>
      <c r="BE147" s="711"/>
      <c r="BF147" s="711"/>
      <c r="BG147" s="711"/>
      <c r="BH147" s="711"/>
      <c r="BI147" s="711"/>
      <c r="BJ147" s="711"/>
      <c r="BK147" s="711"/>
      <c r="BL147" s="711"/>
      <c r="BM147" s="711"/>
      <c r="BN147" s="711"/>
      <c r="BO147" s="711"/>
      <c r="BP147" s="711"/>
      <c r="BQ147" s="711"/>
      <c r="BR147" s="711"/>
      <c r="BS147" s="711"/>
      <c r="BT147" s="711"/>
      <c r="BU147" s="711"/>
      <c r="BV147" s="711"/>
      <c r="BW147" s="711"/>
      <c r="BX147" s="711"/>
      <c r="BY147" s="711"/>
      <c r="BZ147" s="711"/>
      <c r="CA147" s="711"/>
      <c r="CB147" s="711"/>
      <c r="CC147" s="711"/>
      <c r="CD147" s="711"/>
      <c r="CE147" s="711"/>
      <c r="CF147" s="711"/>
      <c r="CG147" s="711"/>
      <c r="CH147" s="711"/>
      <c r="CI147" s="711"/>
      <c r="CJ147" s="711"/>
      <c r="CK147" s="711"/>
      <c r="CL147" s="711"/>
      <c r="CM147" s="711"/>
      <c r="CN147" s="711"/>
      <c r="CO147" s="711"/>
      <c r="CP147" s="711"/>
      <c r="CQ147" s="711"/>
      <c r="CR147" s="711"/>
      <c r="CS147" s="711"/>
      <c r="CT147" s="711"/>
      <c r="CU147" s="711"/>
      <c r="CV147" s="711"/>
      <c r="CW147" s="711"/>
      <c r="CX147" s="711"/>
      <c r="CY147" s="711"/>
      <c r="CZ147" s="711"/>
      <c r="DA147" s="711"/>
      <c r="DB147" s="711"/>
      <c r="DC147" s="711"/>
      <c r="DD147" s="711"/>
      <c r="DE147" s="711"/>
      <c r="DF147" s="711"/>
      <c r="DG147" s="711"/>
      <c r="DH147" s="711"/>
      <c r="DI147" s="711"/>
      <c r="DJ147" s="711"/>
      <c r="DK147" s="711"/>
      <c r="DL147" s="711"/>
      <c r="DM147" s="711"/>
      <c r="DN147" s="711"/>
      <c r="DO147" s="711"/>
      <c r="DP147" s="711"/>
      <c r="DQ147" s="711"/>
      <c r="DR147" s="711"/>
      <c r="DS147" s="711"/>
      <c r="DT147" s="711"/>
      <c r="DU147" s="711"/>
      <c r="DV147" s="711"/>
      <c r="DW147" s="711"/>
      <c r="DX147" s="711"/>
      <c r="DY147" s="711"/>
      <c r="DZ147" s="711"/>
      <c r="EA147" s="711"/>
      <c r="EB147" s="711"/>
      <c r="EC147" s="711"/>
      <c r="ED147" s="711"/>
      <c r="EE147" s="711"/>
      <c r="EF147" s="711"/>
      <c r="EG147" s="711"/>
      <c r="EH147" s="711"/>
      <c r="EI147" s="711"/>
      <c r="EJ147" s="711"/>
      <c r="EK147" s="711"/>
      <c r="EL147" s="711"/>
      <c r="EM147" s="711"/>
      <c r="EN147" s="711"/>
      <c r="EO147" s="711"/>
      <c r="EP147" s="711"/>
      <c r="EQ147" s="711"/>
      <c r="ER147" s="711"/>
      <c r="ES147" s="711"/>
      <c r="ET147" s="711"/>
      <c r="EU147" s="711"/>
      <c r="EV147" s="711"/>
      <c r="EW147" s="711"/>
      <c r="EX147" s="711"/>
      <c r="EY147" s="711"/>
      <c r="EZ147" s="711"/>
      <c r="FA147" s="711"/>
      <c r="FB147" s="711"/>
      <c r="FC147" s="711"/>
      <c r="FD147" s="711"/>
      <c r="FE147" s="711"/>
      <c r="FF147" s="711"/>
      <c r="FG147" s="711"/>
      <c r="FH147" s="711"/>
      <c r="FI147" s="711"/>
      <c r="FJ147" s="711"/>
      <c r="FK147" s="711"/>
      <c r="FL147" s="711"/>
      <c r="FM147" s="711"/>
      <c r="FN147" s="711"/>
      <c r="FO147" s="711"/>
      <c r="FP147" s="711"/>
      <c r="FQ147" s="711"/>
      <c r="FR147" s="711"/>
      <c r="FS147" s="711"/>
      <c r="FT147" s="711"/>
      <c r="FU147" s="711"/>
      <c r="FV147" s="711"/>
      <c r="FW147" s="711"/>
      <c r="FX147" s="711"/>
      <c r="FY147" s="711"/>
      <c r="FZ147" s="711"/>
      <c r="GA147" s="711"/>
      <c r="GB147" s="711"/>
      <c r="GC147" s="711"/>
      <c r="GD147" s="711"/>
      <c r="GE147" s="711"/>
      <c r="GF147" s="711"/>
      <c r="GG147" s="711"/>
      <c r="GH147" s="711"/>
      <c r="GI147" s="711"/>
      <c r="GJ147" s="711"/>
      <c r="GK147" s="711"/>
      <c r="GL147" s="711"/>
      <c r="GM147" s="711"/>
      <c r="GN147" s="711"/>
      <c r="GO147" s="711"/>
      <c r="GP147" s="711"/>
      <c r="GQ147" s="711"/>
      <c r="GR147" s="711"/>
      <c r="GS147" s="711"/>
      <c r="GT147" s="711"/>
      <c r="GU147" s="711"/>
      <c r="GV147" s="711"/>
      <c r="GW147" s="711"/>
      <c r="GX147" s="711"/>
      <c r="GY147" s="711"/>
      <c r="GZ147" s="711"/>
      <c r="HA147" s="711"/>
      <c r="HB147" s="711"/>
      <c r="HC147" s="711"/>
      <c r="HD147" s="711"/>
      <c r="HE147" s="711"/>
      <c r="HF147" s="711"/>
      <c r="HG147" s="711"/>
      <c r="HH147" s="711"/>
      <c r="HI147" s="711"/>
      <c r="HJ147" s="711"/>
      <c r="HK147" s="711"/>
      <c r="HL147" s="711"/>
      <c r="HM147" s="711"/>
      <c r="HN147" s="711"/>
      <c r="HO147" s="711"/>
      <c r="HP147" s="711"/>
      <c r="HQ147" s="711"/>
      <c r="HR147" s="711"/>
      <c r="HS147" s="711"/>
      <c r="HT147" s="711"/>
      <c r="HU147" s="711"/>
      <c r="HV147" s="711"/>
      <c r="HW147" s="711"/>
      <c r="HX147" s="711"/>
      <c r="HY147" s="711"/>
      <c r="HZ147" s="711"/>
      <c r="IA147" s="711"/>
      <c r="IB147" s="711"/>
      <c r="IC147" s="711"/>
      <c r="ID147" s="711"/>
      <c r="IE147" s="711"/>
      <c r="IF147" s="711"/>
      <c r="IG147" s="711"/>
      <c r="IH147" s="711"/>
      <c r="II147" s="711"/>
      <c r="IJ147" s="711"/>
      <c r="IK147" s="711"/>
      <c r="IL147" s="711"/>
      <c r="IM147" s="711"/>
      <c r="IN147" s="711"/>
      <c r="IO147" s="711"/>
      <c r="IP147" s="711"/>
      <c r="IQ147" s="711"/>
    </row>
    <row r="148" spans="1:251" ht="20.100000000000001" customHeight="1">
      <c r="A148" s="697"/>
      <c r="B148" s="698" t="s">
        <v>483</v>
      </c>
      <c r="C148" s="723"/>
      <c r="D148" s="695" t="s">
        <v>484</v>
      </c>
      <c r="E148" s="698"/>
      <c r="F148" s="699"/>
      <c r="G148" s="699"/>
      <c r="H148" s="699"/>
      <c r="I148" s="699"/>
      <c r="J148" s="698"/>
      <c r="K148" s="698"/>
      <c r="L148" s="698"/>
      <c r="M148" s="698"/>
      <c r="N148" s="698"/>
      <c r="O148" s="698"/>
      <c r="P148" s="698"/>
      <c r="Q148" s="698"/>
      <c r="R148" s="698"/>
      <c r="S148" s="698"/>
      <c r="T148" s="698"/>
      <c r="U148" s="698"/>
      <c r="V148" s="698"/>
      <c r="W148" s="698"/>
      <c r="X148" s="698"/>
      <c r="Y148" s="698"/>
      <c r="Z148" s="698"/>
      <c r="AA148" s="698"/>
      <c r="AB148" s="698"/>
      <c r="AC148" s="698"/>
      <c r="AD148" s="698"/>
      <c r="AE148" s="698"/>
      <c r="AF148" s="698"/>
      <c r="AG148" s="698"/>
      <c r="AH148" s="698"/>
      <c r="AI148" s="698"/>
      <c r="AJ148" s="698"/>
      <c r="AK148" s="698"/>
      <c r="AL148" s="698"/>
      <c r="AM148" s="698"/>
      <c r="AN148" s="698"/>
      <c r="AO148" s="698"/>
      <c r="AP148" s="698"/>
      <c r="AQ148" s="698"/>
      <c r="AR148" s="698"/>
      <c r="AS148" s="698"/>
      <c r="AT148" s="698"/>
      <c r="AU148" s="698"/>
      <c r="AV148" s="698"/>
      <c r="AW148" s="698"/>
      <c r="AX148" s="698"/>
      <c r="AY148" s="698"/>
      <c r="AZ148" s="698"/>
      <c r="BA148" s="698"/>
      <c r="BB148" s="698"/>
      <c r="BC148" s="698"/>
      <c r="BD148" s="698"/>
      <c r="BE148" s="698"/>
      <c r="BF148" s="698"/>
      <c r="BG148" s="698"/>
      <c r="BH148" s="698"/>
      <c r="BI148" s="698"/>
      <c r="BJ148" s="698"/>
      <c r="BK148" s="698"/>
      <c r="BL148" s="698"/>
      <c r="BM148" s="698"/>
      <c r="BN148" s="698"/>
      <c r="BO148" s="698"/>
      <c r="BP148" s="698"/>
      <c r="BQ148" s="698"/>
      <c r="BR148" s="698"/>
      <c r="BS148" s="698"/>
      <c r="BT148" s="698"/>
      <c r="BU148" s="698"/>
      <c r="BV148" s="698"/>
      <c r="BW148" s="698"/>
      <c r="BX148" s="698"/>
      <c r="BY148" s="698"/>
      <c r="BZ148" s="698"/>
      <c r="CA148" s="698"/>
      <c r="CB148" s="698"/>
      <c r="CC148" s="698"/>
      <c r="CD148" s="698"/>
      <c r="CE148" s="698"/>
      <c r="CF148" s="698"/>
      <c r="CG148" s="698"/>
      <c r="CH148" s="698"/>
      <c r="CI148" s="698"/>
      <c r="CJ148" s="698"/>
      <c r="CK148" s="698"/>
      <c r="CL148" s="698"/>
      <c r="CM148" s="698"/>
      <c r="CN148" s="698"/>
      <c r="CO148" s="698"/>
      <c r="CP148" s="698"/>
      <c r="CQ148" s="698"/>
      <c r="CR148" s="698"/>
      <c r="CS148" s="698"/>
      <c r="CT148" s="698"/>
      <c r="CU148" s="698"/>
      <c r="CV148" s="698"/>
      <c r="CW148" s="698"/>
      <c r="CX148" s="698"/>
      <c r="CY148" s="698"/>
      <c r="CZ148" s="698"/>
      <c r="DA148" s="698"/>
      <c r="DB148" s="698"/>
      <c r="DC148" s="698"/>
      <c r="DD148" s="698"/>
      <c r="DE148" s="698"/>
      <c r="DF148" s="698"/>
      <c r="DG148" s="698"/>
      <c r="DH148" s="698"/>
      <c r="DI148" s="698"/>
      <c r="DJ148" s="698"/>
      <c r="DK148" s="698"/>
      <c r="DL148" s="698"/>
      <c r="DM148" s="698"/>
      <c r="DN148" s="698"/>
      <c r="DO148" s="698"/>
      <c r="DP148" s="698"/>
      <c r="DQ148" s="698"/>
      <c r="DR148" s="698"/>
      <c r="DS148" s="698"/>
      <c r="DT148" s="698"/>
      <c r="DU148" s="698"/>
      <c r="DV148" s="698"/>
      <c r="DW148" s="698"/>
      <c r="DX148" s="698"/>
      <c r="DY148" s="698"/>
      <c r="DZ148" s="698"/>
      <c r="EA148" s="698"/>
      <c r="EB148" s="698"/>
      <c r="EC148" s="698"/>
      <c r="ED148" s="698"/>
      <c r="EE148" s="698"/>
      <c r="EF148" s="698"/>
      <c r="EG148" s="698"/>
      <c r="EH148" s="698"/>
      <c r="EI148" s="698"/>
      <c r="EJ148" s="698"/>
      <c r="EK148" s="698"/>
      <c r="EL148" s="698"/>
      <c r="EM148" s="698"/>
      <c r="EN148" s="698"/>
      <c r="EO148" s="698"/>
      <c r="EP148" s="698"/>
      <c r="EQ148" s="698"/>
      <c r="ER148" s="698"/>
      <c r="ES148" s="698"/>
      <c r="ET148" s="698"/>
      <c r="EU148" s="698"/>
      <c r="EV148" s="698"/>
      <c r="EW148" s="698"/>
      <c r="EX148" s="698"/>
      <c r="EY148" s="698"/>
      <c r="EZ148" s="698"/>
      <c r="FA148" s="698"/>
      <c r="FB148" s="698"/>
      <c r="FC148" s="698"/>
      <c r="FD148" s="698"/>
      <c r="FE148" s="698"/>
      <c r="FF148" s="698"/>
      <c r="FG148" s="698"/>
      <c r="FH148" s="698"/>
      <c r="FI148" s="698"/>
      <c r="FJ148" s="698"/>
      <c r="FK148" s="698"/>
      <c r="FL148" s="698"/>
      <c r="FM148" s="698"/>
      <c r="FN148" s="698"/>
      <c r="FO148" s="698"/>
      <c r="FP148" s="698"/>
      <c r="FQ148" s="698"/>
      <c r="FR148" s="698"/>
      <c r="FS148" s="698"/>
      <c r="FT148" s="698"/>
      <c r="FU148" s="698"/>
      <c r="FV148" s="698"/>
      <c r="FW148" s="698"/>
      <c r="FX148" s="698"/>
      <c r="FY148" s="698"/>
      <c r="FZ148" s="698"/>
      <c r="GA148" s="698"/>
      <c r="GB148" s="698"/>
      <c r="GC148" s="698"/>
      <c r="GD148" s="698"/>
      <c r="GE148" s="698"/>
      <c r="GF148" s="698"/>
      <c r="GG148" s="698"/>
      <c r="GH148" s="698"/>
      <c r="GI148" s="698"/>
      <c r="GJ148" s="698"/>
      <c r="GK148" s="698"/>
      <c r="GL148" s="698"/>
      <c r="GM148" s="698"/>
      <c r="GN148" s="698"/>
      <c r="GO148" s="698"/>
      <c r="GP148" s="698"/>
      <c r="GQ148" s="698"/>
      <c r="GR148" s="698"/>
      <c r="GS148" s="698"/>
      <c r="GT148" s="698"/>
      <c r="GU148" s="698"/>
      <c r="GV148" s="698"/>
      <c r="GW148" s="698"/>
      <c r="GX148" s="698"/>
      <c r="GY148" s="698"/>
      <c r="GZ148" s="698"/>
      <c r="HA148" s="698"/>
      <c r="HB148" s="698"/>
      <c r="HC148" s="698"/>
      <c r="HD148" s="698"/>
      <c r="HE148" s="698"/>
      <c r="HF148" s="698"/>
      <c r="HG148" s="698"/>
      <c r="HH148" s="698"/>
      <c r="HI148" s="698"/>
      <c r="HJ148" s="698"/>
      <c r="HK148" s="698"/>
      <c r="HL148" s="698"/>
      <c r="HM148" s="698"/>
      <c r="HN148" s="698"/>
      <c r="HO148" s="698"/>
      <c r="HP148" s="698"/>
      <c r="HQ148" s="698"/>
      <c r="HR148" s="698"/>
      <c r="HS148" s="698"/>
      <c r="HT148" s="698"/>
      <c r="HU148" s="698"/>
      <c r="HV148" s="698"/>
      <c r="HW148" s="698"/>
      <c r="HX148" s="698"/>
      <c r="HY148" s="698"/>
      <c r="HZ148" s="698"/>
      <c r="IA148" s="698"/>
      <c r="IB148" s="698"/>
      <c r="IC148" s="698"/>
      <c r="ID148" s="698"/>
      <c r="IE148" s="698"/>
      <c r="IF148" s="698"/>
      <c r="IG148" s="698"/>
      <c r="IH148" s="698"/>
      <c r="II148" s="698"/>
      <c r="IJ148" s="698"/>
      <c r="IK148" s="698"/>
      <c r="IL148" s="698"/>
      <c r="IM148" s="698"/>
      <c r="IN148" s="698"/>
      <c r="IO148" s="698"/>
      <c r="IP148" s="698"/>
      <c r="IQ148" s="698"/>
    </row>
    <row r="149" spans="1:251">
      <c r="A149" s="697"/>
      <c r="B149" s="698"/>
      <c r="C149" s="724"/>
      <c r="D149" s="695"/>
      <c r="E149" s="698"/>
      <c r="F149" s="699"/>
      <c r="G149" s="699"/>
      <c r="H149" s="699"/>
      <c r="I149" s="699"/>
      <c r="J149" s="698"/>
      <c r="K149" s="698"/>
      <c r="L149" s="698"/>
      <c r="M149" s="698"/>
      <c r="N149" s="698"/>
      <c r="O149" s="698"/>
      <c r="P149" s="698"/>
      <c r="Q149" s="698"/>
      <c r="R149" s="698"/>
      <c r="S149" s="698"/>
      <c r="T149" s="698"/>
      <c r="U149" s="698"/>
      <c r="V149" s="724"/>
      <c r="W149" s="698"/>
      <c r="X149" s="698"/>
      <c r="Y149" s="698"/>
      <c r="Z149" s="698"/>
      <c r="AA149" s="698"/>
      <c r="AB149" s="698"/>
      <c r="AC149" s="698"/>
      <c r="AD149" s="698"/>
      <c r="AE149" s="698"/>
      <c r="AF149" s="698"/>
      <c r="AG149" s="698"/>
      <c r="AH149" s="698"/>
      <c r="AI149" s="698"/>
      <c r="AJ149" s="698"/>
      <c r="AK149" s="698"/>
      <c r="AL149" s="698"/>
      <c r="AM149" s="698"/>
      <c r="AN149" s="698"/>
      <c r="AO149" s="698"/>
      <c r="AP149" s="698"/>
      <c r="AQ149" s="698"/>
      <c r="AR149" s="698"/>
      <c r="AS149" s="698"/>
      <c r="AT149" s="698"/>
      <c r="AU149" s="698"/>
      <c r="AV149" s="698"/>
      <c r="AW149" s="698"/>
      <c r="AX149" s="698"/>
      <c r="AY149" s="698"/>
      <c r="AZ149" s="698"/>
      <c r="BA149" s="698"/>
      <c r="BB149" s="698"/>
      <c r="BC149" s="698"/>
      <c r="BD149" s="698"/>
      <c r="BE149" s="698"/>
      <c r="BF149" s="698"/>
      <c r="BG149" s="698"/>
      <c r="BH149" s="698"/>
      <c r="BI149" s="698"/>
      <c r="BJ149" s="698"/>
      <c r="BK149" s="698"/>
      <c r="BL149" s="698"/>
      <c r="BM149" s="698"/>
      <c r="BN149" s="698"/>
      <c r="BO149" s="698"/>
      <c r="BP149" s="698"/>
      <c r="BQ149" s="698"/>
      <c r="BR149" s="698"/>
      <c r="BS149" s="698"/>
      <c r="BT149" s="698"/>
      <c r="BU149" s="698"/>
      <c r="BV149" s="698"/>
      <c r="BW149" s="698"/>
      <c r="BX149" s="698"/>
      <c r="BY149" s="698"/>
      <c r="BZ149" s="698"/>
      <c r="CA149" s="698"/>
      <c r="CB149" s="698"/>
      <c r="CC149" s="698"/>
      <c r="CD149" s="698"/>
      <c r="CE149" s="698"/>
      <c r="CF149" s="698"/>
      <c r="CG149" s="698"/>
      <c r="CH149" s="698"/>
      <c r="CI149" s="698"/>
      <c r="CJ149" s="698"/>
      <c r="CK149" s="698"/>
      <c r="CL149" s="698"/>
      <c r="CM149" s="698"/>
      <c r="CN149" s="698"/>
      <c r="CO149" s="698"/>
      <c r="CP149" s="698"/>
      <c r="CQ149" s="698"/>
      <c r="CR149" s="698"/>
      <c r="CS149" s="698"/>
      <c r="CT149" s="698"/>
      <c r="CU149" s="698"/>
      <c r="CV149" s="698"/>
      <c r="CW149" s="698"/>
      <c r="CX149" s="698"/>
      <c r="CY149" s="698"/>
      <c r="CZ149" s="698"/>
      <c r="DA149" s="698"/>
      <c r="DB149" s="698"/>
      <c r="DC149" s="698"/>
      <c r="DD149" s="698"/>
      <c r="DE149" s="698"/>
      <c r="DF149" s="698"/>
      <c r="DG149" s="698"/>
      <c r="DH149" s="698"/>
      <c r="DI149" s="698"/>
      <c r="DJ149" s="698"/>
      <c r="DK149" s="698"/>
      <c r="DL149" s="698"/>
      <c r="DM149" s="698"/>
      <c r="DN149" s="698"/>
      <c r="DO149" s="698"/>
      <c r="DP149" s="698"/>
      <c r="DQ149" s="698"/>
      <c r="DR149" s="698"/>
      <c r="DS149" s="698"/>
      <c r="DT149" s="698"/>
      <c r="DU149" s="698"/>
      <c r="DV149" s="698"/>
      <c r="DW149" s="698"/>
      <c r="DX149" s="698"/>
      <c r="DY149" s="698"/>
      <c r="DZ149" s="698"/>
      <c r="EA149" s="698"/>
      <c r="EB149" s="698"/>
      <c r="EC149" s="698"/>
      <c r="ED149" s="698"/>
      <c r="EE149" s="698"/>
      <c r="EF149" s="698"/>
      <c r="EG149" s="698"/>
      <c r="EH149" s="698"/>
      <c r="EI149" s="698"/>
      <c r="EJ149" s="698"/>
      <c r="EK149" s="698"/>
      <c r="EL149" s="698"/>
      <c r="EM149" s="698"/>
      <c r="EN149" s="698"/>
      <c r="EO149" s="698"/>
      <c r="EP149" s="698"/>
      <c r="EQ149" s="698"/>
      <c r="ER149" s="698"/>
      <c r="ES149" s="698"/>
      <c r="ET149" s="698"/>
      <c r="EU149" s="698"/>
      <c r="EV149" s="698"/>
      <c r="EW149" s="698"/>
      <c r="EX149" s="698"/>
      <c r="EY149" s="698"/>
      <c r="EZ149" s="698"/>
      <c r="FA149" s="698"/>
      <c r="FB149" s="698"/>
      <c r="FC149" s="698"/>
      <c r="FD149" s="698"/>
      <c r="FE149" s="698"/>
      <c r="FF149" s="698"/>
      <c r="FG149" s="698"/>
      <c r="FH149" s="698"/>
      <c r="FI149" s="698"/>
      <c r="FJ149" s="698"/>
      <c r="FK149" s="698"/>
      <c r="FL149" s="698"/>
      <c r="FM149" s="698"/>
      <c r="FN149" s="698"/>
      <c r="FO149" s="698"/>
      <c r="FP149" s="698"/>
      <c r="FQ149" s="698"/>
      <c r="FR149" s="698"/>
      <c r="FS149" s="698"/>
      <c r="FT149" s="698"/>
      <c r="FU149" s="698"/>
      <c r="FV149" s="698"/>
      <c r="FW149" s="698"/>
      <c r="FX149" s="698"/>
      <c r="FY149" s="698"/>
      <c r="FZ149" s="698"/>
      <c r="GA149" s="698"/>
      <c r="GB149" s="698"/>
      <c r="GC149" s="698"/>
      <c r="GD149" s="698"/>
      <c r="GE149" s="698"/>
      <c r="GF149" s="698"/>
      <c r="GG149" s="698"/>
      <c r="GH149" s="698"/>
      <c r="GI149" s="698"/>
      <c r="GJ149" s="698"/>
      <c r="GK149" s="698"/>
      <c r="GL149" s="698"/>
      <c r="GM149" s="698"/>
      <c r="GN149" s="698"/>
      <c r="GO149" s="698"/>
      <c r="GP149" s="698"/>
      <c r="GQ149" s="698"/>
      <c r="GR149" s="698"/>
      <c r="GS149" s="698"/>
      <c r="GT149" s="698"/>
      <c r="GU149" s="698"/>
      <c r="GV149" s="698"/>
      <c r="GW149" s="698"/>
      <c r="GX149" s="698"/>
      <c r="GY149" s="698"/>
      <c r="GZ149" s="698"/>
      <c r="HA149" s="698"/>
      <c r="HB149" s="698"/>
      <c r="HC149" s="698"/>
      <c r="HD149" s="698"/>
      <c r="HE149" s="698"/>
      <c r="HF149" s="698"/>
      <c r="HG149" s="698"/>
      <c r="HH149" s="698"/>
      <c r="HI149" s="698"/>
      <c r="HJ149" s="698"/>
      <c r="HK149" s="698"/>
      <c r="HL149" s="698"/>
      <c r="HM149" s="698"/>
      <c r="HN149" s="698"/>
      <c r="HO149" s="698"/>
      <c r="HP149" s="698"/>
      <c r="HQ149" s="698"/>
      <c r="HR149" s="698"/>
      <c r="HS149" s="698"/>
      <c r="HT149" s="698"/>
      <c r="HU149" s="698"/>
      <c r="HV149" s="698"/>
      <c r="HW149" s="698"/>
      <c r="HX149" s="698"/>
      <c r="HY149" s="698"/>
      <c r="HZ149" s="698"/>
      <c r="IA149" s="698"/>
      <c r="IB149" s="698"/>
      <c r="IC149" s="698"/>
      <c r="ID149" s="698"/>
      <c r="IE149" s="698"/>
      <c r="IF149" s="698"/>
      <c r="IG149" s="698"/>
      <c r="IH149" s="698"/>
      <c r="II149" s="698"/>
      <c r="IJ149" s="698"/>
      <c r="IK149" s="698"/>
      <c r="IL149" s="698"/>
      <c r="IM149" s="698"/>
      <c r="IN149" s="698"/>
      <c r="IO149" s="698"/>
      <c r="IP149" s="698"/>
      <c r="IQ149" s="698"/>
    </row>
    <row r="150" spans="1:251">
      <c r="A150" s="697"/>
      <c r="B150" s="725" t="s">
        <v>26</v>
      </c>
      <c r="C150" s="726"/>
      <c r="D150" s="695"/>
      <c r="E150" s="698"/>
      <c r="F150" s="699"/>
      <c r="G150" s="699"/>
      <c r="H150" s="699"/>
      <c r="I150" s="699"/>
      <c r="J150" s="698"/>
      <c r="K150" s="698"/>
      <c r="L150" s="698"/>
      <c r="M150" s="698"/>
      <c r="N150" s="698"/>
      <c r="O150" s="698"/>
      <c r="P150" s="698"/>
      <c r="Q150" s="698"/>
      <c r="R150" s="698"/>
      <c r="S150" s="698"/>
      <c r="T150" s="698"/>
      <c r="U150" s="698"/>
      <c r="V150" s="698"/>
      <c r="W150" s="698"/>
      <c r="X150" s="698"/>
      <c r="Y150" s="698"/>
      <c r="Z150" s="698"/>
      <c r="AA150" s="698"/>
      <c r="AB150" s="698"/>
      <c r="AC150" s="698"/>
      <c r="AD150" s="698"/>
      <c r="AE150" s="698"/>
      <c r="AF150" s="698"/>
      <c r="AG150" s="698"/>
      <c r="AH150" s="698"/>
      <c r="AI150" s="698"/>
      <c r="AJ150" s="698"/>
      <c r="AK150" s="698"/>
      <c r="AL150" s="698"/>
      <c r="AM150" s="698"/>
      <c r="AN150" s="698"/>
      <c r="AO150" s="698"/>
      <c r="AP150" s="698"/>
      <c r="AQ150" s="698"/>
      <c r="AR150" s="698"/>
      <c r="AS150" s="698"/>
      <c r="AT150" s="698"/>
      <c r="AU150" s="698"/>
      <c r="AV150" s="698"/>
      <c r="AW150" s="698"/>
      <c r="AX150" s="698"/>
      <c r="AY150" s="698"/>
      <c r="AZ150" s="698"/>
      <c r="BA150" s="698"/>
      <c r="BB150" s="698"/>
      <c r="BC150" s="698"/>
      <c r="BD150" s="698"/>
      <c r="BE150" s="698"/>
      <c r="BF150" s="698"/>
      <c r="BG150" s="698"/>
      <c r="BH150" s="698"/>
      <c r="BI150" s="698"/>
      <c r="BJ150" s="698"/>
      <c r="BK150" s="698"/>
      <c r="BL150" s="698"/>
      <c r="BM150" s="698"/>
      <c r="BN150" s="698"/>
      <c r="BO150" s="698"/>
      <c r="BP150" s="698"/>
      <c r="BQ150" s="698"/>
      <c r="BR150" s="698"/>
      <c r="BS150" s="698"/>
      <c r="BT150" s="698"/>
      <c r="BU150" s="698"/>
      <c r="BV150" s="698"/>
      <c r="BW150" s="698"/>
      <c r="BX150" s="698"/>
      <c r="BY150" s="698"/>
      <c r="BZ150" s="698"/>
      <c r="CA150" s="698"/>
      <c r="CB150" s="698"/>
      <c r="CC150" s="698"/>
      <c r="CD150" s="698"/>
      <c r="CE150" s="698"/>
      <c r="CF150" s="698"/>
      <c r="CG150" s="698"/>
      <c r="CH150" s="698"/>
      <c r="CI150" s="698"/>
      <c r="CJ150" s="698"/>
      <c r="CK150" s="698"/>
      <c r="CL150" s="698"/>
      <c r="CM150" s="698"/>
      <c r="CN150" s="698"/>
      <c r="CO150" s="698"/>
      <c r="CP150" s="698"/>
      <c r="CQ150" s="698"/>
      <c r="CR150" s="698"/>
      <c r="CS150" s="698"/>
      <c r="CT150" s="698"/>
      <c r="CU150" s="698"/>
      <c r="CV150" s="698"/>
      <c r="CW150" s="698"/>
      <c r="CX150" s="698"/>
      <c r="CY150" s="698"/>
      <c r="CZ150" s="698"/>
      <c r="DA150" s="698"/>
      <c r="DB150" s="698"/>
      <c r="DC150" s="698"/>
      <c r="DD150" s="698"/>
      <c r="DE150" s="698"/>
      <c r="DF150" s="698"/>
      <c r="DG150" s="698"/>
      <c r="DH150" s="698"/>
      <c r="DI150" s="698"/>
      <c r="DJ150" s="698"/>
      <c r="DK150" s="698"/>
      <c r="DL150" s="698"/>
      <c r="DM150" s="698"/>
      <c r="DN150" s="698"/>
      <c r="DO150" s="698"/>
      <c r="DP150" s="698"/>
      <c r="DQ150" s="698"/>
      <c r="DR150" s="698"/>
      <c r="DS150" s="698"/>
      <c r="DT150" s="698"/>
      <c r="DU150" s="698"/>
      <c r="DV150" s="698"/>
      <c r="DW150" s="698"/>
      <c r="DX150" s="698"/>
      <c r="DY150" s="698"/>
      <c r="DZ150" s="698"/>
      <c r="EA150" s="698"/>
      <c r="EB150" s="698"/>
      <c r="EC150" s="698"/>
      <c r="ED150" s="698"/>
      <c r="EE150" s="698"/>
      <c r="EF150" s="698"/>
      <c r="EG150" s="698"/>
      <c r="EH150" s="698"/>
      <c r="EI150" s="698"/>
      <c r="EJ150" s="698"/>
      <c r="EK150" s="698"/>
      <c r="EL150" s="698"/>
      <c r="EM150" s="698"/>
      <c r="EN150" s="698"/>
      <c r="EO150" s="698"/>
      <c r="EP150" s="698"/>
      <c r="EQ150" s="698"/>
      <c r="ER150" s="698"/>
      <c r="ES150" s="698"/>
      <c r="ET150" s="698"/>
      <c r="EU150" s="698"/>
      <c r="EV150" s="698"/>
      <c r="EW150" s="698"/>
      <c r="EX150" s="698"/>
      <c r="EY150" s="698"/>
      <c r="EZ150" s="698"/>
      <c r="FA150" s="698"/>
      <c r="FB150" s="698"/>
      <c r="FC150" s="698"/>
      <c r="FD150" s="698"/>
      <c r="FE150" s="698"/>
      <c r="FF150" s="698"/>
      <c r="FG150" s="698"/>
      <c r="FH150" s="698"/>
      <c r="FI150" s="698"/>
      <c r="FJ150" s="698"/>
      <c r="FK150" s="698"/>
      <c r="FL150" s="698"/>
      <c r="FM150" s="698"/>
      <c r="FN150" s="698"/>
      <c r="FO150" s="698"/>
      <c r="FP150" s="698"/>
      <c r="FQ150" s="698"/>
      <c r="FR150" s="698"/>
      <c r="FS150" s="698"/>
      <c r="FT150" s="698"/>
      <c r="FU150" s="698"/>
      <c r="FV150" s="698"/>
      <c r="FW150" s="698"/>
      <c r="FX150" s="698"/>
      <c r="FY150" s="698"/>
      <c r="FZ150" s="698"/>
      <c r="GA150" s="698"/>
      <c r="GB150" s="698"/>
      <c r="GC150" s="698"/>
      <c r="GD150" s="698"/>
      <c r="GE150" s="698"/>
      <c r="GF150" s="698"/>
      <c r="GG150" s="698"/>
      <c r="GH150" s="698"/>
      <c r="GI150" s="698"/>
      <c r="GJ150" s="698"/>
      <c r="GK150" s="698"/>
      <c r="GL150" s="698"/>
      <c r="GM150" s="698"/>
      <c r="GN150" s="698"/>
      <c r="GO150" s="698"/>
      <c r="GP150" s="698"/>
      <c r="GQ150" s="698"/>
      <c r="GR150" s="698"/>
      <c r="GS150" s="698"/>
      <c r="GT150" s="698"/>
      <c r="GU150" s="698"/>
      <c r="GV150" s="698"/>
      <c r="GW150" s="698"/>
      <c r="GX150" s="698"/>
      <c r="GY150" s="698"/>
      <c r="GZ150" s="698"/>
      <c r="HA150" s="698"/>
      <c r="HB150" s="698"/>
      <c r="HC150" s="698"/>
      <c r="HD150" s="698"/>
      <c r="HE150" s="698"/>
      <c r="HF150" s="698"/>
      <c r="HG150" s="698"/>
      <c r="HH150" s="698"/>
      <c r="HI150" s="698"/>
      <c r="HJ150" s="698"/>
      <c r="HK150" s="698"/>
      <c r="HL150" s="698"/>
      <c r="HM150" s="698"/>
      <c r="HN150" s="698"/>
      <c r="HO150" s="698"/>
      <c r="HP150" s="698"/>
      <c r="HQ150" s="698"/>
      <c r="HR150" s="698"/>
      <c r="HS150" s="698"/>
      <c r="HT150" s="698"/>
      <c r="HU150" s="698"/>
      <c r="HV150" s="698"/>
      <c r="HW150" s="698"/>
      <c r="HX150" s="698"/>
      <c r="HY150" s="698"/>
      <c r="HZ150" s="698"/>
      <c r="IA150" s="698"/>
      <c r="IB150" s="698"/>
      <c r="IC150" s="698"/>
      <c r="ID150" s="698"/>
      <c r="IE150" s="698"/>
      <c r="IF150" s="698"/>
      <c r="IG150" s="698"/>
      <c r="IH150" s="698"/>
      <c r="II150" s="698"/>
      <c r="IJ150" s="698"/>
      <c r="IK150" s="698"/>
      <c r="IL150" s="698"/>
      <c r="IM150" s="698"/>
      <c r="IN150" s="698"/>
      <c r="IO150" s="698"/>
      <c r="IP150" s="698"/>
      <c r="IQ150" s="698"/>
    </row>
    <row r="151" spans="1:251" ht="20.100000000000001" customHeight="1">
      <c r="A151" s="697"/>
      <c r="B151" s="727" t="s">
        <v>127</v>
      </c>
      <c r="C151" s="728"/>
      <c r="D151" s="695" t="s">
        <v>485</v>
      </c>
      <c r="E151" s="698"/>
      <c r="F151" s="699"/>
      <c r="G151" s="699"/>
      <c r="H151" s="699"/>
      <c r="I151" s="699"/>
      <c r="J151" s="698"/>
      <c r="K151" s="698"/>
      <c r="L151" s="698"/>
      <c r="M151" s="698"/>
      <c r="N151" s="698"/>
      <c r="O151" s="698"/>
      <c r="P151" s="698"/>
      <c r="Q151" s="698"/>
      <c r="R151" s="698"/>
      <c r="S151" s="698"/>
      <c r="T151" s="698"/>
      <c r="U151" s="698"/>
      <c r="V151" s="698"/>
      <c r="W151" s="698"/>
      <c r="X151" s="698"/>
      <c r="Y151" s="698"/>
      <c r="Z151" s="696"/>
      <c r="AA151" s="696"/>
      <c r="AB151" s="696"/>
      <c r="AC151" s="696"/>
      <c r="AD151" s="696"/>
      <c r="AE151" s="696"/>
      <c r="AF151" s="696"/>
      <c r="AG151" s="696"/>
      <c r="AH151" s="696"/>
      <c r="AI151" s="696"/>
      <c r="AJ151" s="696"/>
      <c r="AK151" s="696"/>
      <c r="AL151" s="696"/>
      <c r="AM151" s="696"/>
      <c r="AN151" s="696"/>
      <c r="AO151" s="696"/>
      <c r="AP151" s="696"/>
      <c r="AQ151" s="696"/>
      <c r="AR151" s="696"/>
      <c r="AS151" s="696"/>
      <c r="AT151" s="696"/>
      <c r="AU151" s="696"/>
      <c r="AV151" s="696"/>
      <c r="AW151" s="696"/>
      <c r="AX151" s="696"/>
      <c r="AY151" s="696"/>
      <c r="AZ151" s="696"/>
      <c r="BA151" s="696"/>
      <c r="BB151" s="696"/>
      <c r="BC151" s="696"/>
      <c r="BD151" s="696"/>
      <c r="BE151" s="696"/>
      <c r="BF151" s="696"/>
      <c r="BG151" s="696"/>
      <c r="BH151" s="696"/>
      <c r="BI151" s="696"/>
      <c r="BJ151" s="696"/>
      <c r="BK151" s="696"/>
      <c r="BL151" s="696"/>
      <c r="BM151" s="696"/>
      <c r="BN151" s="696"/>
      <c r="BO151" s="696"/>
      <c r="BP151" s="696"/>
      <c r="BQ151" s="696"/>
      <c r="BR151" s="696"/>
      <c r="BS151" s="696"/>
      <c r="BT151" s="696"/>
      <c r="BU151" s="696"/>
      <c r="BV151" s="696"/>
      <c r="BW151" s="696"/>
      <c r="BX151" s="696"/>
      <c r="BY151" s="696"/>
      <c r="BZ151" s="696"/>
      <c r="CA151" s="696"/>
      <c r="CB151" s="696"/>
      <c r="CC151" s="696"/>
      <c r="CD151" s="696"/>
      <c r="CE151" s="696"/>
      <c r="CF151" s="696"/>
      <c r="CG151" s="696"/>
      <c r="CH151" s="696"/>
      <c r="CI151" s="696"/>
      <c r="CJ151" s="696"/>
      <c r="CK151" s="696"/>
      <c r="CL151" s="696"/>
      <c r="CM151" s="696"/>
      <c r="CN151" s="696"/>
      <c r="CO151" s="696"/>
      <c r="CP151" s="696"/>
      <c r="CQ151" s="696"/>
      <c r="CR151" s="696"/>
      <c r="CS151" s="696"/>
      <c r="CT151" s="696"/>
      <c r="CU151" s="696"/>
      <c r="CV151" s="696"/>
      <c r="CW151" s="696"/>
      <c r="CX151" s="696"/>
      <c r="CY151" s="696"/>
      <c r="CZ151" s="696"/>
      <c r="DA151" s="696"/>
      <c r="DB151" s="696"/>
      <c r="DC151" s="696"/>
      <c r="DD151" s="696"/>
      <c r="DE151" s="696"/>
      <c r="DF151" s="696"/>
      <c r="DG151" s="696"/>
      <c r="DH151" s="696"/>
      <c r="DI151" s="696"/>
      <c r="DJ151" s="696"/>
      <c r="DK151" s="696"/>
      <c r="DL151" s="696"/>
      <c r="DM151" s="696"/>
      <c r="DN151" s="696"/>
      <c r="DO151" s="696"/>
      <c r="DP151" s="696"/>
      <c r="DQ151" s="696"/>
      <c r="DR151" s="696"/>
      <c r="DS151" s="696"/>
      <c r="DT151" s="696"/>
      <c r="DU151" s="696"/>
      <c r="DV151" s="696"/>
      <c r="DW151" s="696"/>
      <c r="DX151" s="696"/>
      <c r="DY151" s="696"/>
      <c r="DZ151" s="696"/>
      <c r="EA151" s="696"/>
      <c r="EB151" s="696"/>
      <c r="EC151" s="696"/>
      <c r="ED151" s="696"/>
      <c r="EE151" s="696"/>
      <c r="EF151" s="696"/>
      <c r="EG151" s="696"/>
      <c r="EH151" s="696"/>
      <c r="EI151" s="696"/>
      <c r="EJ151" s="696"/>
      <c r="EK151" s="696"/>
      <c r="EL151" s="696"/>
      <c r="EM151" s="696"/>
      <c r="EN151" s="696"/>
      <c r="EO151" s="696"/>
      <c r="EP151" s="696"/>
      <c r="EQ151" s="696"/>
      <c r="ER151" s="696"/>
      <c r="ES151" s="696"/>
      <c r="ET151" s="696"/>
      <c r="EU151" s="696"/>
      <c r="EV151" s="696"/>
      <c r="EW151" s="696"/>
      <c r="EX151" s="696"/>
      <c r="EY151" s="696"/>
      <c r="EZ151" s="696"/>
      <c r="FA151" s="696"/>
      <c r="FB151" s="696"/>
      <c r="FC151" s="696"/>
      <c r="FD151" s="696"/>
      <c r="FE151" s="696"/>
      <c r="FF151" s="696"/>
      <c r="FG151" s="696"/>
      <c r="FH151" s="696"/>
      <c r="FI151" s="696"/>
      <c r="FJ151" s="696"/>
      <c r="FK151" s="696"/>
      <c r="FL151" s="696"/>
      <c r="FM151" s="696"/>
      <c r="FN151" s="696"/>
      <c r="FO151" s="696"/>
      <c r="FP151" s="696"/>
      <c r="FQ151" s="696"/>
      <c r="FR151" s="696"/>
      <c r="FS151" s="696"/>
      <c r="FT151" s="696"/>
      <c r="FU151" s="696"/>
      <c r="FV151" s="696"/>
      <c r="FW151" s="696"/>
      <c r="FX151" s="696"/>
      <c r="FY151" s="696"/>
      <c r="FZ151" s="696"/>
      <c r="GA151" s="696"/>
      <c r="GB151" s="696"/>
      <c r="GC151" s="696"/>
      <c r="GD151" s="696"/>
      <c r="GE151" s="696"/>
      <c r="GF151" s="696"/>
      <c r="GG151" s="696"/>
      <c r="GH151" s="696"/>
      <c r="GI151" s="696"/>
      <c r="GJ151" s="696"/>
      <c r="GK151" s="696"/>
      <c r="GL151" s="696"/>
      <c r="GM151" s="696"/>
      <c r="GN151" s="696"/>
      <c r="GO151" s="696"/>
      <c r="GP151" s="696"/>
      <c r="GQ151" s="696"/>
      <c r="GR151" s="696"/>
      <c r="GS151" s="696"/>
      <c r="GT151" s="696"/>
      <c r="GU151" s="696"/>
      <c r="GV151" s="696"/>
      <c r="GW151" s="696"/>
      <c r="GX151" s="696"/>
      <c r="GY151" s="696"/>
      <c r="GZ151" s="696"/>
      <c r="HA151" s="696"/>
      <c r="HB151" s="696"/>
      <c r="HC151" s="696"/>
      <c r="HD151" s="696"/>
      <c r="HE151" s="696"/>
      <c r="HF151" s="696"/>
      <c r="HG151" s="696"/>
      <c r="HH151" s="696"/>
      <c r="HI151" s="696"/>
      <c r="HJ151" s="696"/>
      <c r="HK151" s="696"/>
      <c r="HL151" s="696"/>
      <c r="HM151" s="696"/>
      <c r="HN151" s="696"/>
      <c r="HO151" s="696"/>
      <c r="HP151" s="696"/>
      <c r="HQ151" s="696"/>
      <c r="HR151" s="696"/>
      <c r="HS151" s="696"/>
      <c r="HT151" s="696"/>
      <c r="HU151" s="696"/>
      <c r="HV151" s="696"/>
      <c r="HW151" s="696"/>
      <c r="HX151" s="696"/>
      <c r="HY151" s="696"/>
      <c r="HZ151" s="696"/>
      <c r="IA151" s="696"/>
      <c r="IB151" s="696"/>
      <c r="IC151" s="696"/>
      <c r="ID151" s="696"/>
      <c r="IE151" s="696"/>
      <c r="IF151" s="696"/>
      <c r="IG151" s="696"/>
      <c r="IH151" s="696"/>
      <c r="II151" s="696"/>
      <c r="IJ151" s="696"/>
      <c r="IK151" s="696"/>
      <c r="IL151" s="696"/>
      <c r="IM151" s="696"/>
      <c r="IN151" s="696"/>
      <c r="IO151" s="696"/>
      <c r="IP151" s="696"/>
      <c r="IQ151" s="696"/>
    </row>
    <row r="152" spans="1:251" ht="20.100000000000001" customHeight="1">
      <c r="A152" s="697"/>
      <c r="B152" s="727" t="s">
        <v>486</v>
      </c>
      <c r="C152" s="723"/>
      <c r="D152" s="695" t="s">
        <v>487</v>
      </c>
      <c r="E152" s="698"/>
      <c r="F152" s="699"/>
      <c r="G152" s="699"/>
      <c r="H152" s="699"/>
      <c r="I152" s="699"/>
      <c r="J152" s="698"/>
      <c r="K152" s="698"/>
      <c r="L152" s="698"/>
      <c r="M152" s="698"/>
      <c r="N152" s="698"/>
      <c r="O152" s="698"/>
      <c r="P152" s="698"/>
      <c r="Q152" s="698"/>
      <c r="R152" s="698"/>
      <c r="S152" s="698"/>
      <c r="T152" s="698"/>
      <c r="U152" s="698"/>
      <c r="V152" s="698"/>
      <c r="W152" s="698"/>
      <c r="X152" s="698"/>
      <c r="Y152" s="698"/>
      <c r="Z152" s="696"/>
      <c r="AA152" s="696"/>
      <c r="AB152" s="696"/>
      <c r="AC152" s="696"/>
      <c r="AD152" s="696"/>
      <c r="AE152" s="696"/>
      <c r="AF152" s="696"/>
      <c r="AG152" s="696"/>
      <c r="AH152" s="696"/>
      <c r="AI152" s="696"/>
      <c r="AJ152" s="696"/>
      <c r="AK152" s="696"/>
      <c r="AL152" s="696"/>
      <c r="AM152" s="696"/>
      <c r="AN152" s="696"/>
      <c r="AO152" s="696"/>
      <c r="AP152" s="696"/>
      <c r="AQ152" s="696"/>
      <c r="AR152" s="696"/>
      <c r="AS152" s="696"/>
      <c r="AT152" s="696"/>
      <c r="AU152" s="696"/>
      <c r="AV152" s="696"/>
      <c r="AW152" s="696"/>
      <c r="AX152" s="696"/>
      <c r="AY152" s="696"/>
      <c r="AZ152" s="696"/>
      <c r="BA152" s="696"/>
      <c r="BB152" s="696"/>
      <c r="BC152" s="696"/>
      <c r="BD152" s="696"/>
      <c r="BE152" s="696"/>
      <c r="BF152" s="696"/>
      <c r="BG152" s="696"/>
      <c r="BH152" s="696"/>
      <c r="BI152" s="696"/>
      <c r="BJ152" s="696"/>
      <c r="BK152" s="696"/>
      <c r="BL152" s="696"/>
      <c r="BM152" s="696"/>
      <c r="BN152" s="696"/>
      <c r="BO152" s="696"/>
      <c r="BP152" s="696"/>
      <c r="BQ152" s="696"/>
      <c r="BR152" s="696"/>
      <c r="BS152" s="696"/>
      <c r="BT152" s="696"/>
      <c r="BU152" s="696"/>
      <c r="BV152" s="696"/>
      <c r="BW152" s="696"/>
      <c r="BX152" s="696"/>
      <c r="BY152" s="696"/>
      <c r="BZ152" s="696"/>
      <c r="CA152" s="696"/>
      <c r="CB152" s="696"/>
      <c r="CC152" s="696"/>
      <c r="CD152" s="696"/>
      <c r="CE152" s="696"/>
      <c r="CF152" s="696"/>
      <c r="CG152" s="696"/>
      <c r="CH152" s="696"/>
      <c r="CI152" s="696"/>
      <c r="CJ152" s="696"/>
      <c r="CK152" s="696"/>
      <c r="CL152" s="696"/>
      <c r="CM152" s="696"/>
      <c r="CN152" s="696"/>
      <c r="CO152" s="696"/>
      <c r="CP152" s="696"/>
      <c r="CQ152" s="696"/>
      <c r="CR152" s="696"/>
      <c r="CS152" s="696"/>
      <c r="CT152" s="696"/>
      <c r="CU152" s="696"/>
      <c r="CV152" s="696"/>
      <c r="CW152" s="696"/>
      <c r="CX152" s="696"/>
      <c r="CY152" s="696"/>
      <c r="CZ152" s="696"/>
      <c r="DA152" s="696"/>
      <c r="DB152" s="696"/>
      <c r="DC152" s="696"/>
      <c r="DD152" s="696"/>
      <c r="DE152" s="696"/>
      <c r="DF152" s="696"/>
      <c r="DG152" s="696"/>
      <c r="DH152" s="696"/>
      <c r="DI152" s="696"/>
      <c r="DJ152" s="696"/>
      <c r="DK152" s="696"/>
      <c r="DL152" s="696"/>
      <c r="DM152" s="696"/>
      <c r="DN152" s="696"/>
      <c r="DO152" s="696"/>
      <c r="DP152" s="696"/>
      <c r="DQ152" s="696"/>
      <c r="DR152" s="696"/>
      <c r="DS152" s="696"/>
      <c r="DT152" s="696"/>
      <c r="DU152" s="696"/>
      <c r="DV152" s="696"/>
      <c r="DW152" s="696"/>
      <c r="DX152" s="696"/>
      <c r="DY152" s="696"/>
      <c r="DZ152" s="696"/>
      <c r="EA152" s="696"/>
      <c r="EB152" s="696"/>
      <c r="EC152" s="696"/>
      <c r="ED152" s="696"/>
      <c r="EE152" s="696"/>
      <c r="EF152" s="696"/>
      <c r="EG152" s="696"/>
      <c r="EH152" s="696"/>
      <c r="EI152" s="696"/>
      <c r="EJ152" s="696"/>
      <c r="EK152" s="696"/>
      <c r="EL152" s="696"/>
      <c r="EM152" s="696"/>
      <c r="EN152" s="696"/>
      <c r="EO152" s="696"/>
      <c r="EP152" s="696"/>
      <c r="EQ152" s="696"/>
      <c r="ER152" s="696"/>
      <c r="ES152" s="696"/>
      <c r="ET152" s="696"/>
      <c r="EU152" s="696"/>
      <c r="EV152" s="696"/>
      <c r="EW152" s="696"/>
      <c r="EX152" s="696"/>
      <c r="EY152" s="696"/>
      <c r="EZ152" s="696"/>
      <c r="FA152" s="696"/>
      <c r="FB152" s="696"/>
      <c r="FC152" s="696"/>
      <c r="FD152" s="696"/>
      <c r="FE152" s="696"/>
      <c r="FF152" s="696"/>
      <c r="FG152" s="696"/>
      <c r="FH152" s="696"/>
      <c r="FI152" s="696"/>
      <c r="FJ152" s="696"/>
      <c r="FK152" s="696"/>
      <c r="FL152" s="696"/>
      <c r="FM152" s="696"/>
      <c r="FN152" s="696"/>
      <c r="FO152" s="696"/>
      <c r="FP152" s="696"/>
      <c r="FQ152" s="696"/>
      <c r="FR152" s="696"/>
      <c r="FS152" s="696"/>
      <c r="FT152" s="696"/>
      <c r="FU152" s="696"/>
      <c r="FV152" s="696"/>
      <c r="FW152" s="696"/>
      <c r="FX152" s="696"/>
      <c r="FY152" s="696"/>
      <c r="FZ152" s="696"/>
      <c r="GA152" s="696"/>
      <c r="GB152" s="696"/>
      <c r="GC152" s="696"/>
      <c r="GD152" s="696"/>
      <c r="GE152" s="696"/>
      <c r="GF152" s="696"/>
      <c r="GG152" s="696"/>
      <c r="GH152" s="696"/>
      <c r="GI152" s="696"/>
      <c r="GJ152" s="696"/>
      <c r="GK152" s="696"/>
      <c r="GL152" s="696"/>
      <c r="GM152" s="696"/>
      <c r="GN152" s="696"/>
      <c r="GO152" s="696"/>
      <c r="GP152" s="696"/>
      <c r="GQ152" s="696"/>
      <c r="GR152" s="696"/>
      <c r="GS152" s="696"/>
      <c r="GT152" s="696"/>
      <c r="GU152" s="696"/>
      <c r="GV152" s="696"/>
      <c r="GW152" s="696"/>
      <c r="GX152" s="696"/>
      <c r="GY152" s="696"/>
      <c r="GZ152" s="696"/>
      <c r="HA152" s="696"/>
      <c r="HB152" s="696"/>
      <c r="HC152" s="696"/>
      <c r="HD152" s="696"/>
      <c r="HE152" s="696"/>
      <c r="HF152" s="696"/>
      <c r="HG152" s="696"/>
      <c r="HH152" s="696"/>
      <c r="HI152" s="696"/>
      <c r="HJ152" s="696"/>
      <c r="HK152" s="696"/>
      <c r="HL152" s="696"/>
      <c r="HM152" s="696"/>
      <c r="HN152" s="696"/>
      <c r="HO152" s="696"/>
      <c r="HP152" s="696"/>
      <c r="HQ152" s="696"/>
      <c r="HR152" s="696"/>
      <c r="HS152" s="696"/>
      <c r="HT152" s="696"/>
      <c r="HU152" s="696"/>
      <c r="HV152" s="696"/>
      <c r="HW152" s="696"/>
      <c r="HX152" s="696"/>
      <c r="HY152" s="696"/>
      <c r="HZ152" s="696"/>
      <c r="IA152" s="696"/>
      <c r="IB152" s="696"/>
      <c r="IC152" s="696"/>
      <c r="ID152" s="696"/>
      <c r="IE152" s="696"/>
      <c r="IF152" s="696"/>
      <c r="IG152" s="696"/>
      <c r="IH152" s="696"/>
      <c r="II152" s="696"/>
      <c r="IJ152" s="696"/>
      <c r="IK152" s="696"/>
      <c r="IL152" s="696"/>
      <c r="IM152" s="696"/>
      <c r="IN152" s="696"/>
      <c r="IO152" s="696"/>
      <c r="IP152" s="696"/>
      <c r="IQ152" s="696"/>
    </row>
  </sheetData>
  <mergeCells count="17">
    <mergeCell ref="P135:X135"/>
    <mergeCell ref="L135:O135"/>
    <mergeCell ref="D135:J135"/>
    <mergeCell ref="P138:X138"/>
    <mergeCell ref="L138:O138"/>
    <mergeCell ref="D138:J138"/>
    <mergeCell ref="P137:X137"/>
    <mergeCell ref="L137:O137"/>
    <mergeCell ref="D137:J137"/>
    <mergeCell ref="D141:J141"/>
    <mergeCell ref="A144:Y144"/>
    <mergeCell ref="P136:X136"/>
    <mergeCell ref="L136:O136"/>
    <mergeCell ref="D136:J136"/>
    <mergeCell ref="D142:J142"/>
    <mergeCell ref="L142:O142"/>
    <mergeCell ref="L141:O141"/>
  </mergeCells>
  <printOptions horizontalCentered="1"/>
  <pageMargins left="0.15748031496062992" right="0.15748031496062992" top="0.59055118110236227" bottom="0.51181102362204722" header="0.15748031496062992" footer="0.15748031496062992"/>
  <pageSetup paperSize="9" scale="99" orientation="landscape" r:id="rId1"/>
  <headerFooter alignWithMargins="0">
    <oddFooter>&amp;L&amp;8&amp;F&amp;R&amp;P</oddFooter>
  </headerFooter>
  <rowBreaks count="2" manualBreakCount="2">
    <brk id="81" max="24" man="1"/>
    <brk id="122" max="16383" man="1"/>
  </rowBreaks>
  <customProperties>
    <customPr name="DVSECTION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>
  <sheetPr codeName="Лист6"/>
  <dimension ref="A1:AK39"/>
  <sheetViews>
    <sheetView topLeftCell="A8" zoomScale="80" zoomScaleNormal="80" workbookViewId="0">
      <selection activeCell="AC9" sqref="AC9"/>
    </sheetView>
  </sheetViews>
  <sheetFormatPr defaultRowHeight="12.75"/>
  <cols>
    <col min="1" max="1" width="6.42578125" customWidth="1"/>
    <col min="2" max="2" width="6.85546875" customWidth="1"/>
    <col min="3" max="3" width="3.42578125" customWidth="1"/>
    <col min="4" max="4" width="3.140625" customWidth="1"/>
    <col min="5" max="5" width="7.28515625" customWidth="1"/>
    <col min="6" max="6" width="8" customWidth="1"/>
    <col min="7" max="7" width="7.28515625" customWidth="1"/>
    <col min="8" max="8" width="3.42578125" customWidth="1"/>
    <col min="9" max="9" width="6" customWidth="1"/>
    <col min="10" max="11" width="4.28515625" customWidth="1"/>
    <col min="12" max="14" width="3.5703125" customWidth="1"/>
    <col min="15" max="15" width="3" customWidth="1"/>
    <col min="16" max="16" width="3.140625" customWidth="1"/>
    <col min="17" max="20" width="3" customWidth="1"/>
    <col min="21" max="21" width="3.28515625" customWidth="1"/>
    <col min="22" max="22" width="7" customWidth="1"/>
    <col min="23" max="23" width="5" customWidth="1"/>
    <col min="24" max="24" width="4.7109375" customWidth="1"/>
    <col min="25" max="26" width="3.7109375" customWidth="1"/>
    <col min="27" max="27" width="4.5703125" customWidth="1"/>
    <col min="28" max="28" width="3.85546875" customWidth="1"/>
    <col min="29" max="29" width="4.5703125" customWidth="1"/>
    <col min="30" max="31" width="5.85546875" customWidth="1"/>
    <col min="32" max="32" width="4.85546875" customWidth="1"/>
    <col min="33" max="33" width="5" customWidth="1"/>
  </cols>
  <sheetData>
    <row r="1" spans="1:37" s="77" customFormat="1" ht="18.75" customHeight="1">
      <c r="B1" s="1319" t="s">
        <v>128</v>
      </c>
      <c r="C1" s="1319"/>
      <c r="D1" s="1319"/>
      <c r="E1" s="1319"/>
      <c r="F1" s="1319"/>
      <c r="G1" s="1319"/>
      <c r="H1" s="1319"/>
      <c r="I1" s="1319"/>
      <c r="J1" s="1319"/>
      <c r="K1" s="1319"/>
      <c r="L1" s="1319"/>
      <c r="M1" s="1319"/>
      <c r="N1" s="1319"/>
      <c r="O1" s="1319"/>
      <c r="P1" s="1319"/>
      <c r="Q1" s="1319"/>
      <c r="R1" s="1319"/>
      <c r="S1" s="1319"/>
      <c r="T1" s="1319"/>
      <c r="U1" s="1319"/>
      <c r="V1" s="1319"/>
      <c r="W1" s="1319"/>
      <c r="X1" s="1319"/>
      <c r="Y1" s="1319"/>
      <c r="Z1" s="1319"/>
      <c r="AA1" s="1319"/>
    </row>
    <row r="2" spans="1:37" s="2" customFormat="1">
      <c r="A2" s="1320" t="s">
        <v>129</v>
      </c>
      <c r="B2" s="1320"/>
      <c r="C2" s="1320"/>
      <c r="D2" s="1320"/>
      <c r="E2" s="1320"/>
      <c r="F2" s="1320"/>
      <c r="G2" s="1320"/>
      <c r="H2" s="1320"/>
      <c r="I2" s="1320"/>
      <c r="J2" s="1320"/>
      <c r="K2" s="1320"/>
      <c r="L2" s="1320"/>
      <c r="M2" s="1320"/>
      <c r="N2" s="1320"/>
      <c r="O2" s="1320"/>
      <c r="P2" s="1320"/>
      <c r="Q2" s="1320"/>
      <c r="R2" s="1320"/>
      <c r="S2" s="1320"/>
      <c r="T2" s="1320"/>
      <c r="U2" s="1320"/>
      <c r="V2" s="1320"/>
      <c r="W2" s="1320"/>
      <c r="X2" s="1320"/>
      <c r="Y2" s="1320"/>
      <c r="Z2" s="1320"/>
      <c r="AA2" s="1320"/>
      <c r="AB2" s="1320"/>
      <c r="AC2" s="1320"/>
    </row>
    <row r="3" spans="1:37" s="2" customFormat="1">
      <c r="S3" s="1"/>
    </row>
    <row r="4" spans="1:37" s="2" customFormat="1">
      <c r="A4" s="1321" t="s">
        <v>130</v>
      </c>
      <c r="B4" s="1321"/>
      <c r="C4" s="1321"/>
      <c r="D4" s="1321"/>
      <c r="E4" s="1321"/>
      <c r="F4" s="1321"/>
      <c r="G4" s="1321"/>
      <c r="Z4" s="79"/>
      <c r="AA4" s="79"/>
      <c r="AB4" s="79"/>
      <c r="AC4" s="80" t="s">
        <v>29</v>
      </c>
      <c r="AD4" s="79"/>
      <c r="AE4" s="79"/>
      <c r="AF4" s="79"/>
      <c r="AG4" s="80"/>
    </row>
    <row r="5" spans="1:37" s="2" customFormat="1" ht="13.5">
      <c r="A5" s="81" t="s">
        <v>131</v>
      </c>
      <c r="Z5" s="60"/>
      <c r="AA5" s="60"/>
      <c r="AB5" s="60"/>
      <c r="AC5" s="82" t="s">
        <v>334</v>
      </c>
      <c r="AD5" s="60"/>
      <c r="AE5" s="60"/>
      <c r="AF5" s="60"/>
      <c r="AG5" s="82"/>
      <c r="AH5" s="60"/>
      <c r="AI5" s="60"/>
      <c r="AJ5" s="60"/>
      <c r="AK5" s="60"/>
    </row>
    <row r="6" spans="1:37" s="2" customFormat="1">
      <c r="S6" s="1"/>
      <c r="Z6" s="60"/>
      <c r="AA6" s="60"/>
      <c r="AB6" s="60"/>
      <c r="AC6" s="82"/>
      <c r="AD6" s="60"/>
      <c r="AE6" s="60"/>
      <c r="AF6" s="60"/>
      <c r="AG6" s="82"/>
      <c r="AH6" s="60"/>
    </row>
    <row r="7" spans="1:37" s="2" customFormat="1">
      <c r="A7" s="1321" t="s">
        <v>132</v>
      </c>
      <c r="B7" s="1321"/>
      <c r="C7" s="1321"/>
      <c r="D7" s="1321"/>
      <c r="E7" s="1321"/>
      <c r="F7" s="1321"/>
    </row>
    <row r="8" spans="1:37" s="2" customFormat="1">
      <c r="A8" s="1311" t="s">
        <v>133</v>
      </c>
      <c r="B8" s="1311"/>
      <c r="C8" s="1311"/>
      <c r="D8" s="1311"/>
      <c r="E8" s="1311"/>
      <c r="F8" s="1311"/>
      <c r="Z8" s="79"/>
      <c r="AA8" s="79"/>
      <c r="AB8" s="79"/>
      <c r="AC8" s="83" t="s">
        <v>28</v>
      </c>
      <c r="AD8" s="79"/>
      <c r="AE8" s="79"/>
      <c r="AF8" s="79"/>
      <c r="AG8" s="83"/>
    </row>
    <row r="9" spans="1:37" s="2" customFormat="1" ht="12.75" customHeight="1">
      <c r="A9" s="1312" t="s">
        <v>134</v>
      </c>
      <c r="B9" s="1312"/>
      <c r="C9" s="1312"/>
      <c r="S9" s="85"/>
      <c r="Z9" s="8"/>
      <c r="AA9" s="8"/>
      <c r="AB9" s="8"/>
      <c r="AC9" s="86" t="s">
        <v>556</v>
      </c>
      <c r="AD9" s="8"/>
      <c r="AE9" s="8"/>
      <c r="AF9" s="8"/>
      <c r="AG9" s="86"/>
    </row>
    <row r="10" spans="1:37" s="2" customFormat="1" ht="12.75" customHeight="1">
      <c r="A10" s="84"/>
      <c r="B10" s="84"/>
      <c r="C10" s="84"/>
      <c r="S10" s="85"/>
      <c r="Z10" s="8"/>
      <c r="AA10" s="8"/>
      <c r="AB10" s="8"/>
      <c r="AC10" s="86"/>
      <c r="AD10" s="8"/>
      <c r="AE10" s="8"/>
      <c r="AF10" s="8"/>
      <c r="AG10" s="86"/>
    </row>
    <row r="11" spans="1:37" s="2" customFormat="1" ht="12.75" customHeight="1">
      <c r="A11" s="646" t="s">
        <v>554</v>
      </c>
      <c r="B11" s="646"/>
      <c r="C11" s="646"/>
      <c r="D11" s="646"/>
      <c r="E11" s="646"/>
      <c r="S11" s="85"/>
      <c r="Z11" s="8"/>
      <c r="AA11" s="8"/>
      <c r="AB11" s="8"/>
      <c r="AC11" s="86"/>
      <c r="AD11" s="8"/>
      <c r="AE11" s="8"/>
      <c r="AF11" s="8"/>
      <c r="AG11" s="86"/>
    </row>
    <row r="12" spans="1:37" s="2" customFormat="1" ht="13.5">
      <c r="A12" s="646" t="s">
        <v>555</v>
      </c>
      <c r="B12" s="646"/>
      <c r="C12" s="646"/>
      <c r="D12" s="646"/>
      <c r="E12" s="646"/>
      <c r="AA12" s="78"/>
    </row>
    <row r="13" spans="1:37" s="2" customFormat="1" ht="18" customHeight="1">
      <c r="F13" s="87"/>
      <c r="G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8"/>
      <c r="U13" s="89" t="s">
        <v>135</v>
      </c>
      <c r="V13" s="90">
        <f>Шахм!R1</f>
        <v>0</v>
      </c>
      <c r="W13" s="87"/>
      <c r="X13" s="88"/>
      <c r="Y13" s="87"/>
      <c r="Z13" s="61"/>
      <c r="AB13" s="84"/>
    </row>
    <row r="14" spans="1:37">
      <c r="S14" s="2"/>
      <c r="AF14" s="91"/>
    </row>
    <row r="15" spans="1:37" s="92" customFormat="1" ht="18" customHeight="1">
      <c r="I15" s="93" t="str">
        <f>Шахм!M3</f>
        <v>Направление подготовки №</v>
      </c>
      <c r="J15" s="92" t="str">
        <f>Шахм!N3</f>
        <v>090301  "Компьютерная безопасность"</v>
      </c>
      <c r="K15" s="93"/>
      <c r="Q15" s="93"/>
      <c r="R15" s="94"/>
      <c r="S15" s="94"/>
      <c r="T15" s="94"/>
      <c r="U15" s="94"/>
      <c r="V15" s="61"/>
      <c r="AG15" s="95"/>
    </row>
    <row r="16" spans="1:37" s="92" customFormat="1" ht="18" customHeight="1">
      <c r="G16" s="93" t="str">
        <f>Шахм!B4</f>
        <v xml:space="preserve">Специализация №8 </v>
      </c>
      <c r="H16" s="61">
        <f>Шахм!E4</f>
        <v>0</v>
      </c>
      <c r="I16" s="93"/>
      <c r="K16" s="92" t="str">
        <f>Шахм!F4</f>
        <v>"Информационная безопасность объектов информатизации на базе компьютерных систем"</v>
      </c>
      <c r="P16" s="93"/>
      <c r="Q16" s="94"/>
      <c r="R16" s="94"/>
      <c r="S16" s="94"/>
      <c r="T16" s="94"/>
      <c r="U16" s="61"/>
      <c r="AF16" s="95"/>
    </row>
    <row r="17" spans="1:33" s="96" customFormat="1" ht="15.75">
      <c r="I17" s="97"/>
      <c r="Q17" s="98"/>
      <c r="R17" s="98"/>
      <c r="S17" s="63"/>
      <c r="AF17" s="99"/>
    </row>
    <row r="18" spans="1:33" ht="15">
      <c r="J18" s="1322" t="s">
        <v>136</v>
      </c>
      <c r="K18" s="1322"/>
      <c r="L18" s="1322"/>
      <c r="M18" s="1322"/>
      <c r="N18" s="1322"/>
      <c r="O18" s="1322"/>
      <c r="P18" s="1322"/>
      <c r="Q18" s="1322"/>
      <c r="R18" s="1322"/>
      <c r="S18" s="100"/>
      <c r="AF18" s="91"/>
    </row>
    <row r="19" spans="1:33" ht="14.25">
      <c r="S19" s="101"/>
      <c r="Z19" s="102"/>
      <c r="AF19" s="91"/>
    </row>
    <row r="20" spans="1:33">
      <c r="J20" s="1307" t="s">
        <v>137</v>
      </c>
      <c r="K20" s="1307"/>
      <c r="L20" s="1307"/>
      <c r="M20" s="1307"/>
      <c r="N20" s="1307"/>
      <c r="O20" s="1307"/>
      <c r="P20" s="1307"/>
      <c r="Q20" s="1307"/>
      <c r="R20" s="1307"/>
      <c r="S20" s="103"/>
      <c r="AF20" s="91"/>
    </row>
    <row r="21" spans="1:33">
      <c r="S21" s="103"/>
      <c r="AF21" s="91"/>
    </row>
    <row r="22" spans="1:33">
      <c r="A22" s="7" t="s">
        <v>138</v>
      </c>
      <c r="S22" s="103"/>
      <c r="AC22" s="82" t="s">
        <v>139</v>
      </c>
      <c r="AF22" s="91"/>
    </row>
    <row r="23" spans="1:33">
      <c r="S23" s="103"/>
      <c r="AF23" s="91"/>
    </row>
    <row r="24" spans="1:33" s="15" customFormat="1" ht="30" customHeight="1">
      <c r="A24" s="104" t="s">
        <v>140</v>
      </c>
      <c r="B24" s="1313" t="s">
        <v>141</v>
      </c>
      <c r="C24" s="1314"/>
      <c r="D24" s="1314"/>
      <c r="E24" s="1314"/>
      <c r="F24" s="1314"/>
      <c r="G24" s="1314"/>
      <c r="H24" s="1314"/>
      <c r="I24" s="1314"/>
      <c r="J24" s="1314"/>
      <c r="K24" s="1314"/>
      <c r="L24" s="1314"/>
      <c r="M24" s="1314"/>
      <c r="N24" s="1314"/>
      <c r="O24" s="1314"/>
      <c r="P24" s="1314"/>
      <c r="Q24" s="1314"/>
      <c r="R24" s="1314"/>
      <c r="S24" s="1314"/>
      <c r="T24" s="1314"/>
      <c r="U24" s="1314"/>
      <c r="V24" s="1315"/>
      <c r="W24" s="1323" t="s">
        <v>142</v>
      </c>
      <c r="X24" s="1323" t="s">
        <v>143</v>
      </c>
      <c r="Y24" s="1323" t="s">
        <v>144</v>
      </c>
      <c r="Z24" s="1323" t="s">
        <v>145</v>
      </c>
      <c r="AA24" s="1323" t="s">
        <v>146</v>
      </c>
      <c r="AB24" s="1323" t="s">
        <v>147</v>
      </c>
      <c r="AC24" s="1323" t="s">
        <v>148</v>
      </c>
      <c r="AG24" s="105"/>
    </row>
    <row r="25" spans="1:33" s="15" customFormat="1" ht="33" customHeight="1">
      <c r="A25" s="106" t="s">
        <v>149</v>
      </c>
      <c r="B25" s="107" t="s">
        <v>150</v>
      </c>
      <c r="C25" s="107">
        <v>18</v>
      </c>
      <c r="D25" s="107">
        <v>19</v>
      </c>
      <c r="E25" s="107" t="s">
        <v>151</v>
      </c>
      <c r="F25" s="107" t="s">
        <v>152</v>
      </c>
      <c r="G25" s="107" t="s">
        <v>153</v>
      </c>
      <c r="H25" s="107">
        <v>30</v>
      </c>
      <c r="I25" s="107" t="s">
        <v>154</v>
      </c>
      <c r="J25" s="106">
        <v>35</v>
      </c>
      <c r="K25" s="106">
        <v>36</v>
      </c>
      <c r="L25" s="106">
        <v>37</v>
      </c>
      <c r="M25" s="106">
        <v>38</v>
      </c>
      <c r="N25" s="106">
        <v>39</v>
      </c>
      <c r="O25" s="106">
        <v>40</v>
      </c>
      <c r="P25" s="106">
        <v>41</v>
      </c>
      <c r="Q25" s="106">
        <v>42</v>
      </c>
      <c r="R25" s="106">
        <v>43</v>
      </c>
      <c r="S25" s="106">
        <v>44</v>
      </c>
      <c r="T25" s="106">
        <v>45</v>
      </c>
      <c r="U25" s="106">
        <v>46</v>
      </c>
      <c r="V25" s="106" t="s">
        <v>155</v>
      </c>
      <c r="W25" s="1324"/>
      <c r="X25" s="1324"/>
      <c r="Y25" s="1324"/>
      <c r="Z25" s="1324"/>
      <c r="AA25" s="1324"/>
      <c r="AB25" s="1324"/>
      <c r="AC25" s="1324"/>
      <c r="AG25" s="105"/>
    </row>
    <row r="26" spans="1:33" s="15" customFormat="1" ht="12.75" customHeight="1">
      <c r="A26" s="107" t="s">
        <v>156</v>
      </c>
      <c r="B26" s="1316" t="s">
        <v>157</v>
      </c>
      <c r="C26" s="1316"/>
      <c r="D26" s="1316" t="s">
        <v>158</v>
      </c>
      <c r="E26" s="1316"/>
      <c r="F26" s="106" t="s">
        <v>159</v>
      </c>
      <c r="G26" s="1308" t="s">
        <v>336</v>
      </c>
      <c r="H26" s="1309"/>
      <c r="I26" s="1309"/>
      <c r="J26" s="1309"/>
      <c r="K26" s="1309"/>
      <c r="L26" s="1309"/>
      <c r="M26" s="1309"/>
      <c r="N26" s="1309"/>
      <c r="O26" s="1309"/>
      <c r="P26" s="1310"/>
      <c r="Q26" s="1317" t="s">
        <v>335</v>
      </c>
      <c r="R26" s="1325"/>
      <c r="S26" s="1318"/>
      <c r="T26" s="1326" t="s">
        <v>160</v>
      </c>
      <c r="U26" s="1326"/>
      <c r="V26" s="1326"/>
      <c r="W26" s="104">
        <v>36</v>
      </c>
      <c r="X26" s="104">
        <v>6</v>
      </c>
      <c r="Y26" s="104">
        <v>0</v>
      </c>
      <c r="Z26" s="104">
        <v>0</v>
      </c>
      <c r="AA26" s="104">
        <v>0</v>
      </c>
      <c r="AB26" s="104">
        <v>10</v>
      </c>
      <c r="AC26" s="104">
        <f>SUM(W26:AB26)</f>
        <v>52</v>
      </c>
      <c r="AG26" s="105"/>
    </row>
    <row r="27" spans="1:33" s="15" customFormat="1" ht="12.75" customHeight="1">
      <c r="A27" s="107" t="s">
        <v>161</v>
      </c>
      <c r="B27" s="1316" t="s">
        <v>157</v>
      </c>
      <c r="C27" s="1316"/>
      <c r="D27" s="1316" t="s">
        <v>158</v>
      </c>
      <c r="E27" s="1316"/>
      <c r="F27" s="106" t="s">
        <v>159</v>
      </c>
      <c r="G27" s="1308" t="s">
        <v>336</v>
      </c>
      <c r="H27" s="1309"/>
      <c r="I27" s="1309"/>
      <c r="J27" s="1309"/>
      <c r="K27" s="1309"/>
      <c r="L27" s="1309"/>
      <c r="M27" s="1309"/>
      <c r="N27" s="1309"/>
      <c r="O27" s="1309"/>
      <c r="P27" s="1310"/>
      <c r="Q27" s="1317" t="s">
        <v>162</v>
      </c>
      <c r="R27" s="1318"/>
      <c r="S27" s="1317" t="s">
        <v>163</v>
      </c>
      <c r="T27" s="1318"/>
      <c r="U27" s="1317" t="s">
        <v>337</v>
      </c>
      <c r="V27" s="1318"/>
      <c r="W27" s="104">
        <v>36</v>
      </c>
      <c r="X27" s="104">
        <v>5</v>
      </c>
      <c r="Y27" s="104">
        <v>2</v>
      </c>
      <c r="Z27" s="104">
        <v>0</v>
      </c>
      <c r="AA27" s="104">
        <v>0</v>
      </c>
      <c r="AB27" s="104">
        <v>9</v>
      </c>
      <c r="AC27" s="104">
        <f>SUM(W27:AB27)</f>
        <v>52</v>
      </c>
      <c r="AG27" s="105"/>
    </row>
    <row r="28" spans="1:33" s="15" customFormat="1" ht="12.75" customHeight="1">
      <c r="A28" s="107" t="s">
        <v>164</v>
      </c>
      <c r="B28" s="1316" t="s">
        <v>157</v>
      </c>
      <c r="C28" s="1316"/>
      <c r="D28" s="1316" t="s">
        <v>158</v>
      </c>
      <c r="E28" s="1316"/>
      <c r="F28" s="106" t="s">
        <v>159</v>
      </c>
      <c r="G28" s="1308" t="s">
        <v>336</v>
      </c>
      <c r="H28" s="1309"/>
      <c r="I28" s="1309"/>
      <c r="J28" s="1309"/>
      <c r="K28" s="1309"/>
      <c r="L28" s="1309"/>
      <c r="M28" s="1309"/>
      <c r="N28" s="1309"/>
      <c r="O28" s="1309"/>
      <c r="P28" s="1310"/>
      <c r="Q28" s="1317" t="s">
        <v>162</v>
      </c>
      <c r="R28" s="1318"/>
      <c r="S28" s="1317" t="s">
        <v>544</v>
      </c>
      <c r="T28" s="1318"/>
      <c r="U28" s="1317" t="s">
        <v>337</v>
      </c>
      <c r="V28" s="1318"/>
      <c r="W28" s="104">
        <v>36</v>
      </c>
      <c r="X28" s="104">
        <v>3</v>
      </c>
      <c r="Y28" s="104">
        <v>4</v>
      </c>
      <c r="Z28" s="104">
        <v>0</v>
      </c>
      <c r="AA28" s="104">
        <v>0</v>
      </c>
      <c r="AB28" s="104">
        <v>9</v>
      </c>
      <c r="AC28" s="104">
        <f>SUM(W28:AB28)</f>
        <v>52</v>
      </c>
      <c r="AG28" s="105"/>
    </row>
    <row r="29" spans="1:33" s="15" customFormat="1" ht="12.75" customHeight="1">
      <c r="A29" s="107" t="s">
        <v>165</v>
      </c>
      <c r="B29" s="1316" t="s">
        <v>157</v>
      </c>
      <c r="C29" s="1316"/>
      <c r="D29" s="1316" t="s">
        <v>158</v>
      </c>
      <c r="E29" s="1316"/>
      <c r="F29" s="106" t="s">
        <v>159</v>
      </c>
      <c r="G29" s="1308" t="s">
        <v>166</v>
      </c>
      <c r="H29" s="1309"/>
      <c r="I29" s="1310"/>
      <c r="J29" s="1326" t="s">
        <v>167</v>
      </c>
      <c r="K29" s="1326"/>
      <c r="L29" s="108"/>
      <c r="M29" s="1325" t="s">
        <v>168</v>
      </c>
      <c r="N29" s="1325"/>
      <c r="O29" s="1325"/>
      <c r="P29" s="1325"/>
      <c r="Q29" s="1325"/>
      <c r="R29" s="1325"/>
      <c r="S29" s="1318"/>
      <c r="T29" s="1326" t="s">
        <v>160</v>
      </c>
      <c r="U29" s="1326"/>
      <c r="V29" s="1326"/>
      <c r="W29" s="104">
        <v>29</v>
      </c>
      <c r="X29" s="104">
        <v>3</v>
      </c>
      <c r="Y29" s="104">
        <v>2</v>
      </c>
      <c r="Z29" s="104">
        <v>0</v>
      </c>
      <c r="AA29" s="104">
        <v>8</v>
      </c>
      <c r="AB29" s="104">
        <v>10</v>
      </c>
      <c r="AC29" s="104">
        <f>SUM(W29:AB29)</f>
        <v>52</v>
      </c>
      <c r="AG29" s="105"/>
    </row>
    <row r="30" spans="1:33" s="15" customFormat="1">
      <c r="L30" s="22"/>
      <c r="W30" s="104">
        <f t="shared" ref="W30:AC30" si="0">SUM(W26:W29)</f>
        <v>137</v>
      </c>
      <c r="X30" s="104">
        <f t="shared" si="0"/>
        <v>17</v>
      </c>
      <c r="Y30" s="104">
        <f t="shared" si="0"/>
        <v>8</v>
      </c>
      <c r="Z30" s="104">
        <f t="shared" si="0"/>
        <v>0</v>
      </c>
      <c r="AA30" s="104">
        <f t="shared" si="0"/>
        <v>8</v>
      </c>
      <c r="AB30" s="104">
        <f t="shared" si="0"/>
        <v>38</v>
      </c>
      <c r="AC30" s="104">
        <f t="shared" si="0"/>
        <v>208</v>
      </c>
      <c r="AG30" s="105"/>
    </row>
    <row r="31" spans="1:33">
      <c r="AG31" s="91"/>
    </row>
    <row r="32" spans="1:33" s="111" customFormat="1">
      <c r="A32" s="109" t="s">
        <v>169</v>
      </c>
      <c r="B32" s="110"/>
      <c r="C32" s="110"/>
      <c r="D32" s="110"/>
      <c r="E32" s="110"/>
      <c r="F32" s="110"/>
      <c r="G32" s="110"/>
      <c r="H32" s="110"/>
      <c r="I32" s="110"/>
      <c r="J32" s="110"/>
      <c r="K32" s="110"/>
      <c r="L32" s="110"/>
      <c r="M32" s="110"/>
      <c r="W32" s="110"/>
      <c r="X32" s="110"/>
      <c r="Y32" s="110"/>
      <c r="Z32" s="110"/>
      <c r="AA32" s="110"/>
      <c r="AB32" s="110"/>
      <c r="AC32" s="110"/>
      <c r="AD32" s="110"/>
      <c r="AE32" s="110"/>
      <c r="AF32" s="110"/>
    </row>
    <row r="33" spans="2:32" s="111" customFormat="1">
      <c r="B33" s="110"/>
      <c r="C33" s="112" t="s">
        <v>170</v>
      </c>
      <c r="D33" s="113"/>
      <c r="E33" s="113"/>
      <c r="F33" s="113"/>
      <c r="G33" s="114"/>
      <c r="H33" s="112" t="s">
        <v>171</v>
      </c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2"/>
      <c r="V33" s="112" t="s">
        <v>172</v>
      </c>
      <c r="W33" s="114"/>
      <c r="X33" s="114"/>
      <c r="Y33" s="110"/>
      <c r="AA33" s="110"/>
      <c r="AB33" s="110"/>
      <c r="AC33" s="110"/>
      <c r="AD33" s="110"/>
      <c r="AE33" s="110"/>
      <c r="AF33" s="110"/>
    </row>
    <row r="34" spans="2:32" s="111" customFormat="1">
      <c r="C34" s="112" t="s">
        <v>173</v>
      </c>
      <c r="D34" s="113"/>
      <c r="E34" s="113"/>
      <c r="F34" s="113"/>
      <c r="G34" s="114"/>
      <c r="H34" s="112" t="s">
        <v>174</v>
      </c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 t="s">
        <v>175</v>
      </c>
      <c r="X34" s="114"/>
    </row>
    <row r="35" spans="2:32" s="111" customFormat="1">
      <c r="C35" s="112" t="s">
        <v>176</v>
      </c>
      <c r="D35" s="113"/>
      <c r="E35" s="113"/>
      <c r="F35" s="113"/>
      <c r="G35" s="114"/>
      <c r="H35" s="112" t="s">
        <v>177</v>
      </c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2" t="s">
        <v>178</v>
      </c>
      <c r="W35" s="114"/>
      <c r="X35" s="114"/>
    </row>
    <row r="36" spans="2:32" s="111" customFormat="1">
      <c r="C36" s="112"/>
      <c r="D36" s="113"/>
      <c r="E36" s="113"/>
      <c r="F36" s="113"/>
      <c r="G36" s="114"/>
      <c r="H36" s="112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</row>
    <row r="39" spans="2:32" ht="14.25">
      <c r="S39" s="115"/>
    </row>
  </sheetData>
  <mergeCells count="39">
    <mergeCell ref="AC24:AC25"/>
    <mergeCell ref="Z24:Z25"/>
    <mergeCell ref="T29:V29"/>
    <mergeCell ref="S28:T28"/>
    <mergeCell ref="AB24:AB25"/>
    <mergeCell ref="B29:C29"/>
    <mergeCell ref="U27:V27"/>
    <mergeCell ref="Q27:R27"/>
    <mergeCell ref="S27:T27"/>
    <mergeCell ref="AA24:AA25"/>
    <mergeCell ref="Q26:S26"/>
    <mergeCell ref="B26:C26"/>
    <mergeCell ref="D26:E26"/>
    <mergeCell ref="T26:V26"/>
    <mergeCell ref="X24:X25"/>
    <mergeCell ref="Y24:Y25"/>
    <mergeCell ref="W24:W25"/>
    <mergeCell ref="D29:E29"/>
    <mergeCell ref="G29:I29"/>
    <mergeCell ref="J29:K29"/>
    <mergeCell ref="M29:S29"/>
    <mergeCell ref="B1:AA1"/>
    <mergeCell ref="A2:AC2"/>
    <mergeCell ref="A4:G4"/>
    <mergeCell ref="A7:F7"/>
    <mergeCell ref="J18:R18"/>
    <mergeCell ref="J20:R20"/>
    <mergeCell ref="G27:P27"/>
    <mergeCell ref="G28:P28"/>
    <mergeCell ref="A8:F8"/>
    <mergeCell ref="A9:C9"/>
    <mergeCell ref="B24:V24"/>
    <mergeCell ref="B27:C27"/>
    <mergeCell ref="D27:E27"/>
    <mergeCell ref="B28:C28"/>
    <mergeCell ref="D28:E28"/>
    <mergeCell ref="G26:P26"/>
    <mergeCell ref="Q28:R28"/>
    <mergeCell ref="U28:V28"/>
  </mergeCells>
  <phoneticPr fontId="5" type="noConversion"/>
  <printOptions horizontalCentered="1"/>
  <pageMargins left="0.62992125984251968" right="0.59055118110236227" top="0.59055118110236227" bottom="0.55118110236220474" header="0.27559055118110237" footer="0.23622047244094491"/>
  <pageSetup paperSize="9" orientation="landscape" r:id="rId1"/>
  <headerFooter alignWithMargins="0"/>
  <customProperties>
    <customPr name="DVSECTION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>
  <sheetPr codeName="Лист7"/>
  <dimension ref="A1:IV195"/>
  <sheetViews>
    <sheetView workbookViewId="0">
      <selection activeCell="A195" sqref="A195"/>
    </sheetView>
  </sheetViews>
  <sheetFormatPr defaultRowHeight="12.75"/>
  <sheetData>
    <row r="1" spans="1:256">
      <c r="A1" t="e">
        <f>IF(Шахм!1:1,"AAAAAHO78wA=",0)</f>
        <v>#VALUE!</v>
      </c>
      <c r="B1" t="e">
        <f>AND(Шахм!A1,"AAAAAHO78wE=")</f>
        <v>#VALUE!</v>
      </c>
      <c r="C1" t="e">
        <f>AND(Шахм!B1,"AAAAAHO78wI=")</f>
        <v>#VALUE!</v>
      </c>
      <c r="D1" t="e">
        <f>AND(Шахм!C1,"AAAAAHO78wM=")</f>
        <v>#VALUE!</v>
      </c>
      <c r="E1" t="e">
        <f>AND(Шахм!D1,"AAAAAHO78wQ=")</f>
        <v>#VALUE!</v>
      </c>
      <c r="F1" t="e">
        <f>AND(Шахм!E1,"AAAAAHO78wU=")</f>
        <v>#VALUE!</v>
      </c>
      <c r="G1" t="e">
        <f>AND(Шахм!F1,"AAAAAHO78wY=")</f>
        <v>#VALUE!</v>
      </c>
      <c r="H1" t="e">
        <f>AND(Шахм!G1,"AAAAAHO78wc=")</f>
        <v>#VALUE!</v>
      </c>
      <c r="I1" t="e">
        <f>AND(Шахм!H1,"AAAAAHO78wg=")</f>
        <v>#VALUE!</v>
      </c>
      <c r="J1" t="e">
        <f>AND(Шахм!I1,"AAAAAHO78wk=")</f>
        <v>#VALUE!</v>
      </c>
      <c r="K1" t="e">
        <f>AND(Шахм!J1,"AAAAAHO78wo=")</f>
        <v>#VALUE!</v>
      </c>
      <c r="L1" t="e">
        <f>AND(Шахм!K1,"AAAAAHO78ws=")</f>
        <v>#VALUE!</v>
      </c>
      <c r="M1" t="e">
        <f>AND(Шахм!L1,"AAAAAHO78ww=")</f>
        <v>#VALUE!</v>
      </c>
      <c r="N1" t="e">
        <f>AND(Шахм!M1,"AAAAAHO78w0=")</f>
        <v>#VALUE!</v>
      </c>
      <c r="O1" t="e">
        <f>AND(Шахм!N1,"AAAAAHO78w4=")</f>
        <v>#VALUE!</v>
      </c>
      <c r="P1" t="e">
        <f>AND(Шахм!O1,"AAAAAHO78w8=")</f>
        <v>#VALUE!</v>
      </c>
      <c r="Q1" t="e">
        <f>AND(Шахм!P1,"AAAAAHO78xA=")</f>
        <v>#VALUE!</v>
      </c>
      <c r="R1" t="e">
        <f>AND(Шахм!Q1,"AAAAAHO78xE=")</f>
        <v>#VALUE!</v>
      </c>
      <c r="S1" t="e">
        <f>AND(Шахм!R1,"AAAAAHO78xI=")</f>
        <v>#VALUE!</v>
      </c>
      <c r="T1" t="e">
        <f>AND(Шахм!S1,"AAAAAHO78xM=")</f>
        <v>#VALUE!</v>
      </c>
      <c r="U1" t="e">
        <f>AND(Шахм!T1,"AAAAAHO78xQ=")</f>
        <v>#VALUE!</v>
      </c>
      <c r="V1" t="e">
        <f>AND(Шахм!U1,"AAAAAHO78xU=")</f>
        <v>#VALUE!</v>
      </c>
      <c r="W1" t="e">
        <f>AND(Шахм!V1,"AAAAAHO78xY=")</f>
        <v>#VALUE!</v>
      </c>
      <c r="X1" t="e">
        <f>AND(Шахм!W1,"AAAAAHO78xc=")</f>
        <v>#VALUE!</v>
      </c>
      <c r="Y1" t="e">
        <f>AND(Шахм!X1,"AAAAAHO78xg=")</f>
        <v>#VALUE!</v>
      </c>
      <c r="Z1" t="e">
        <f>AND(Шахм!Y1,"AAAAAHO78xk=")</f>
        <v>#VALUE!</v>
      </c>
      <c r="AA1" t="e">
        <f>AND(Шахм!Z1,"AAAAAHO78xo=")</f>
        <v>#VALUE!</v>
      </c>
      <c r="AB1" t="e">
        <f>AND(Шахм!AA1,"AAAAAHO78xs=")</f>
        <v>#VALUE!</v>
      </c>
      <c r="AC1" t="e">
        <f>AND(Шахм!AB1,"AAAAAHO78xw=")</f>
        <v>#VALUE!</v>
      </c>
      <c r="AD1" t="e">
        <f>AND(Шахм!AC1,"AAAAAHO78x0=")</f>
        <v>#VALUE!</v>
      </c>
      <c r="AE1" t="e">
        <f>AND(Шахм!AD1,"AAAAAHO78x4=")</f>
        <v>#VALUE!</v>
      </c>
      <c r="AF1" t="e">
        <f>AND(Шахм!AE1,"AAAAAHO78x8=")</f>
        <v>#VALUE!</v>
      </c>
      <c r="AG1" t="e">
        <f>AND(Шахм!AF1,"AAAAAHO78yA=")</f>
        <v>#VALUE!</v>
      </c>
      <c r="AH1" t="e">
        <f>AND(Шахм!AG1,"AAAAAHO78yE=")</f>
        <v>#VALUE!</v>
      </c>
      <c r="AI1" t="e">
        <f>AND(Шахм!AH1,"AAAAAHO78yI=")</f>
        <v>#VALUE!</v>
      </c>
      <c r="AJ1" t="e">
        <f>AND(Шахм!AI1,"AAAAAHO78yM=")</f>
        <v>#VALUE!</v>
      </c>
      <c r="AK1" t="e">
        <f>AND(Шахм!AJ1,"AAAAAHO78yQ=")</f>
        <v>#VALUE!</v>
      </c>
      <c r="AL1">
        <f>IF(Шахм!2:2,"AAAAAHO78yU=",0)</f>
        <v>0</v>
      </c>
      <c r="AM1" t="e">
        <f>AND(Шахм!A2,"AAAAAHO78yY=")</f>
        <v>#VALUE!</v>
      </c>
      <c r="AN1" t="e">
        <f>AND(Шахм!B2,"AAAAAHO78yc=")</f>
        <v>#VALUE!</v>
      </c>
      <c r="AO1" t="e">
        <f>AND(Шахм!C2,"AAAAAHO78yg=")</f>
        <v>#VALUE!</v>
      </c>
      <c r="AP1" t="e">
        <f>AND(Шахм!D2,"AAAAAHO78yk=")</f>
        <v>#VALUE!</v>
      </c>
      <c r="AQ1" t="e">
        <f>AND(Шахм!E2,"AAAAAHO78yo=")</f>
        <v>#VALUE!</v>
      </c>
      <c r="AR1" t="e">
        <f>AND(Шахм!F2,"AAAAAHO78ys=")</f>
        <v>#VALUE!</v>
      </c>
      <c r="AS1" t="e">
        <f>AND(Шахм!G2,"AAAAAHO78yw=")</f>
        <v>#VALUE!</v>
      </c>
      <c r="AT1" t="e">
        <f>AND(Шахм!H2,"AAAAAHO78y0=")</f>
        <v>#VALUE!</v>
      </c>
      <c r="AU1" t="e">
        <f>AND(Шахм!I2,"AAAAAHO78y4=")</f>
        <v>#VALUE!</v>
      </c>
      <c r="AV1" t="e">
        <f>AND(Шахм!J2,"AAAAAHO78y8=")</f>
        <v>#VALUE!</v>
      </c>
      <c r="AW1" t="e">
        <f>AND(Шахм!K2,"AAAAAHO78zA=")</f>
        <v>#VALUE!</v>
      </c>
      <c r="AX1" t="e">
        <f>AND(Шахм!L2,"AAAAAHO78zE=")</f>
        <v>#VALUE!</v>
      </c>
      <c r="AY1" t="e">
        <f>AND(Шахм!M2,"AAAAAHO78zI=")</f>
        <v>#VALUE!</v>
      </c>
      <c r="AZ1" t="e">
        <f>AND(Шахм!N2,"AAAAAHO78zM=")</f>
        <v>#VALUE!</v>
      </c>
      <c r="BA1" t="e">
        <f>AND(Шахм!O2,"AAAAAHO78zQ=")</f>
        <v>#VALUE!</v>
      </c>
      <c r="BB1" t="e">
        <f>AND(Шахм!P2,"AAAAAHO78zU=")</f>
        <v>#VALUE!</v>
      </c>
      <c r="BC1" t="e">
        <f>AND(Шахм!Q2,"AAAAAHO78zY=")</f>
        <v>#VALUE!</v>
      </c>
      <c r="BD1" t="e">
        <f>AND(Шахм!R2,"AAAAAHO78zc=")</f>
        <v>#VALUE!</v>
      </c>
      <c r="BE1" t="e">
        <f>AND(Шахм!S2,"AAAAAHO78zg=")</f>
        <v>#VALUE!</v>
      </c>
      <c r="BF1" t="e">
        <f>AND(Шахм!T2,"AAAAAHO78zk=")</f>
        <v>#VALUE!</v>
      </c>
      <c r="BG1" t="e">
        <f>AND(Шахм!U2,"AAAAAHO78zo=")</f>
        <v>#VALUE!</v>
      </c>
      <c r="BH1" t="e">
        <f>AND(Шахм!V2,"AAAAAHO78zs=")</f>
        <v>#VALUE!</v>
      </c>
      <c r="BI1" t="e">
        <f>AND(Шахм!W2,"AAAAAHO78zw=")</f>
        <v>#VALUE!</v>
      </c>
      <c r="BJ1" t="e">
        <f>AND(Шахм!X2,"AAAAAHO78z0=")</f>
        <v>#VALUE!</v>
      </c>
      <c r="BK1" t="e">
        <f>AND(Шахм!Y2,"AAAAAHO78z4=")</f>
        <v>#VALUE!</v>
      </c>
      <c r="BL1" t="e">
        <f>AND(Шахм!Z2,"AAAAAHO78z8=")</f>
        <v>#VALUE!</v>
      </c>
      <c r="BM1" t="e">
        <f>AND(Шахм!AA2,"AAAAAHO780A=")</f>
        <v>#VALUE!</v>
      </c>
      <c r="BN1" t="e">
        <f>AND(Шахм!AB2,"AAAAAHO780E=")</f>
        <v>#VALUE!</v>
      </c>
      <c r="BO1" t="e">
        <f>AND(Шахм!AC2,"AAAAAHO780I=")</f>
        <v>#VALUE!</v>
      </c>
      <c r="BP1" t="e">
        <f>AND(Шахм!AD2,"AAAAAHO780M=")</f>
        <v>#VALUE!</v>
      </c>
      <c r="BQ1" t="e">
        <f>AND(Шахм!AE2,"AAAAAHO780Q=")</f>
        <v>#VALUE!</v>
      </c>
      <c r="BR1" t="e">
        <f>AND(Шахм!AF2,"AAAAAHO780U=")</f>
        <v>#VALUE!</v>
      </c>
      <c r="BS1" t="e">
        <f>AND(Шахм!AG2,"AAAAAHO780Y=")</f>
        <v>#VALUE!</v>
      </c>
      <c r="BT1" t="e">
        <f>AND(Шахм!AH2,"AAAAAHO780c=")</f>
        <v>#VALUE!</v>
      </c>
      <c r="BU1" t="e">
        <f>AND(Шахм!AI2,"AAAAAHO780g=")</f>
        <v>#VALUE!</v>
      </c>
      <c r="BV1" t="e">
        <f>AND(Шахм!AJ2,"AAAAAHO780k=")</f>
        <v>#VALUE!</v>
      </c>
      <c r="BW1">
        <f>IF(Шахм!3:3,"AAAAAHO780o=",0)</f>
        <v>0</v>
      </c>
      <c r="BX1" t="e">
        <f>AND(Шахм!A3,"AAAAAHO780s=")</f>
        <v>#VALUE!</v>
      </c>
      <c r="BY1" t="e">
        <f>AND(Шахм!B3,"AAAAAHO780w=")</f>
        <v>#VALUE!</v>
      </c>
      <c r="BZ1" t="e">
        <f>AND(Шахм!C3,"AAAAAHO7800=")</f>
        <v>#VALUE!</v>
      </c>
      <c r="CA1" t="e">
        <f>AND(Шахм!D3,"AAAAAHO7804=")</f>
        <v>#VALUE!</v>
      </c>
      <c r="CB1" t="e">
        <f>AND(Шахм!E3,"AAAAAHO7808=")</f>
        <v>#VALUE!</v>
      </c>
      <c r="CC1" t="e">
        <f>AND(Шахм!F3,"AAAAAHO781A=")</f>
        <v>#VALUE!</v>
      </c>
      <c r="CD1" t="e">
        <f>AND(Шахм!G3,"AAAAAHO781E=")</f>
        <v>#VALUE!</v>
      </c>
      <c r="CE1" t="e">
        <f>AND(Шахм!H3,"AAAAAHO781I=")</f>
        <v>#VALUE!</v>
      </c>
      <c r="CF1" t="e">
        <f>AND(Шахм!I3,"AAAAAHO781M=")</f>
        <v>#VALUE!</v>
      </c>
      <c r="CG1" t="e">
        <f>AND(Шахм!J3,"AAAAAHO781Q=")</f>
        <v>#VALUE!</v>
      </c>
      <c r="CH1" t="e">
        <f>AND(Шахм!K3,"AAAAAHO781U=")</f>
        <v>#VALUE!</v>
      </c>
      <c r="CI1" t="e">
        <f>AND(Шахм!L3,"AAAAAHO781Y=")</f>
        <v>#VALUE!</v>
      </c>
      <c r="CJ1" t="e">
        <f>AND(Шахм!M3,"AAAAAHO781c=")</f>
        <v>#VALUE!</v>
      </c>
      <c r="CK1" t="e">
        <f>AND(Шахм!N3,"AAAAAHO781g=")</f>
        <v>#VALUE!</v>
      </c>
      <c r="CL1" t="e">
        <f>AND(Шахм!O3,"AAAAAHO781k=")</f>
        <v>#VALUE!</v>
      </c>
      <c r="CM1" t="e">
        <f>AND(Шахм!P3,"AAAAAHO781o=")</f>
        <v>#VALUE!</v>
      </c>
      <c r="CN1" t="e">
        <f>AND(Шахм!Q3,"AAAAAHO781s=")</f>
        <v>#VALUE!</v>
      </c>
      <c r="CO1" t="e">
        <f>AND(Шахм!R3,"AAAAAHO781w=")</f>
        <v>#VALUE!</v>
      </c>
      <c r="CP1" t="e">
        <f>AND(Шахм!S3,"AAAAAHO7810=")</f>
        <v>#VALUE!</v>
      </c>
      <c r="CQ1" t="e">
        <f>AND(Шахм!T3,"AAAAAHO7814=")</f>
        <v>#VALUE!</v>
      </c>
      <c r="CR1" t="e">
        <f>AND(Шахм!U3,"AAAAAHO7818=")</f>
        <v>#VALUE!</v>
      </c>
      <c r="CS1" t="e">
        <f>AND(Шахм!V3,"AAAAAHO782A=")</f>
        <v>#VALUE!</v>
      </c>
      <c r="CT1" t="e">
        <f>AND(Шахм!W3,"AAAAAHO782E=")</f>
        <v>#VALUE!</v>
      </c>
      <c r="CU1" t="e">
        <f>AND(Шахм!X3,"AAAAAHO782I=")</f>
        <v>#VALUE!</v>
      </c>
      <c r="CV1" t="e">
        <f>AND(Шахм!Y3,"AAAAAHO782M=")</f>
        <v>#VALUE!</v>
      </c>
      <c r="CW1" t="e">
        <f>AND(Шахм!Z3,"AAAAAHO782Q=")</f>
        <v>#VALUE!</v>
      </c>
      <c r="CX1" t="e">
        <f>AND(Шахм!AA3,"AAAAAHO782U=")</f>
        <v>#VALUE!</v>
      </c>
      <c r="CY1" t="e">
        <f>AND(Шахм!AB3,"AAAAAHO782Y=")</f>
        <v>#VALUE!</v>
      </c>
      <c r="CZ1" t="e">
        <f>AND(Шахм!AC3,"AAAAAHO782c=")</f>
        <v>#VALUE!</v>
      </c>
      <c r="DA1" t="e">
        <f>AND(Шахм!AD3,"AAAAAHO782g=")</f>
        <v>#VALUE!</v>
      </c>
      <c r="DB1" t="e">
        <f>AND(Шахм!AE3,"AAAAAHO782k=")</f>
        <v>#VALUE!</v>
      </c>
      <c r="DC1" t="e">
        <f>AND(Шахм!AF3,"AAAAAHO782o=")</f>
        <v>#VALUE!</v>
      </c>
      <c r="DD1" t="e">
        <f>AND(Шахм!AG3,"AAAAAHO782s=")</f>
        <v>#VALUE!</v>
      </c>
      <c r="DE1" t="e">
        <f>AND(Шахм!AH3,"AAAAAHO782w=")</f>
        <v>#VALUE!</v>
      </c>
      <c r="DF1" t="e">
        <f>AND(Шахм!AI3,"AAAAAHO7820=")</f>
        <v>#VALUE!</v>
      </c>
      <c r="DG1" t="e">
        <f>AND(Шахм!AJ3,"AAAAAHO7824=")</f>
        <v>#VALUE!</v>
      </c>
      <c r="DH1">
        <f>IF(Шахм!4:4,"AAAAAHO7828=",0)</f>
        <v>0</v>
      </c>
      <c r="DI1" t="e">
        <f>AND(Шахм!A4,"AAAAAHO783A=")</f>
        <v>#VALUE!</v>
      </c>
      <c r="DJ1" t="e">
        <f>AND(Шахм!B4,"AAAAAHO783E=")</f>
        <v>#VALUE!</v>
      </c>
      <c r="DK1" t="e">
        <f>AND(Шахм!C4,"AAAAAHO783I=")</f>
        <v>#VALUE!</v>
      </c>
      <c r="DL1" t="e">
        <f>AND(Шахм!D4,"AAAAAHO783M=")</f>
        <v>#VALUE!</v>
      </c>
      <c r="DM1" t="e">
        <f>AND(Шахм!E4,"AAAAAHO783Q=")</f>
        <v>#VALUE!</v>
      </c>
      <c r="DN1" t="e">
        <f>AND(Шахм!F4,"AAAAAHO783U=")</f>
        <v>#VALUE!</v>
      </c>
      <c r="DO1" t="e">
        <f>AND(Шахм!G4,"AAAAAHO783Y=")</f>
        <v>#VALUE!</v>
      </c>
      <c r="DP1" t="e">
        <f>AND(Шахм!H4,"AAAAAHO783c=")</f>
        <v>#VALUE!</v>
      </c>
      <c r="DQ1" t="e">
        <f>AND(Шахм!I4,"AAAAAHO783g=")</f>
        <v>#VALUE!</v>
      </c>
      <c r="DR1" t="e">
        <f>AND(Шахм!J4,"AAAAAHO783k=")</f>
        <v>#VALUE!</v>
      </c>
      <c r="DS1" t="e">
        <f>AND(Шахм!K4,"AAAAAHO783o=")</f>
        <v>#VALUE!</v>
      </c>
      <c r="DT1" t="e">
        <f>AND(Шахм!L4,"AAAAAHO783s=")</f>
        <v>#VALUE!</v>
      </c>
      <c r="DU1" t="e">
        <f>AND(Шахм!M4,"AAAAAHO783w=")</f>
        <v>#VALUE!</v>
      </c>
      <c r="DV1" t="e">
        <f>AND(Шахм!N4,"AAAAAHO7830=")</f>
        <v>#VALUE!</v>
      </c>
      <c r="DW1" t="e">
        <f>AND(Шахм!O4,"AAAAAHO7834=")</f>
        <v>#VALUE!</v>
      </c>
      <c r="DX1" t="e">
        <f>AND(Шахм!P4,"AAAAAHO7838=")</f>
        <v>#VALUE!</v>
      </c>
      <c r="DY1" t="e">
        <f>AND(Шахм!Q4,"AAAAAHO784A=")</f>
        <v>#VALUE!</v>
      </c>
      <c r="DZ1" t="e">
        <f>AND(Шахм!R4,"AAAAAHO784E=")</f>
        <v>#VALUE!</v>
      </c>
      <c r="EA1" t="e">
        <f>AND(Шахм!S4,"AAAAAHO784I=")</f>
        <v>#VALUE!</v>
      </c>
      <c r="EB1" t="e">
        <f>AND(Шахм!T4,"AAAAAHO784M=")</f>
        <v>#VALUE!</v>
      </c>
      <c r="EC1" t="e">
        <f>AND(Шахм!U4,"AAAAAHO784Q=")</f>
        <v>#VALUE!</v>
      </c>
      <c r="ED1" t="e">
        <f>AND(Шахм!V4,"AAAAAHO784U=")</f>
        <v>#VALUE!</v>
      </c>
      <c r="EE1" t="e">
        <f>AND(Шахм!W4,"AAAAAHO784Y=")</f>
        <v>#VALUE!</v>
      </c>
      <c r="EF1" t="e">
        <f>AND(Шахм!X4,"AAAAAHO784c=")</f>
        <v>#VALUE!</v>
      </c>
      <c r="EG1" t="e">
        <f>AND(Шахм!Y4,"AAAAAHO784g=")</f>
        <v>#VALUE!</v>
      </c>
      <c r="EH1" t="e">
        <f>AND(Шахм!Z4,"AAAAAHO784k=")</f>
        <v>#VALUE!</v>
      </c>
      <c r="EI1" t="e">
        <f>AND(Шахм!AA4,"AAAAAHO784o=")</f>
        <v>#VALUE!</v>
      </c>
      <c r="EJ1" t="e">
        <f>AND(Шахм!AB4,"AAAAAHO784s=")</f>
        <v>#VALUE!</v>
      </c>
      <c r="EK1" t="e">
        <f>AND(Шахм!AC4,"AAAAAHO784w=")</f>
        <v>#VALUE!</v>
      </c>
      <c r="EL1" t="e">
        <f>AND(Шахм!AD4,"AAAAAHO7840=")</f>
        <v>#VALUE!</v>
      </c>
      <c r="EM1" t="e">
        <f>AND(Шахм!AE4,"AAAAAHO7844=")</f>
        <v>#VALUE!</v>
      </c>
      <c r="EN1" t="e">
        <f>AND(Шахм!AF4,"AAAAAHO7848=")</f>
        <v>#VALUE!</v>
      </c>
      <c r="EO1" t="e">
        <f>AND(Шахм!AG4,"AAAAAHO785A=")</f>
        <v>#VALUE!</v>
      </c>
      <c r="EP1" t="e">
        <f>AND(Шахм!AH4,"AAAAAHO785E=")</f>
        <v>#VALUE!</v>
      </c>
      <c r="EQ1" t="e">
        <f>AND(Шахм!AI4,"AAAAAHO785I=")</f>
        <v>#VALUE!</v>
      </c>
      <c r="ER1" t="e">
        <f>AND(Шахм!AJ4,"AAAAAHO785M=")</f>
        <v>#VALUE!</v>
      </c>
      <c r="ES1">
        <f>IF(Шахм!5:5,"AAAAAHO785Q=",0)</f>
        <v>0</v>
      </c>
      <c r="ET1" t="e">
        <f>AND(Шахм!A5,"AAAAAHO785U=")</f>
        <v>#VALUE!</v>
      </c>
      <c r="EU1" t="e">
        <f>AND(Шахм!B5,"AAAAAHO785Y=")</f>
        <v>#VALUE!</v>
      </c>
      <c r="EV1" t="e">
        <f>AND(Шахм!C5,"AAAAAHO785c=")</f>
        <v>#VALUE!</v>
      </c>
      <c r="EW1" t="e">
        <f>AND(Шахм!D5,"AAAAAHO785g=")</f>
        <v>#VALUE!</v>
      </c>
      <c r="EX1" t="e">
        <f>AND(Шахм!E5,"AAAAAHO785k=")</f>
        <v>#VALUE!</v>
      </c>
      <c r="EY1" t="e">
        <f>AND(Шахм!F5,"AAAAAHO785o=")</f>
        <v>#VALUE!</v>
      </c>
      <c r="EZ1" t="e">
        <f>AND(Шахм!G5,"AAAAAHO785s=")</f>
        <v>#VALUE!</v>
      </c>
      <c r="FA1" t="e">
        <f>AND(Шахм!H5,"AAAAAHO785w=")</f>
        <v>#VALUE!</v>
      </c>
      <c r="FB1" t="e">
        <f>AND(Шахм!I5,"AAAAAHO7850=")</f>
        <v>#VALUE!</v>
      </c>
      <c r="FC1" t="e">
        <f>AND(Шахм!J5,"AAAAAHO7854=")</f>
        <v>#VALUE!</v>
      </c>
      <c r="FD1" t="e">
        <f>AND(Шахм!K5,"AAAAAHO7858=")</f>
        <v>#VALUE!</v>
      </c>
      <c r="FE1" t="e">
        <f>AND(Шахм!L5,"AAAAAHO786A=")</f>
        <v>#VALUE!</v>
      </c>
      <c r="FF1" t="e">
        <f>AND(Шахм!M5,"AAAAAHO786E=")</f>
        <v>#VALUE!</v>
      </c>
      <c r="FG1" t="e">
        <f>AND(Шахм!N5,"AAAAAHO786I=")</f>
        <v>#VALUE!</v>
      </c>
      <c r="FH1" t="e">
        <f>AND(Шахм!O5,"AAAAAHO786M=")</f>
        <v>#VALUE!</v>
      </c>
      <c r="FI1" t="e">
        <f>AND(Шахм!P5,"AAAAAHO786Q=")</f>
        <v>#VALUE!</v>
      </c>
      <c r="FJ1" t="e">
        <f>AND(Шахм!Q5,"AAAAAHO786U=")</f>
        <v>#VALUE!</v>
      </c>
      <c r="FK1" t="e">
        <f>AND(Шахм!R5,"AAAAAHO786Y=")</f>
        <v>#VALUE!</v>
      </c>
      <c r="FL1" t="e">
        <f>AND(Шахм!S5,"AAAAAHO786c=")</f>
        <v>#VALUE!</v>
      </c>
      <c r="FM1" t="e">
        <f>AND(Шахм!T5,"AAAAAHO786g=")</f>
        <v>#VALUE!</v>
      </c>
      <c r="FN1" t="e">
        <f>AND(Шахм!U5,"AAAAAHO786k=")</f>
        <v>#VALUE!</v>
      </c>
      <c r="FO1" t="e">
        <f>AND(Шахм!V5,"AAAAAHO786o=")</f>
        <v>#VALUE!</v>
      </c>
      <c r="FP1" t="e">
        <f>AND(Шахм!W5,"AAAAAHO786s=")</f>
        <v>#VALUE!</v>
      </c>
      <c r="FQ1" t="e">
        <f>AND(Шахм!X5,"AAAAAHO786w=")</f>
        <v>#VALUE!</v>
      </c>
      <c r="FR1" t="e">
        <f>AND(Шахм!Y5,"AAAAAHO7860=")</f>
        <v>#VALUE!</v>
      </c>
      <c r="FS1" t="e">
        <f>AND(Шахм!Z5,"AAAAAHO7864=")</f>
        <v>#VALUE!</v>
      </c>
      <c r="FT1" t="e">
        <f>AND(Шахм!AA5,"AAAAAHO7868=")</f>
        <v>#VALUE!</v>
      </c>
      <c r="FU1" t="e">
        <f>AND(Шахм!AB5,"AAAAAHO787A=")</f>
        <v>#VALUE!</v>
      </c>
      <c r="FV1" t="e">
        <f>AND(Шахм!AC5,"AAAAAHO787E=")</f>
        <v>#VALUE!</v>
      </c>
      <c r="FW1" t="e">
        <f>AND(Шахм!AD5,"AAAAAHO787I=")</f>
        <v>#VALUE!</v>
      </c>
      <c r="FX1" t="e">
        <f>AND(Шахм!AE5,"AAAAAHO787M=")</f>
        <v>#VALUE!</v>
      </c>
      <c r="FY1" t="e">
        <f>AND(Шахм!AF5,"AAAAAHO787Q=")</f>
        <v>#VALUE!</v>
      </c>
      <c r="FZ1" t="e">
        <f>AND(Шахм!AG5,"AAAAAHO787U=")</f>
        <v>#VALUE!</v>
      </c>
      <c r="GA1" t="e">
        <f>AND(Шахм!AH5,"AAAAAHO787Y=")</f>
        <v>#VALUE!</v>
      </c>
      <c r="GB1" t="e">
        <f>AND(Шахм!AI5,"AAAAAHO787c=")</f>
        <v>#VALUE!</v>
      </c>
      <c r="GC1" t="e">
        <f>AND(Шахм!AJ5,"AAAAAHO787g=")</f>
        <v>#VALUE!</v>
      </c>
      <c r="GD1">
        <f>IF(Шахм!6:6,"AAAAAHO787k=",0)</f>
        <v>0</v>
      </c>
      <c r="GE1" t="e">
        <f>AND(Шахм!A6,"AAAAAHO787o=")</f>
        <v>#VALUE!</v>
      </c>
      <c r="GF1" t="e">
        <f>AND(Шахм!B6,"AAAAAHO787s=")</f>
        <v>#VALUE!</v>
      </c>
      <c r="GG1" t="e">
        <f>AND(Шахм!C6,"AAAAAHO787w=")</f>
        <v>#VALUE!</v>
      </c>
      <c r="GH1" t="e">
        <f>AND(Шахм!D6,"AAAAAHO7870=")</f>
        <v>#VALUE!</v>
      </c>
      <c r="GI1" t="e">
        <f>AND(Шахм!E6,"AAAAAHO7874=")</f>
        <v>#VALUE!</v>
      </c>
      <c r="GJ1" t="e">
        <f>AND(Шахм!F6,"AAAAAHO7878=")</f>
        <v>#VALUE!</v>
      </c>
      <c r="GK1" t="e">
        <f>AND(Шахм!G6,"AAAAAHO788A=")</f>
        <v>#VALUE!</v>
      </c>
      <c r="GL1" t="e">
        <f>AND(Шахм!H6,"AAAAAHO788E=")</f>
        <v>#VALUE!</v>
      </c>
      <c r="GM1" t="e">
        <f>AND(Шахм!I6,"AAAAAHO788I=")</f>
        <v>#VALUE!</v>
      </c>
      <c r="GN1" t="e">
        <f>AND(Шахм!J6,"AAAAAHO788M=")</f>
        <v>#VALUE!</v>
      </c>
      <c r="GO1" t="e">
        <f>AND(Шахм!K6,"AAAAAHO788Q=")</f>
        <v>#VALUE!</v>
      </c>
      <c r="GP1" t="e">
        <f>AND(Шахм!L6,"AAAAAHO788U=")</f>
        <v>#VALUE!</v>
      </c>
      <c r="GQ1" t="e">
        <f>AND(Шахм!M6,"AAAAAHO788Y=")</f>
        <v>#VALUE!</v>
      </c>
      <c r="GR1" t="e">
        <f>AND(Шахм!N6,"AAAAAHO788c=")</f>
        <v>#VALUE!</v>
      </c>
      <c r="GS1" t="e">
        <f>AND(Шахм!O6,"AAAAAHO788g=")</f>
        <v>#VALUE!</v>
      </c>
      <c r="GT1" t="e">
        <f>AND(Шахм!P6,"AAAAAHO788k=")</f>
        <v>#VALUE!</v>
      </c>
      <c r="GU1" t="e">
        <f>AND(Шахм!Q6,"AAAAAHO788o=")</f>
        <v>#VALUE!</v>
      </c>
      <c r="GV1" t="e">
        <f>AND(Шахм!R6,"AAAAAHO788s=")</f>
        <v>#VALUE!</v>
      </c>
      <c r="GW1" t="e">
        <f>AND(Шахм!S6,"AAAAAHO788w=")</f>
        <v>#VALUE!</v>
      </c>
      <c r="GX1" t="e">
        <f>AND(Шахм!T6,"AAAAAHO7880=")</f>
        <v>#VALUE!</v>
      </c>
      <c r="GY1" t="e">
        <f>AND(Шахм!U6,"AAAAAHO7884=")</f>
        <v>#VALUE!</v>
      </c>
      <c r="GZ1" t="e">
        <f>AND(Шахм!V6,"AAAAAHO7888=")</f>
        <v>#VALUE!</v>
      </c>
      <c r="HA1" t="e">
        <f>AND(Шахм!W6,"AAAAAHO789A=")</f>
        <v>#VALUE!</v>
      </c>
      <c r="HB1" t="e">
        <f>AND(Шахм!X6,"AAAAAHO789E=")</f>
        <v>#VALUE!</v>
      </c>
      <c r="HC1" t="e">
        <f>AND(Шахм!Y6,"AAAAAHO789I=")</f>
        <v>#VALUE!</v>
      </c>
      <c r="HD1" t="e">
        <f>AND(Шахм!Z6,"AAAAAHO789M=")</f>
        <v>#VALUE!</v>
      </c>
      <c r="HE1" t="e">
        <f>AND(Шахм!AA6,"AAAAAHO789Q=")</f>
        <v>#VALUE!</v>
      </c>
      <c r="HF1" t="e">
        <f>AND(Шахм!AB6,"AAAAAHO789U=")</f>
        <v>#VALUE!</v>
      </c>
      <c r="HG1" t="e">
        <f>AND(Шахм!AC6,"AAAAAHO789Y=")</f>
        <v>#VALUE!</v>
      </c>
      <c r="HH1" t="e">
        <f>AND(Шахм!AD6,"AAAAAHO789c=")</f>
        <v>#VALUE!</v>
      </c>
      <c r="HI1" t="e">
        <f>AND(Шахм!AE6,"AAAAAHO789g=")</f>
        <v>#VALUE!</v>
      </c>
      <c r="HJ1" t="e">
        <f>AND(Шахм!AF6,"AAAAAHO789k=")</f>
        <v>#VALUE!</v>
      </c>
      <c r="HK1" t="e">
        <f>AND(Шахм!AG6,"AAAAAHO789o=")</f>
        <v>#VALUE!</v>
      </c>
      <c r="HL1" t="e">
        <f>AND(Шахм!AH6,"AAAAAHO789s=")</f>
        <v>#VALUE!</v>
      </c>
      <c r="HM1" t="e">
        <f>AND(Шахм!AI6,"AAAAAHO789w=")</f>
        <v>#VALUE!</v>
      </c>
      <c r="HN1" t="e">
        <f>AND(Шахм!AJ6,"AAAAAHO7890=")</f>
        <v>#VALUE!</v>
      </c>
      <c r="HO1">
        <f>IF(Шахм!7:7,"AAAAAHO7894=",0)</f>
        <v>0</v>
      </c>
      <c r="HP1" t="e">
        <f>AND(Шахм!A7,"AAAAAHO7898=")</f>
        <v>#VALUE!</v>
      </c>
      <c r="HQ1" t="e">
        <f>AND(Шахм!B7,"AAAAAHO78+A=")</f>
        <v>#VALUE!</v>
      </c>
      <c r="HR1" t="e">
        <f>AND(Шахм!C7,"AAAAAHO78+E=")</f>
        <v>#VALUE!</v>
      </c>
      <c r="HS1" t="e">
        <f>AND(Шахм!D7,"AAAAAHO78+I=")</f>
        <v>#VALUE!</v>
      </c>
      <c r="HT1" t="e">
        <f>AND(Шахм!E7,"AAAAAHO78+M=")</f>
        <v>#VALUE!</v>
      </c>
      <c r="HU1" t="e">
        <f>AND(Шахм!F7,"AAAAAHO78+Q=")</f>
        <v>#VALUE!</v>
      </c>
      <c r="HV1" t="e">
        <f>AND(Шахм!G7,"AAAAAHO78+U=")</f>
        <v>#VALUE!</v>
      </c>
      <c r="HW1" t="e">
        <f>AND(Шахм!H7,"AAAAAHO78+Y=")</f>
        <v>#VALUE!</v>
      </c>
      <c r="HX1" t="e">
        <f>AND(Шахм!I7,"AAAAAHO78+c=")</f>
        <v>#VALUE!</v>
      </c>
      <c r="HY1" t="e">
        <f>AND(Шахм!J7,"AAAAAHO78+g=")</f>
        <v>#VALUE!</v>
      </c>
      <c r="HZ1" t="e">
        <f>AND(Шахм!K7,"AAAAAHO78+k=")</f>
        <v>#VALUE!</v>
      </c>
      <c r="IA1" t="e">
        <f>AND(Шахм!L7,"AAAAAHO78+o=")</f>
        <v>#VALUE!</v>
      </c>
      <c r="IB1" t="e">
        <f>AND(Шахм!M7,"AAAAAHO78+s=")</f>
        <v>#VALUE!</v>
      </c>
      <c r="IC1" t="e">
        <f>AND(Шахм!N7,"AAAAAHO78+w=")</f>
        <v>#VALUE!</v>
      </c>
      <c r="ID1" t="e">
        <f>AND(Шахм!O7,"AAAAAHO78+0=")</f>
        <v>#VALUE!</v>
      </c>
      <c r="IE1" t="e">
        <f>AND(Шахм!P7,"AAAAAHO78+4=")</f>
        <v>#VALUE!</v>
      </c>
      <c r="IF1" t="e">
        <f>AND(Шахм!Q7,"AAAAAHO78+8=")</f>
        <v>#VALUE!</v>
      </c>
      <c r="IG1" t="e">
        <f>AND(Шахм!R7,"AAAAAHO78/A=")</f>
        <v>#VALUE!</v>
      </c>
      <c r="IH1" t="e">
        <f>AND(Шахм!S7,"AAAAAHO78/E=")</f>
        <v>#VALUE!</v>
      </c>
      <c r="II1" t="e">
        <f>AND(Шахм!T7,"AAAAAHO78/I=")</f>
        <v>#VALUE!</v>
      </c>
      <c r="IJ1" t="e">
        <f>AND(Шахм!U7,"AAAAAHO78/M=")</f>
        <v>#VALUE!</v>
      </c>
      <c r="IK1" t="e">
        <f>AND(Шахм!V7,"AAAAAHO78/Q=")</f>
        <v>#VALUE!</v>
      </c>
      <c r="IL1" t="e">
        <f>AND(Шахм!W7,"AAAAAHO78/U=")</f>
        <v>#VALUE!</v>
      </c>
      <c r="IM1" t="e">
        <f>AND(Шахм!X7,"AAAAAHO78/Y=")</f>
        <v>#VALUE!</v>
      </c>
      <c r="IN1" t="e">
        <f>AND(Шахм!Y7,"AAAAAHO78/c=")</f>
        <v>#VALUE!</v>
      </c>
      <c r="IO1" t="e">
        <f>AND(Шахм!Z7,"AAAAAHO78/g=")</f>
        <v>#VALUE!</v>
      </c>
      <c r="IP1" t="e">
        <f>AND(Шахм!AA7,"AAAAAHO78/k=")</f>
        <v>#VALUE!</v>
      </c>
      <c r="IQ1" t="e">
        <f>AND(Шахм!AB7,"AAAAAHO78/o=")</f>
        <v>#VALUE!</v>
      </c>
      <c r="IR1" t="e">
        <f>AND(Шахм!AC7,"AAAAAHO78/s=")</f>
        <v>#VALUE!</v>
      </c>
      <c r="IS1" t="e">
        <f>AND(Шахм!AD7,"AAAAAHO78/w=")</f>
        <v>#VALUE!</v>
      </c>
      <c r="IT1" t="e">
        <f>AND(Шахм!AE7,"AAAAAHO78/0=")</f>
        <v>#VALUE!</v>
      </c>
      <c r="IU1" t="e">
        <f>AND(Шахм!AF7,"AAAAAHO78/4=")</f>
        <v>#VALUE!</v>
      </c>
      <c r="IV1" t="e">
        <f>AND(Шахм!AG7,"AAAAAHO78/8=")</f>
        <v>#VALUE!</v>
      </c>
    </row>
    <row r="2" spans="1:256">
      <c r="A2" t="e">
        <f>AND(Шахм!AH7,"AAAAAGff/wA=")</f>
        <v>#VALUE!</v>
      </c>
      <c r="B2" t="e">
        <f>AND(Шахм!AI7,"AAAAAGff/wE=")</f>
        <v>#VALUE!</v>
      </c>
      <c r="C2" t="e">
        <f>AND(Шахм!AJ7,"AAAAAGff/wI=")</f>
        <v>#VALUE!</v>
      </c>
      <c r="D2" t="str">
        <f>IF(Шахм!8:8,"AAAAAGff/wM=",0)</f>
        <v>AAAAAGff/wM=</v>
      </c>
      <c r="E2" t="e">
        <f>AND(Шахм!A8,"AAAAAGff/wQ=")</f>
        <v>#VALUE!</v>
      </c>
      <c r="F2" t="e">
        <f>AND(Шахм!B8,"AAAAAGff/wU=")</f>
        <v>#VALUE!</v>
      </c>
      <c r="G2" t="e">
        <f>AND(Шахм!C8,"AAAAAGff/wY=")</f>
        <v>#VALUE!</v>
      </c>
      <c r="H2" t="e">
        <f>AND(Шахм!D8,"AAAAAGff/wc=")</f>
        <v>#VALUE!</v>
      </c>
      <c r="I2" t="e">
        <f>AND(Шахм!E8,"AAAAAGff/wg=")</f>
        <v>#VALUE!</v>
      </c>
      <c r="J2" t="e">
        <f>AND(Шахм!F8,"AAAAAGff/wk=")</f>
        <v>#VALUE!</v>
      </c>
      <c r="K2" t="e">
        <f>AND(Шахм!G8,"AAAAAGff/wo=")</f>
        <v>#VALUE!</v>
      </c>
      <c r="L2" t="e">
        <f>AND(Шахм!H8,"AAAAAGff/ws=")</f>
        <v>#VALUE!</v>
      </c>
      <c r="M2" t="e">
        <f>AND(Шахм!I8,"AAAAAGff/ww=")</f>
        <v>#VALUE!</v>
      </c>
      <c r="N2" t="e">
        <f>AND(Шахм!J8,"AAAAAGff/w0=")</f>
        <v>#VALUE!</v>
      </c>
      <c r="O2" t="e">
        <f>AND(Шахм!K8,"AAAAAGff/w4=")</f>
        <v>#VALUE!</v>
      </c>
      <c r="P2" t="e">
        <f>AND(Шахм!L8,"AAAAAGff/w8=")</f>
        <v>#VALUE!</v>
      </c>
      <c r="Q2" t="e">
        <f>AND(Шахм!M8,"AAAAAGff/xA=")</f>
        <v>#VALUE!</v>
      </c>
      <c r="R2" t="e">
        <f>AND(Шахм!N8,"AAAAAGff/xE=")</f>
        <v>#VALUE!</v>
      </c>
      <c r="S2" t="e">
        <f>AND(Шахм!O8,"AAAAAGff/xI=")</f>
        <v>#VALUE!</v>
      </c>
      <c r="T2" t="e">
        <f>AND(Шахм!P8,"AAAAAGff/xM=")</f>
        <v>#VALUE!</v>
      </c>
      <c r="U2" t="e">
        <f>AND(Шахм!Q8,"AAAAAGff/xQ=")</f>
        <v>#VALUE!</v>
      </c>
      <c r="V2" t="e">
        <f>AND(Шахм!R8,"AAAAAGff/xU=")</f>
        <v>#VALUE!</v>
      </c>
      <c r="W2" t="e">
        <f>AND(Шахм!S8,"AAAAAGff/xY=")</f>
        <v>#VALUE!</v>
      </c>
      <c r="X2" t="e">
        <f>AND(Шахм!T8,"AAAAAGff/xc=")</f>
        <v>#VALUE!</v>
      </c>
      <c r="Y2" t="e">
        <f>AND(Шахм!U8,"AAAAAGff/xg=")</f>
        <v>#VALUE!</v>
      </c>
      <c r="Z2" t="e">
        <f>AND(Шахм!V8,"AAAAAGff/xk=")</f>
        <v>#VALUE!</v>
      </c>
      <c r="AA2" t="e">
        <f>AND(Шахм!W8,"AAAAAGff/xo=")</f>
        <v>#VALUE!</v>
      </c>
      <c r="AB2" t="e">
        <f>AND(Шахм!X8,"AAAAAGff/xs=")</f>
        <v>#VALUE!</v>
      </c>
      <c r="AC2" t="e">
        <f>AND(Шахм!Y8,"AAAAAGff/xw=")</f>
        <v>#VALUE!</v>
      </c>
      <c r="AD2" t="e">
        <f>AND(Шахм!Z8,"AAAAAGff/x0=")</f>
        <v>#VALUE!</v>
      </c>
      <c r="AE2" t="e">
        <f>AND(Шахм!AA8,"AAAAAGff/x4=")</f>
        <v>#VALUE!</v>
      </c>
      <c r="AF2" t="e">
        <f>AND(Шахм!AB8,"AAAAAGff/x8=")</f>
        <v>#VALUE!</v>
      </c>
      <c r="AG2" t="e">
        <f>AND(Шахм!AC8,"AAAAAGff/yA=")</f>
        <v>#VALUE!</v>
      </c>
      <c r="AH2" t="e">
        <f>AND(Шахм!AD8,"AAAAAGff/yE=")</f>
        <v>#VALUE!</v>
      </c>
      <c r="AI2" t="e">
        <f>AND(Шахм!AE8,"AAAAAGff/yI=")</f>
        <v>#VALUE!</v>
      </c>
      <c r="AJ2" t="e">
        <f>AND(Шахм!AF8,"AAAAAGff/yM=")</f>
        <v>#VALUE!</v>
      </c>
      <c r="AK2" t="e">
        <f>AND(Шахм!AG8,"AAAAAGff/yQ=")</f>
        <v>#VALUE!</v>
      </c>
      <c r="AL2" t="e">
        <f>AND(Шахм!AH8,"AAAAAGff/yU=")</f>
        <v>#VALUE!</v>
      </c>
      <c r="AM2" t="e">
        <f>AND(Шахм!AI8,"AAAAAGff/yY=")</f>
        <v>#VALUE!</v>
      </c>
      <c r="AN2" t="e">
        <f>AND(Шахм!AJ8,"AAAAAGff/yc=")</f>
        <v>#VALUE!</v>
      </c>
      <c r="AO2">
        <f>IF(Шахм!9:9,"AAAAAGff/yg=",0)</f>
        <v>0</v>
      </c>
      <c r="AP2" t="e">
        <f>AND(Шахм!A9,"AAAAAGff/yk=")</f>
        <v>#VALUE!</v>
      </c>
      <c r="AQ2" t="e">
        <f>AND(Шахм!B9,"AAAAAGff/yo=")</f>
        <v>#VALUE!</v>
      </c>
      <c r="AR2" t="e">
        <f>AND(Шахм!C9,"AAAAAGff/ys=")</f>
        <v>#VALUE!</v>
      </c>
      <c r="AS2" t="e">
        <f>AND(Шахм!D9,"AAAAAGff/yw=")</f>
        <v>#VALUE!</v>
      </c>
      <c r="AT2" t="e">
        <f>AND(Шахм!E9,"AAAAAGff/y0=")</f>
        <v>#VALUE!</v>
      </c>
      <c r="AU2" t="e">
        <f>AND(Шахм!F9,"AAAAAGff/y4=")</f>
        <v>#VALUE!</v>
      </c>
      <c r="AV2" t="e">
        <f>AND(Шахм!G9,"AAAAAGff/y8=")</f>
        <v>#VALUE!</v>
      </c>
      <c r="AW2" t="e">
        <f>AND(Шахм!H9,"AAAAAGff/zA=")</f>
        <v>#VALUE!</v>
      </c>
      <c r="AX2" t="e">
        <f>AND(Шахм!I9,"AAAAAGff/zE=")</f>
        <v>#VALUE!</v>
      </c>
      <c r="AY2" t="e">
        <f>AND(Шахм!J9,"AAAAAGff/zI=")</f>
        <v>#VALUE!</v>
      </c>
      <c r="AZ2" t="e">
        <f>AND(Шахм!K9,"AAAAAGff/zM=")</f>
        <v>#VALUE!</v>
      </c>
      <c r="BA2" t="e">
        <f>AND(Шахм!L9,"AAAAAGff/zQ=")</f>
        <v>#VALUE!</v>
      </c>
      <c r="BB2" t="e">
        <f>AND(Шахм!M9,"AAAAAGff/zU=")</f>
        <v>#VALUE!</v>
      </c>
      <c r="BC2" t="e">
        <f>AND(Шахм!N9,"AAAAAGff/zY=")</f>
        <v>#VALUE!</v>
      </c>
      <c r="BD2" t="e">
        <f>AND(Шахм!O9,"AAAAAGff/zc=")</f>
        <v>#VALUE!</v>
      </c>
      <c r="BE2" t="e">
        <f>AND(Шахм!P9,"AAAAAGff/zg=")</f>
        <v>#VALUE!</v>
      </c>
      <c r="BF2" t="e">
        <f>AND(Шахм!Q9,"AAAAAGff/zk=")</f>
        <v>#VALUE!</v>
      </c>
      <c r="BG2" t="e">
        <f>AND(Шахм!R9,"AAAAAGff/zo=")</f>
        <v>#VALUE!</v>
      </c>
      <c r="BH2" t="e">
        <f>AND(Шахм!S9,"AAAAAGff/zs=")</f>
        <v>#VALUE!</v>
      </c>
      <c r="BI2" t="e">
        <f>AND(Шахм!T9,"AAAAAGff/zw=")</f>
        <v>#VALUE!</v>
      </c>
      <c r="BJ2" t="e">
        <f>AND(Шахм!U9,"AAAAAGff/z0=")</f>
        <v>#VALUE!</v>
      </c>
      <c r="BK2" t="e">
        <f>AND(Шахм!V9,"AAAAAGff/z4=")</f>
        <v>#VALUE!</v>
      </c>
      <c r="BL2" t="e">
        <f>AND(Шахм!W9,"AAAAAGff/z8=")</f>
        <v>#VALUE!</v>
      </c>
      <c r="BM2" t="e">
        <f>AND(Шахм!X9,"AAAAAGff/0A=")</f>
        <v>#VALUE!</v>
      </c>
      <c r="BN2" t="e">
        <f>AND(Шахм!Y9,"AAAAAGff/0E=")</f>
        <v>#VALUE!</v>
      </c>
      <c r="BO2" t="e">
        <f>AND(Шахм!Z9,"AAAAAGff/0I=")</f>
        <v>#VALUE!</v>
      </c>
      <c r="BP2" t="e">
        <f>AND(Шахм!AA9,"AAAAAGff/0M=")</f>
        <v>#VALUE!</v>
      </c>
      <c r="BQ2" t="e">
        <f>AND(Шахм!AB9,"AAAAAGff/0Q=")</f>
        <v>#VALUE!</v>
      </c>
      <c r="BR2" t="e">
        <f>AND(Шахм!AC9,"AAAAAGff/0U=")</f>
        <v>#VALUE!</v>
      </c>
      <c r="BS2" t="e">
        <f>AND(Шахм!AD9,"AAAAAGff/0Y=")</f>
        <v>#VALUE!</v>
      </c>
      <c r="BT2" t="e">
        <f>AND(Шахм!AE9,"AAAAAGff/0c=")</f>
        <v>#VALUE!</v>
      </c>
      <c r="BU2" t="e">
        <f>AND(Шахм!AF9,"AAAAAGff/0g=")</f>
        <v>#VALUE!</v>
      </c>
      <c r="BV2" t="e">
        <f>AND(Шахм!AG9,"AAAAAGff/0k=")</f>
        <v>#VALUE!</v>
      </c>
      <c r="BW2" t="e">
        <f>AND(Шахм!AH9,"AAAAAGff/0o=")</f>
        <v>#VALUE!</v>
      </c>
      <c r="BX2" t="e">
        <f>AND(Шахм!AI9,"AAAAAGff/0s=")</f>
        <v>#VALUE!</v>
      </c>
      <c r="BY2" t="e">
        <f>AND(Шахм!AJ9,"AAAAAGff/0w=")</f>
        <v>#VALUE!</v>
      </c>
      <c r="BZ2">
        <f>IF(Шахм!10:10,"AAAAAGff/00=",0)</f>
        <v>0</v>
      </c>
      <c r="CA2" t="e">
        <f>AND(Шахм!A10,"AAAAAGff/04=")</f>
        <v>#VALUE!</v>
      </c>
      <c r="CB2" t="e">
        <f>AND(Шахм!B10,"AAAAAGff/08=")</f>
        <v>#VALUE!</v>
      </c>
      <c r="CC2" t="e">
        <f>AND(Шахм!C10,"AAAAAGff/1A=")</f>
        <v>#VALUE!</v>
      </c>
      <c r="CD2" t="e">
        <f>AND(Шахм!D10,"AAAAAGff/1E=")</f>
        <v>#VALUE!</v>
      </c>
      <c r="CE2" t="e">
        <f>AND(Шахм!E10,"AAAAAGff/1I=")</f>
        <v>#VALUE!</v>
      </c>
      <c r="CF2" t="e">
        <f>AND(Шахм!F10,"AAAAAGff/1M=")</f>
        <v>#VALUE!</v>
      </c>
      <c r="CG2" t="e">
        <f>AND(Шахм!G10,"AAAAAGff/1Q=")</f>
        <v>#VALUE!</v>
      </c>
      <c r="CH2" t="e">
        <f>AND(Шахм!H10,"AAAAAGff/1U=")</f>
        <v>#VALUE!</v>
      </c>
      <c r="CI2" t="e">
        <f>AND(Шахм!I10,"AAAAAGff/1Y=")</f>
        <v>#VALUE!</v>
      </c>
      <c r="CJ2" t="e">
        <f>AND(Шахм!J10,"AAAAAGff/1c=")</f>
        <v>#VALUE!</v>
      </c>
      <c r="CK2" t="e">
        <f>AND(Шахм!K10,"AAAAAGff/1g=")</f>
        <v>#VALUE!</v>
      </c>
      <c r="CL2" t="e">
        <f>AND(Шахм!L10,"AAAAAGff/1k=")</f>
        <v>#VALUE!</v>
      </c>
      <c r="CM2" t="e">
        <f>AND(Шахм!M10,"AAAAAGff/1o=")</f>
        <v>#VALUE!</v>
      </c>
      <c r="CN2" t="e">
        <f>AND(Шахм!N10,"AAAAAGff/1s=")</f>
        <v>#VALUE!</v>
      </c>
      <c r="CO2" t="e">
        <f>AND(Шахм!O10,"AAAAAGff/1w=")</f>
        <v>#VALUE!</v>
      </c>
      <c r="CP2" t="e">
        <f>AND(Шахм!P10,"AAAAAGff/10=")</f>
        <v>#VALUE!</v>
      </c>
      <c r="CQ2" t="e">
        <f>AND(Шахм!Q10,"AAAAAGff/14=")</f>
        <v>#VALUE!</v>
      </c>
      <c r="CR2" t="e">
        <f>AND(Шахм!R10,"AAAAAGff/18=")</f>
        <v>#VALUE!</v>
      </c>
      <c r="CS2" t="e">
        <f>AND(Шахм!S10,"AAAAAGff/2A=")</f>
        <v>#VALUE!</v>
      </c>
      <c r="CT2" t="e">
        <f>AND(Шахм!T10,"AAAAAGff/2E=")</f>
        <v>#VALUE!</v>
      </c>
      <c r="CU2" t="e">
        <f>AND(Шахм!U10,"AAAAAGff/2I=")</f>
        <v>#VALUE!</v>
      </c>
      <c r="CV2" t="e">
        <f>AND(Шахм!V10,"AAAAAGff/2M=")</f>
        <v>#VALUE!</v>
      </c>
      <c r="CW2" t="e">
        <f>AND(Шахм!W10,"AAAAAGff/2Q=")</f>
        <v>#VALUE!</v>
      </c>
      <c r="CX2" t="e">
        <f>AND(Шахм!X10,"AAAAAGff/2U=")</f>
        <v>#VALUE!</v>
      </c>
      <c r="CY2" t="e">
        <f>AND(Шахм!Y10,"AAAAAGff/2Y=")</f>
        <v>#VALUE!</v>
      </c>
      <c r="CZ2" t="e">
        <f>AND(Шахм!Z10,"AAAAAGff/2c=")</f>
        <v>#VALUE!</v>
      </c>
      <c r="DA2" t="e">
        <f>AND(Шахм!AA10,"AAAAAGff/2g=")</f>
        <v>#VALUE!</v>
      </c>
      <c r="DB2" t="e">
        <f>AND(Шахм!AB10,"AAAAAGff/2k=")</f>
        <v>#VALUE!</v>
      </c>
      <c r="DC2" t="e">
        <f>AND(Шахм!AC10,"AAAAAGff/2o=")</f>
        <v>#VALUE!</v>
      </c>
      <c r="DD2" t="e">
        <f>AND(Шахм!AD10,"AAAAAGff/2s=")</f>
        <v>#VALUE!</v>
      </c>
      <c r="DE2" t="e">
        <f>AND(Шахм!AE10,"AAAAAGff/2w=")</f>
        <v>#VALUE!</v>
      </c>
      <c r="DF2" t="e">
        <f>AND(Шахм!AF10,"AAAAAGff/20=")</f>
        <v>#VALUE!</v>
      </c>
      <c r="DG2" t="e">
        <f>AND(Шахм!AG10,"AAAAAGff/24=")</f>
        <v>#VALUE!</v>
      </c>
      <c r="DH2" t="e">
        <f>AND(Шахм!AH10,"AAAAAGff/28=")</f>
        <v>#VALUE!</v>
      </c>
      <c r="DI2" t="e">
        <f>AND(Шахм!AI10,"AAAAAGff/3A=")</f>
        <v>#VALUE!</v>
      </c>
      <c r="DJ2" t="e">
        <f>AND(Шахм!AJ10,"AAAAAGff/3E=")</f>
        <v>#VALUE!</v>
      </c>
      <c r="DK2">
        <f>IF(Шахм!11:11,"AAAAAGff/3I=",0)</f>
        <v>0</v>
      </c>
      <c r="DL2" t="e">
        <f>AND(Шахм!A11,"AAAAAGff/3M=")</f>
        <v>#VALUE!</v>
      </c>
      <c r="DM2" t="e">
        <f>AND(Шахм!B11,"AAAAAGff/3Q=")</f>
        <v>#VALUE!</v>
      </c>
      <c r="DN2" t="e">
        <f>AND(Шахм!C11,"AAAAAGff/3U=")</f>
        <v>#VALUE!</v>
      </c>
      <c r="DO2" t="e">
        <f>AND(Шахм!D11,"AAAAAGff/3Y=")</f>
        <v>#VALUE!</v>
      </c>
      <c r="DP2" t="e">
        <f>AND(Шахм!E11,"AAAAAGff/3c=")</f>
        <v>#VALUE!</v>
      </c>
      <c r="DQ2" t="e">
        <f>AND(Шахм!F11,"AAAAAGff/3g=")</f>
        <v>#VALUE!</v>
      </c>
      <c r="DR2" t="e">
        <f>AND(Шахм!G11,"AAAAAGff/3k=")</f>
        <v>#VALUE!</v>
      </c>
      <c r="DS2" t="e">
        <f>AND(Шахм!H11,"AAAAAGff/3o=")</f>
        <v>#VALUE!</v>
      </c>
      <c r="DT2" t="e">
        <f>AND(Шахм!I11,"AAAAAGff/3s=")</f>
        <v>#VALUE!</v>
      </c>
      <c r="DU2" t="e">
        <f>AND(Шахм!J11,"AAAAAGff/3w=")</f>
        <v>#VALUE!</v>
      </c>
      <c r="DV2" t="e">
        <f>AND(Шахм!K11,"AAAAAGff/30=")</f>
        <v>#VALUE!</v>
      </c>
      <c r="DW2" t="e">
        <f>AND(Шахм!L11,"AAAAAGff/34=")</f>
        <v>#VALUE!</v>
      </c>
      <c r="DX2" t="e">
        <f>AND(Шахм!M11,"AAAAAGff/38=")</f>
        <v>#VALUE!</v>
      </c>
      <c r="DY2" t="e">
        <f>AND(Шахм!N11,"AAAAAGff/4A=")</f>
        <v>#VALUE!</v>
      </c>
      <c r="DZ2" t="e">
        <f>AND(Шахм!O11,"AAAAAGff/4E=")</f>
        <v>#VALUE!</v>
      </c>
      <c r="EA2" t="e">
        <f>AND(Шахм!P11,"AAAAAGff/4I=")</f>
        <v>#VALUE!</v>
      </c>
      <c r="EB2" t="e">
        <f>AND(Шахм!Q11,"AAAAAGff/4M=")</f>
        <v>#VALUE!</v>
      </c>
      <c r="EC2" t="e">
        <f>AND(Шахм!R11,"AAAAAGff/4Q=")</f>
        <v>#VALUE!</v>
      </c>
      <c r="ED2" t="e">
        <f>AND(Шахм!S11,"AAAAAGff/4U=")</f>
        <v>#VALUE!</v>
      </c>
      <c r="EE2" t="e">
        <f>AND(Шахм!T11,"AAAAAGff/4Y=")</f>
        <v>#VALUE!</v>
      </c>
      <c r="EF2" t="e">
        <f>AND(Шахм!U11,"AAAAAGff/4c=")</f>
        <v>#VALUE!</v>
      </c>
      <c r="EG2" t="e">
        <f>AND(Шахм!V11,"AAAAAGff/4g=")</f>
        <v>#VALUE!</v>
      </c>
      <c r="EH2" t="e">
        <f>AND(Шахм!W11,"AAAAAGff/4k=")</f>
        <v>#VALUE!</v>
      </c>
      <c r="EI2" t="e">
        <f>AND(Шахм!X11,"AAAAAGff/4o=")</f>
        <v>#VALUE!</v>
      </c>
      <c r="EJ2" t="e">
        <f>AND(Шахм!Y11,"AAAAAGff/4s=")</f>
        <v>#VALUE!</v>
      </c>
      <c r="EK2" t="e">
        <f>AND(Шахм!Z11,"AAAAAGff/4w=")</f>
        <v>#VALUE!</v>
      </c>
      <c r="EL2" t="e">
        <f>AND(Шахм!AA11,"AAAAAGff/40=")</f>
        <v>#VALUE!</v>
      </c>
      <c r="EM2" t="e">
        <f>AND(Шахм!AB11,"AAAAAGff/44=")</f>
        <v>#VALUE!</v>
      </c>
      <c r="EN2" t="e">
        <f>AND(Шахм!AC11,"AAAAAGff/48=")</f>
        <v>#VALUE!</v>
      </c>
      <c r="EO2" t="e">
        <f>AND(Шахм!AD11,"AAAAAGff/5A=")</f>
        <v>#VALUE!</v>
      </c>
      <c r="EP2" t="e">
        <f>AND(Шахм!AE11,"AAAAAGff/5E=")</f>
        <v>#VALUE!</v>
      </c>
      <c r="EQ2" t="e">
        <f>AND(Шахм!AF11,"AAAAAGff/5I=")</f>
        <v>#VALUE!</v>
      </c>
      <c r="ER2" t="e">
        <f>AND(Шахм!AG11,"AAAAAGff/5M=")</f>
        <v>#VALUE!</v>
      </c>
      <c r="ES2" t="e">
        <f>AND(Шахм!AH11,"AAAAAGff/5Q=")</f>
        <v>#VALUE!</v>
      </c>
      <c r="ET2" t="e">
        <f>AND(Шахм!AI11,"AAAAAGff/5U=")</f>
        <v>#VALUE!</v>
      </c>
      <c r="EU2" t="e">
        <f>AND(Шахм!AJ11,"AAAAAGff/5Y=")</f>
        <v>#VALUE!</v>
      </c>
      <c r="EV2">
        <f>IF(Шахм!12:12,"AAAAAGff/5c=",0)</f>
        <v>0</v>
      </c>
      <c r="EW2" t="e">
        <f>AND(Шахм!A12,"AAAAAGff/5g=")</f>
        <v>#VALUE!</v>
      </c>
      <c r="EX2" t="e">
        <f>AND(Шахм!B12,"AAAAAGff/5k=")</f>
        <v>#VALUE!</v>
      </c>
      <c r="EY2" t="e">
        <f>AND(Шахм!C12,"AAAAAGff/5o=")</f>
        <v>#VALUE!</v>
      </c>
      <c r="EZ2" t="e">
        <f>AND(Шахм!D12,"AAAAAGff/5s=")</f>
        <v>#VALUE!</v>
      </c>
      <c r="FA2" t="e">
        <f>AND(Шахм!E12,"AAAAAGff/5w=")</f>
        <v>#VALUE!</v>
      </c>
      <c r="FB2" t="e">
        <f>AND(Шахм!F12,"AAAAAGff/50=")</f>
        <v>#VALUE!</v>
      </c>
      <c r="FC2" t="e">
        <f>AND(Шахм!G12,"AAAAAGff/54=")</f>
        <v>#VALUE!</v>
      </c>
      <c r="FD2" t="e">
        <f>AND(Шахм!H12,"AAAAAGff/58=")</f>
        <v>#VALUE!</v>
      </c>
      <c r="FE2" t="e">
        <f>AND(Шахм!I12,"AAAAAGff/6A=")</f>
        <v>#VALUE!</v>
      </c>
      <c r="FF2" t="e">
        <f>AND(Шахм!J12,"AAAAAGff/6E=")</f>
        <v>#VALUE!</v>
      </c>
      <c r="FG2" t="e">
        <f>AND(Шахм!K12,"AAAAAGff/6I=")</f>
        <v>#VALUE!</v>
      </c>
      <c r="FH2" t="e">
        <f>AND(Шахм!L12,"AAAAAGff/6M=")</f>
        <v>#VALUE!</v>
      </c>
      <c r="FI2" t="e">
        <f>AND(Шахм!M12,"AAAAAGff/6Q=")</f>
        <v>#VALUE!</v>
      </c>
      <c r="FJ2" t="e">
        <f>AND(Шахм!N12,"AAAAAGff/6U=")</f>
        <v>#VALUE!</v>
      </c>
      <c r="FK2" t="e">
        <f>AND(Шахм!O12,"AAAAAGff/6Y=")</f>
        <v>#VALUE!</v>
      </c>
      <c r="FL2" t="e">
        <f>AND(Шахм!P12,"AAAAAGff/6c=")</f>
        <v>#VALUE!</v>
      </c>
      <c r="FM2" t="e">
        <f>AND(Шахм!Q12,"AAAAAGff/6g=")</f>
        <v>#VALUE!</v>
      </c>
      <c r="FN2" t="e">
        <f>AND(Шахм!R12,"AAAAAGff/6k=")</f>
        <v>#VALUE!</v>
      </c>
      <c r="FO2" t="e">
        <f>AND(Шахм!S12,"AAAAAGff/6o=")</f>
        <v>#VALUE!</v>
      </c>
      <c r="FP2" t="e">
        <f>AND(Шахм!T12,"AAAAAGff/6s=")</f>
        <v>#VALUE!</v>
      </c>
      <c r="FQ2" t="e">
        <f>AND(Шахм!U12,"AAAAAGff/6w=")</f>
        <v>#VALUE!</v>
      </c>
      <c r="FR2" t="e">
        <f>AND(Шахм!V12,"AAAAAGff/60=")</f>
        <v>#VALUE!</v>
      </c>
      <c r="FS2" t="e">
        <f>AND(Шахм!W12,"AAAAAGff/64=")</f>
        <v>#VALUE!</v>
      </c>
      <c r="FT2" t="e">
        <f>AND(Шахм!X12,"AAAAAGff/68=")</f>
        <v>#VALUE!</v>
      </c>
      <c r="FU2" t="e">
        <f>AND(Шахм!Y12,"AAAAAGff/7A=")</f>
        <v>#VALUE!</v>
      </c>
      <c r="FV2" t="e">
        <f>AND(Шахм!Z12,"AAAAAGff/7E=")</f>
        <v>#VALUE!</v>
      </c>
      <c r="FW2" t="e">
        <f>AND(Шахм!AA12,"AAAAAGff/7I=")</f>
        <v>#VALUE!</v>
      </c>
      <c r="FX2" t="e">
        <f>AND(Шахм!AB12,"AAAAAGff/7M=")</f>
        <v>#VALUE!</v>
      </c>
      <c r="FY2" t="e">
        <f>AND(Шахм!AC12,"AAAAAGff/7Q=")</f>
        <v>#VALUE!</v>
      </c>
      <c r="FZ2" t="e">
        <f>AND(Шахм!AD12,"AAAAAGff/7U=")</f>
        <v>#VALUE!</v>
      </c>
      <c r="GA2" t="e">
        <f>AND(Шахм!AE12,"AAAAAGff/7Y=")</f>
        <v>#VALUE!</v>
      </c>
      <c r="GB2" t="e">
        <f>AND(Шахм!AF12,"AAAAAGff/7c=")</f>
        <v>#VALUE!</v>
      </c>
      <c r="GC2" t="e">
        <f>AND(Шахм!AG12,"AAAAAGff/7g=")</f>
        <v>#VALUE!</v>
      </c>
      <c r="GD2" t="e">
        <f>AND(Шахм!AH12,"AAAAAGff/7k=")</f>
        <v>#VALUE!</v>
      </c>
      <c r="GE2" t="e">
        <f>AND(Шахм!AI12,"AAAAAGff/7o=")</f>
        <v>#VALUE!</v>
      </c>
      <c r="GF2" t="e">
        <f>AND(Шахм!AJ12,"AAAAAGff/7s=")</f>
        <v>#VALUE!</v>
      </c>
      <c r="GG2">
        <f>IF(Шахм!13:13,"AAAAAGff/7w=",0)</f>
        <v>0</v>
      </c>
      <c r="GH2" t="e">
        <f>AND(Шахм!A13,"AAAAAGff/70=")</f>
        <v>#VALUE!</v>
      </c>
      <c r="GI2" t="e">
        <f>AND(Шахм!B13,"AAAAAGff/74=")</f>
        <v>#VALUE!</v>
      </c>
      <c r="GJ2" t="e">
        <f>AND(Шахм!C13,"AAAAAGff/78=")</f>
        <v>#VALUE!</v>
      </c>
      <c r="GK2" t="e">
        <f>AND(Шахм!D13,"AAAAAGff/8A=")</f>
        <v>#VALUE!</v>
      </c>
      <c r="GL2" t="e">
        <f>AND(Шахм!E13,"AAAAAGff/8E=")</f>
        <v>#VALUE!</v>
      </c>
      <c r="GM2" t="e">
        <f>AND(Шахм!F13,"AAAAAGff/8I=")</f>
        <v>#VALUE!</v>
      </c>
      <c r="GN2" t="e">
        <f>AND(Шахм!G13,"AAAAAGff/8M=")</f>
        <v>#VALUE!</v>
      </c>
      <c r="GO2" t="e">
        <f>AND(Шахм!H13,"AAAAAGff/8Q=")</f>
        <v>#VALUE!</v>
      </c>
      <c r="GP2" t="e">
        <f>AND(Шахм!I13,"AAAAAGff/8U=")</f>
        <v>#VALUE!</v>
      </c>
      <c r="GQ2" t="e">
        <f>AND(Шахм!J13,"AAAAAGff/8Y=")</f>
        <v>#VALUE!</v>
      </c>
      <c r="GR2" t="e">
        <f>AND(Шахм!K13,"AAAAAGff/8c=")</f>
        <v>#VALUE!</v>
      </c>
      <c r="GS2" t="e">
        <f>AND(Шахм!L13,"AAAAAGff/8g=")</f>
        <v>#VALUE!</v>
      </c>
      <c r="GT2" t="e">
        <f>AND(Шахм!M13,"AAAAAGff/8k=")</f>
        <v>#VALUE!</v>
      </c>
      <c r="GU2" t="e">
        <f>AND(Шахм!N13,"AAAAAGff/8o=")</f>
        <v>#VALUE!</v>
      </c>
      <c r="GV2" t="e">
        <f>AND(Шахм!O13,"AAAAAGff/8s=")</f>
        <v>#VALUE!</v>
      </c>
      <c r="GW2" t="e">
        <f>AND(Шахм!P13,"AAAAAGff/8w=")</f>
        <v>#VALUE!</v>
      </c>
      <c r="GX2" t="e">
        <f>AND(Шахм!Q13,"AAAAAGff/80=")</f>
        <v>#VALUE!</v>
      </c>
      <c r="GY2" t="e">
        <f>AND(Шахм!R13,"AAAAAGff/84=")</f>
        <v>#VALUE!</v>
      </c>
      <c r="GZ2" t="e">
        <f>AND(Шахм!S13,"AAAAAGff/88=")</f>
        <v>#VALUE!</v>
      </c>
      <c r="HA2" t="e">
        <f>AND(Шахм!T13,"AAAAAGff/9A=")</f>
        <v>#VALUE!</v>
      </c>
      <c r="HB2" t="e">
        <f>AND(Шахм!U13,"AAAAAGff/9E=")</f>
        <v>#VALUE!</v>
      </c>
      <c r="HC2" t="e">
        <f>AND(Шахм!V13,"AAAAAGff/9I=")</f>
        <v>#VALUE!</v>
      </c>
      <c r="HD2" t="e">
        <f>AND(Шахм!W13,"AAAAAGff/9M=")</f>
        <v>#VALUE!</v>
      </c>
      <c r="HE2" t="e">
        <f>AND(Шахм!X13,"AAAAAGff/9Q=")</f>
        <v>#VALUE!</v>
      </c>
      <c r="HF2" t="e">
        <f>AND(Шахм!Y13,"AAAAAGff/9U=")</f>
        <v>#VALUE!</v>
      </c>
      <c r="HG2" t="e">
        <f>AND(Шахм!Z13,"AAAAAGff/9Y=")</f>
        <v>#VALUE!</v>
      </c>
      <c r="HH2" t="e">
        <f>AND(Шахм!AA13,"AAAAAGff/9c=")</f>
        <v>#VALUE!</v>
      </c>
      <c r="HI2" t="e">
        <f>AND(Шахм!AB13,"AAAAAGff/9g=")</f>
        <v>#VALUE!</v>
      </c>
      <c r="HJ2" t="e">
        <f>AND(Шахм!AC13,"AAAAAGff/9k=")</f>
        <v>#VALUE!</v>
      </c>
      <c r="HK2" t="e">
        <f>AND(Шахм!AD13,"AAAAAGff/9o=")</f>
        <v>#VALUE!</v>
      </c>
      <c r="HL2" t="e">
        <f>AND(Шахм!AE13,"AAAAAGff/9s=")</f>
        <v>#VALUE!</v>
      </c>
      <c r="HM2" t="e">
        <f>AND(Шахм!AF13,"AAAAAGff/9w=")</f>
        <v>#VALUE!</v>
      </c>
      <c r="HN2" t="e">
        <f>AND(Шахм!AG13,"AAAAAGff/90=")</f>
        <v>#VALUE!</v>
      </c>
      <c r="HO2" t="e">
        <f>AND(Шахм!AH13,"AAAAAGff/94=")</f>
        <v>#VALUE!</v>
      </c>
      <c r="HP2" t="e">
        <f>AND(Шахм!AI13,"AAAAAGff/98=")</f>
        <v>#VALUE!</v>
      </c>
      <c r="HQ2" t="e">
        <f>AND(Шахм!AJ13,"AAAAAGff/+A=")</f>
        <v>#VALUE!</v>
      </c>
      <c r="HR2">
        <f>IF(Шахм!14:14,"AAAAAGff/+E=",0)</f>
        <v>0</v>
      </c>
      <c r="HS2" t="e">
        <f>AND(Шахм!A14,"AAAAAGff/+I=")</f>
        <v>#VALUE!</v>
      </c>
      <c r="HT2" t="e">
        <f>AND(Шахм!B14,"AAAAAGff/+M=")</f>
        <v>#VALUE!</v>
      </c>
      <c r="HU2" t="e">
        <f>AND(Шахм!C14,"AAAAAGff/+Q=")</f>
        <v>#VALUE!</v>
      </c>
      <c r="HV2" t="e">
        <f>AND(Шахм!D14,"AAAAAGff/+U=")</f>
        <v>#VALUE!</v>
      </c>
      <c r="HW2" t="e">
        <f>AND(Шахм!E14,"AAAAAGff/+Y=")</f>
        <v>#VALUE!</v>
      </c>
      <c r="HX2" t="e">
        <f>AND(Шахм!F14,"AAAAAGff/+c=")</f>
        <v>#VALUE!</v>
      </c>
      <c r="HY2" t="e">
        <f>AND(Шахм!G14,"AAAAAGff/+g=")</f>
        <v>#VALUE!</v>
      </c>
      <c r="HZ2" t="e">
        <f>AND(Шахм!H14,"AAAAAGff/+k=")</f>
        <v>#VALUE!</v>
      </c>
      <c r="IA2" t="e">
        <f>AND(Шахм!I14,"AAAAAGff/+o=")</f>
        <v>#VALUE!</v>
      </c>
      <c r="IB2" t="e">
        <f>AND(Шахм!J14,"AAAAAGff/+s=")</f>
        <v>#VALUE!</v>
      </c>
      <c r="IC2" t="e">
        <f>AND(Шахм!K14,"AAAAAGff/+w=")</f>
        <v>#VALUE!</v>
      </c>
      <c r="ID2" t="e">
        <f>AND(Шахм!L14,"AAAAAGff/+0=")</f>
        <v>#VALUE!</v>
      </c>
      <c r="IE2" t="e">
        <f>AND(Шахм!M14,"AAAAAGff/+4=")</f>
        <v>#VALUE!</v>
      </c>
      <c r="IF2" t="e">
        <f>AND(Шахм!N14,"AAAAAGff/+8=")</f>
        <v>#VALUE!</v>
      </c>
      <c r="IG2" t="e">
        <f>AND(Шахм!O14,"AAAAAGff//A=")</f>
        <v>#VALUE!</v>
      </c>
      <c r="IH2" t="e">
        <f>AND(Шахм!P14,"AAAAAGff//E=")</f>
        <v>#VALUE!</v>
      </c>
      <c r="II2" t="e">
        <f>AND(Шахм!Q14,"AAAAAGff//I=")</f>
        <v>#VALUE!</v>
      </c>
      <c r="IJ2" t="e">
        <f>AND(Шахм!R14,"AAAAAGff//M=")</f>
        <v>#VALUE!</v>
      </c>
      <c r="IK2" t="e">
        <f>AND(Шахм!S14,"AAAAAGff//Q=")</f>
        <v>#VALUE!</v>
      </c>
      <c r="IL2" t="e">
        <f>AND(Шахм!T14,"AAAAAGff//U=")</f>
        <v>#VALUE!</v>
      </c>
      <c r="IM2" t="e">
        <f>AND(Шахм!U14,"AAAAAGff//Y=")</f>
        <v>#VALUE!</v>
      </c>
      <c r="IN2" t="e">
        <f>AND(Шахм!V14,"AAAAAGff//c=")</f>
        <v>#VALUE!</v>
      </c>
      <c r="IO2" t="e">
        <f>AND(Шахм!W14,"AAAAAGff//g=")</f>
        <v>#VALUE!</v>
      </c>
      <c r="IP2" t="e">
        <f>AND(Шахм!X14,"AAAAAGff//k=")</f>
        <v>#VALUE!</v>
      </c>
      <c r="IQ2" t="e">
        <f>AND(Шахм!Y14,"AAAAAGff//o=")</f>
        <v>#VALUE!</v>
      </c>
      <c r="IR2" t="e">
        <f>AND(Шахм!Z14,"AAAAAGff//s=")</f>
        <v>#VALUE!</v>
      </c>
      <c r="IS2" t="e">
        <f>AND(Шахм!AA14,"AAAAAGff//w=")</f>
        <v>#VALUE!</v>
      </c>
      <c r="IT2" t="e">
        <f>AND(Шахм!AB14,"AAAAAGff//0=")</f>
        <v>#VALUE!</v>
      </c>
      <c r="IU2" t="e">
        <f>AND(Шахм!AC14,"AAAAAGff//4=")</f>
        <v>#VALUE!</v>
      </c>
      <c r="IV2" t="e">
        <f>AND(Шахм!AD14,"AAAAAGff//8=")</f>
        <v>#VALUE!</v>
      </c>
    </row>
    <row r="3" spans="1:256">
      <c r="A3" t="e">
        <f>AND(Шахм!AE14,"AAAAAEvr7wA=")</f>
        <v>#VALUE!</v>
      </c>
      <c r="B3" t="e">
        <f>AND(Шахм!AF14,"AAAAAEvr7wE=")</f>
        <v>#VALUE!</v>
      </c>
      <c r="C3" t="e">
        <f>AND(Шахм!AG14,"AAAAAEvr7wI=")</f>
        <v>#VALUE!</v>
      </c>
      <c r="D3" t="e">
        <f>AND(Шахм!AH14,"AAAAAEvr7wM=")</f>
        <v>#VALUE!</v>
      </c>
      <c r="E3" t="e">
        <f>AND(Шахм!AI14,"AAAAAEvr7wQ=")</f>
        <v>#VALUE!</v>
      </c>
      <c r="F3" t="e">
        <f>AND(Шахм!AJ14,"AAAAAEvr7wU=")</f>
        <v>#VALUE!</v>
      </c>
      <c r="G3">
        <f>IF(Шахм!15:15,"AAAAAEvr7wY=",0)</f>
        <v>0</v>
      </c>
      <c r="H3" t="e">
        <f>AND(Шахм!A15,"AAAAAEvr7wc=")</f>
        <v>#VALUE!</v>
      </c>
      <c r="I3" t="e">
        <f>AND(Шахм!B15,"AAAAAEvr7wg=")</f>
        <v>#VALUE!</v>
      </c>
      <c r="J3" t="e">
        <f>AND(Шахм!C15,"AAAAAEvr7wk=")</f>
        <v>#VALUE!</v>
      </c>
      <c r="K3" t="e">
        <f>AND(Шахм!D15,"AAAAAEvr7wo=")</f>
        <v>#VALUE!</v>
      </c>
      <c r="L3" t="e">
        <f>AND(Шахм!E15,"AAAAAEvr7ws=")</f>
        <v>#VALUE!</v>
      </c>
      <c r="M3" t="e">
        <f>AND(Шахм!F15,"AAAAAEvr7ww=")</f>
        <v>#VALUE!</v>
      </c>
      <c r="N3" t="e">
        <f>AND(Шахм!G15,"AAAAAEvr7w0=")</f>
        <v>#VALUE!</v>
      </c>
      <c r="O3" t="e">
        <f>AND(Шахм!H15,"AAAAAEvr7w4=")</f>
        <v>#VALUE!</v>
      </c>
      <c r="P3" t="e">
        <f>AND(Шахм!I15,"AAAAAEvr7w8=")</f>
        <v>#VALUE!</v>
      </c>
      <c r="Q3" t="e">
        <f>AND(Шахм!J15,"AAAAAEvr7xA=")</f>
        <v>#VALUE!</v>
      </c>
      <c r="R3" t="e">
        <f>AND(Шахм!K15,"AAAAAEvr7xE=")</f>
        <v>#VALUE!</v>
      </c>
      <c r="S3" t="e">
        <f>AND(Шахм!L15,"AAAAAEvr7xI=")</f>
        <v>#VALUE!</v>
      </c>
      <c r="T3" t="e">
        <f>AND(Шахм!M15,"AAAAAEvr7xM=")</f>
        <v>#VALUE!</v>
      </c>
      <c r="U3" t="e">
        <f>AND(Шахм!N15,"AAAAAEvr7xQ=")</f>
        <v>#VALUE!</v>
      </c>
      <c r="V3" t="e">
        <f>AND(Шахм!O15,"AAAAAEvr7xU=")</f>
        <v>#VALUE!</v>
      </c>
      <c r="W3" t="e">
        <f>AND(Шахм!P15,"AAAAAEvr7xY=")</f>
        <v>#VALUE!</v>
      </c>
      <c r="X3" t="e">
        <f>AND(Шахм!Q15,"AAAAAEvr7xc=")</f>
        <v>#VALUE!</v>
      </c>
      <c r="Y3" t="e">
        <f>AND(Шахм!R15,"AAAAAEvr7xg=")</f>
        <v>#VALUE!</v>
      </c>
      <c r="Z3" t="e">
        <f>AND(Шахм!S15,"AAAAAEvr7xk=")</f>
        <v>#VALUE!</v>
      </c>
      <c r="AA3" t="e">
        <f>AND(Шахм!T15,"AAAAAEvr7xo=")</f>
        <v>#VALUE!</v>
      </c>
      <c r="AB3" t="e">
        <f>AND(Шахм!U15,"AAAAAEvr7xs=")</f>
        <v>#VALUE!</v>
      </c>
      <c r="AC3" t="e">
        <f>AND(Шахм!V15,"AAAAAEvr7xw=")</f>
        <v>#VALUE!</v>
      </c>
      <c r="AD3" t="e">
        <f>AND(Шахм!W15,"AAAAAEvr7x0=")</f>
        <v>#VALUE!</v>
      </c>
      <c r="AE3" t="e">
        <f>AND(Шахм!X15,"AAAAAEvr7x4=")</f>
        <v>#VALUE!</v>
      </c>
      <c r="AF3" t="e">
        <f>AND(Шахм!Y15,"AAAAAEvr7x8=")</f>
        <v>#VALUE!</v>
      </c>
      <c r="AG3" t="e">
        <f>AND(Шахм!Z15,"AAAAAEvr7yA=")</f>
        <v>#VALUE!</v>
      </c>
      <c r="AH3" t="e">
        <f>AND(Шахм!AA15,"AAAAAEvr7yE=")</f>
        <v>#VALUE!</v>
      </c>
      <c r="AI3" t="e">
        <f>AND(Шахм!AB15,"AAAAAEvr7yI=")</f>
        <v>#VALUE!</v>
      </c>
      <c r="AJ3" t="e">
        <f>AND(Шахм!AC15,"AAAAAEvr7yM=")</f>
        <v>#VALUE!</v>
      </c>
      <c r="AK3" t="e">
        <f>AND(Шахм!AD15,"AAAAAEvr7yQ=")</f>
        <v>#VALUE!</v>
      </c>
      <c r="AL3" t="e">
        <f>AND(Шахм!AE15,"AAAAAEvr7yU=")</f>
        <v>#VALUE!</v>
      </c>
      <c r="AM3" t="e">
        <f>AND(Шахм!AF15,"AAAAAEvr7yY=")</f>
        <v>#VALUE!</v>
      </c>
      <c r="AN3" t="e">
        <f>AND(Шахм!AG15,"AAAAAEvr7yc=")</f>
        <v>#VALUE!</v>
      </c>
      <c r="AO3" t="e">
        <f>AND(Шахм!AH15,"AAAAAEvr7yg=")</f>
        <v>#VALUE!</v>
      </c>
      <c r="AP3" t="e">
        <f>AND(Шахм!AI15,"AAAAAEvr7yk=")</f>
        <v>#VALUE!</v>
      </c>
      <c r="AQ3" t="e">
        <f>AND(Шахм!AJ15,"AAAAAEvr7yo=")</f>
        <v>#VALUE!</v>
      </c>
      <c r="AR3">
        <f>IF(Шахм!16:16,"AAAAAEvr7ys=",0)</f>
        <v>0</v>
      </c>
      <c r="AS3" t="e">
        <f>AND(Шахм!A16,"AAAAAEvr7yw=")</f>
        <v>#VALUE!</v>
      </c>
      <c r="AT3" t="e">
        <f>AND(Шахм!B16,"AAAAAEvr7y0=")</f>
        <v>#VALUE!</v>
      </c>
      <c r="AU3" t="e">
        <f>AND(Шахм!C16,"AAAAAEvr7y4=")</f>
        <v>#VALUE!</v>
      </c>
      <c r="AV3" t="e">
        <f>AND(Шахм!D16,"AAAAAEvr7y8=")</f>
        <v>#VALUE!</v>
      </c>
      <c r="AW3" t="e">
        <f>AND(Шахм!E16,"AAAAAEvr7zA=")</f>
        <v>#VALUE!</v>
      </c>
      <c r="AX3" t="e">
        <f>AND(Шахм!F16,"AAAAAEvr7zE=")</f>
        <v>#VALUE!</v>
      </c>
      <c r="AY3" t="e">
        <f>AND(Шахм!G16,"AAAAAEvr7zI=")</f>
        <v>#VALUE!</v>
      </c>
      <c r="AZ3" t="e">
        <f>AND(Шахм!H16,"AAAAAEvr7zM=")</f>
        <v>#VALUE!</v>
      </c>
      <c r="BA3" t="e">
        <f>AND(Шахм!I16,"AAAAAEvr7zQ=")</f>
        <v>#VALUE!</v>
      </c>
      <c r="BB3" t="e">
        <f>AND(Шахм!J16,"AAAAAEvr7zU=")</f>
        <v>#VALUE!</v>
      </c>
      <c r="BC3" t="e">
        <f>AND(Шахм!K16,"AAAAAEvr7zY=")</f>
        <v>#VALUE!</v>
      </c>
      <c r="BD3" t="e">
        <f>AND(Шахм!L16,"AAAAAEvr7zc=")</f>
        <v>#VALUE!</v>
      </c>
      <c r="BE3" t="e">
        <f>AND(Шахм!M16,"AAAAAEvr7zg=")</f>
        <v>#VALUE!</v>
      </c>
      <c r="BF3" t="e">
        <f>AND(Шахм!N16,"AAAAAEvr7zk=")</f>
        <v>#VALUE!</v>
      </c>
      <c r="BG3" t="e">
        <f>AND(Шахм!O16,"AAAAAEvr7zo=")</f>
        <v>#VALUE!</v>
      </c>
      <c r="BH3" t="e">
        <f>AND(Шахм!P16,"AAAAAEvr7zs=")</f>
        <v>#VALUE!</v>
      </c>
      <c r="BI3" t="e">
        <f>AND(Шахм!Q16,"AAAAAEvr7zw=")</f>
        <v>#VALUE!</v>
      </c>
      <c r="BJ3" t="e">
        <f>AND(Шахм!R16,"AAAAAEvr7z0=")</f>
        <v>#VALUE!</v>
      </c>
      <c r="BK3" t="e">
        <f>AND(Шахм!S16,"AAAAAEvr7z4=")</f>
        <v>#VALUE!</v>
      </c>
      <c r="BL3" t="e">
        <f>AND(Шахм!T16,"AAAAAEvr7z8=")</f>
        <v>#VALUE!</v>
      </c>
      <c r="BM3" t="e">
        <f>AND(Шахм!U16,"AAAAAEvr70A=")</f>
        <v>#VALUE!</v>
      </c>
      <c r="BN3" t="e">
        <f>AND(Шахм!V16,"AAAAAEvr70E=")</f>
        <v>#VALUE!</v>
      </c>
      <c r="BO3" t="e">
        <f>AND(Шахм!W16,"AAAAAEvr70I=")</f>
        <v>#VALUE!</v>
      </c>
      <c r="BP3" t="e">
        <f>AND(Шахм!X16,"AAAAAEvr70M=")</f>
        <v>#VALUE!</v>
      </c>
      <c r="BQ3" t="e">
        <f>AND(Шахм!Y16,"AAAAAEvr70Q=")</f>
        <v>#VALUE!</v>
      </c>
      <c r="BR3" t="e">
        <f>AND(Шахм!Z16,"AAAAAEvr70U=")</f>
        <v>#VALUE!</v>
      </c>
      <c r="BS3" t="e">
        <f>AND(Шахм!AA16,"AAAAAEvr70Y=")</f>
        <v>#VALUE!</v>
      </c>
      <c r="BT3" t="e">
        <f>AND(Шахм!AB16,"AAAAAEvr70c=")</f>
        <v>#VALUE!</v>
      </c>
      <c r="BU3" t="e">
        <f>AND(Шахм!AC16,"AAAAAEvr70g=")</f>
        <v>#VALUE!</v>
      </c>
      <c r="BV3" t="e">
        <f>AND(Шахм!AD16,"AAAAAEvr70k=")</f>
        <v>#VALUE!</v>
      </c>
      <c r="BW3" t="e">
        <f>AND(Шахм!AE16,"AAAAAEvr70o=")</f>
        <v>#VALUE!</v>
      </c>
      <c r="BX3" t="e">
        <f>AND(Шахм!AF16,"AAAAAEvr70s=")</f>
        <v>#VALUE!</v>
      </c>
      <c r="BY3" t="e">
        <f>AND(Шахм!AG16,"AAAAAEvr70w=")</f>
        <v>#VALUE!</v>
      </c>
      <c r="BZ3" t="e">
        <f>AND(Шахм!AH16,"AAAAAEvr700=")</f>
        <v>#VALUE!</v>
      </c>
      <c r="CA3" t="e">
        <f>AND(Шахм!AI16,"AAAAAEvr704=")</f>
        <v>#VALUE!</v>
      </c>
      <c r="CB3" t="e">
        <f>AND(Шахм!AJ16,"AAAAAEvr708=")</f>
        <v>#VALUE!</v>
      </c>
      <c r="CC3">
        <f>IF(Шахм!17:17,"AAAAAEvr71A=",0)</f>
        <v>0</v>
      </c>
      <c r="CD3" t="e">
        <f>AND(Шахм!A17,"AAAAAEvr71E=")</f>
        <v>#VALUE!</v>
      </c>
      <c r="CE3" t="e">
        <f>AND(Шахм!B17,"AAAAAEvr71I=")</f>
        <v>#VALUE!</v>
      </c>
      <c r="CF3" t="e">
        <f>AND(Шахм!C17,"AAAAAEvr71M=")</f>
        <v>#VALUE!</v>
      </c>
      <c r="CG3" t="e">
        <f>AND(Шахм!D17,"AAAAAEvr71Q=")</f>
        <v>#VALUE!</v>
      </c>
      <c r="CH3" t="e">
        <f>AND(Шахм!E17,"AAAAAEvr71U=")</f>
        <v>#VALUE!</v>
      </c>
      <c r="CI3" t="e">
        <f>AND(Шахм!F17,"AAAAAEvr71Y=")</f>
        <v>#VALUE!</v>
      </c>
      <c r="CJ3" t="e">
        <f>AND(Шахм!G17,"AAAAAEvr71c=")</f>
        <v>#VALUE!</v>
      </c>
      <c r="CK3" t="e">
        <f>AND(Шахм!H17,"AAAAAEvr71g=")</f>
        <v>#VALUE!</v>
      </c>
      <c r="CL3" t="e">
        <f>AND(Шахм!I17,"AAAAAEvr71k=")</f>
        <v>#VALUE!</v>
      </c>
      <c r="CM3" t="e">
        <f>AND(Шахм!J17,"AAAAAEvr71o=")</f>
        <v>#VALUE!</v>
      </c>
      <c r="CN3" t="e">
        <f>AND(Шахм!K17,"AAAAAEvr71s=")</f>
        <v>#VALUE!</v>
      </c>
      <c r="CO3" t="e">
        <f>AND(Шахм!L17,"AAAAAEvr71w=")</f>
        <v>#VALUE!</v>
      </c>
      <c r="CP3" t="e">
        <f>AND(Шахм!M17,"AAAAAEvr710=")</f>
        <v>#VALUE!</v>
      </c>
      <c r="CQ3" t="e">
        <f>AND(Шахм!N17,"AAAAAEvr714=")</f>
        <v>#VALUE!</v>
      </c>
      <c r="CR3" t="e">
        <f>AND(Шахм!O17,"AAAAAEvr718=")</f>
        <v>#VALUE!</v>
      </c>
      <c r="CS3" t="e">
        <f>AND(Шахм!P17,"AAAAAEvr72A=")</f>
        <v>#VALUE!</v>
      </c>
      <c r="CT3" t="e">
        <f>AND(Шахм!Q17,"AAAAAEvr72E=")</f>
        <v>#VALUE!</v>
      </c>
      <c r="CU3" t="e">
        <f>AND(Шахм!R17,"AAAAAEvr72I=")</f>
        <v>#VALUE!</v>
      </c>
      <c r="CV3" t="e">
        <f>AND(Шахм!S17,"AAAAAEvr72M=")</f>
        <v>#VALUE!</v>
      </c>
      <c r="CW3" t="e">
        <f>AND(Шахм!T17,"AAAAAEvr72Q=")</f>
        <v>#VALUE!</v>
      </c>
      <c r="CX3" t="e">
        <f>AND(Шахм!U17,"AAAAAEvr72U=")</f>
        <v>#VALUE!</v>
      </c>
      <c r="CY3" t="e">
        <f>AND(Шахм!V17,"AAAAAEvr72Y=")</f>
        <v>#VALUE!</v>
      </c>
      <c r="CZ3" t="e">
        <f>AND(Шахм!W17,"AAAAAEvr72c=")</f>
        <v>#VALUE!</v>
      </c>
      <c r="DA3" t="e">
        <f>AND(Шахм!X17,"AAAAAEvr72g=")</f>
        <v>#VALUE!</v>
      </c>
      <c r="DB3" t="e">
        <f>AND(Шахм!Y17,"AAAAAEvr72k=")</f>
        <v>#VALUE!</v>
      </c>
      <c r="DC3" t="e">
        <f>AND(Шахм!Z17,"AAAAAEvr72o=")</f>
        <v>#VALUE!</v>
      </c>
      <c r="DD3" t="e">
        <f>AND(Шахм!AA17,"AAAAAEvr72s=")</f>
        <v>#VALUE!</v>
      </c>
      <c r="DE3" t="e">
        <f>AND(Шахм!AB17,"AAAAAEvr72w=")</f>
        <v>#VALUE!</v>
      </c>
      <c r="DF3" t="e">
        <f>AND(Шахм!AC17,"AAAAAEvr720=")</f>
        <v>#VALUE!</v>
      </c>
      <c r="DG3" t="e">
        <f>AND(Шахм!AD17,"AAAAAEvr724=")</f>
        <v>#VALUE!</v>
      </c>
      <c r="DH3" t="e">
        <f>AND(Шахм!AE17,"AAAAAEvr728=")</f>
        <v>#VALUE!</v>
      </c>
      <c r="DI3" t="e">
        <f>AND(Шахм!AF17,"AAAAAEvr73A=")</f>
        <v>#VALUE!</v>
      </c>
      <c r="DJ3" t="e">
        <f>AND(Шахм!AG17,"AAAAAEvr73E=")</f>
        <v>#VALUE!</v>
      </c>
      <c r="DK3" t="e">
        <f>AND(Шахм!AH17,"AAAAAEvr73I=")</f>
        <v>#VALUE!</v>
      </c>
      <c r="DL3" t="e">
        <f>AND(Шахм!AI17,"AAAAAEvr73M=")</f>
        <v>#VALUE!</v>
      </c>
      <c r="DM3" t="e">
        <f>AND(Шахм!AJ17,"AAAAAEvr73Q=")</f>
        <v>#VALUE!</v>
      </c>
      <c r="DN3">
        <f>IF(Шахм!18:18,"AAAAAEvr73U=",0)</f>
        <v>0</v>
      </c>
      <c r="DO3" t="e">
        <f>AND(Шахм!A18,"AAAAAEvr73Y=")</f>
        <v>#VALUE!</v>
      </c>
      <c r="DP3" t="e">
        <f>AND(Шахм!B18,"AAAAAEvr73c=")</f>
        <v>#VALUE!</v>
      </c>
      <c r="DQ3" t="e">
        <f>AND(Шахм!C18,"AAAAAEvr73g=")</f>
        <v>#VALUE!</v>
      </c>
      <c r="DR3" t="e">
        <f>AND(Шахм!D18,"AAAAAEvr73k=")</f>
        <v>#VALUE!</v>
      </c>
      <c r="DS3" t="e">
        <f>AND(Шахм!E18,"AAAAAEvr73o=")</f>
        <v>#VALUE!</v>
      </c>
      <c r="DT3" t="e">
        <f>AND(Шахм!F18,"AAAAAEvr73s=")</f>
        <v>#VALUE!</v>
      </c>
      <c r="DU3" t="e">
        <f>AND(Шахм!G18,"AAAAAEvr73w=")</f>
        <v>#VALUE!</v>
      </c>
      <c r="DV3" t="e">
        <f>AND(Шахм!H18,"AAAAAEvr730=")</f>
        <v>#VALUE!</v>
      </c>
      <c r="DW3" t="e">
        <f>AND(Шахм!I18,"AAAAAEvr734=")</f>
        <v>#VALUE!</v>
      </c>
      <c r="DX3" t="e">
        <f>AND(Шахм!J18,"AAAAAEvr738=")</f>
        <v>#VALUE!</v>
      </c>
      <c r="DY3" t="e">
        <f>AND(Шахм!K18,"AAAAAEvr74A=")</f>
        <v>#VALUE!</v>
      </c>
      <c r="DZ3" t="e">
        <f>AND(Шахм!L18,"AAAAAEvr74E=")</f>
        <v>#VALUE!</v>
      </c>
      <c r="EA3" t="e">
        <f>AND(Шахм!M18,"AAAAAEvr74I=")</f>
        <v>#VALUE!</v>
      </c>
      <c r="EB3" t="e">
        <f>AND(Шахм!N18,"AAAAAEvr74M=")</f>
        <v>#VALUE!</v>
      </c>
      <c r="EC3" t="e">
        <f>AND(Шахм!O18,"AAAAAEvr74Q=")</f>
        <v>#VALUE!</v>
      </c>
      <c r="ED3" t="e">
        <f>AND(Шахм!P18,"AAAAAEvr74U=")</f>
        <v>#VALUE!</v>
      </c>
      <c r="EE3" t="e">
        <f>AND(Шахм!Q18,"AAAAAEvr74Y=")</f>
        <v>#VALUE!</v>
      </c>
      <c r="EF3" t="e">
        <f>AND(Шахм!R18,"AAAAAEvr74c=")</f>
        <v>#VALUE!</v>
      </c>
      <c r="EG3" t="e">
        <f>AND(Шахм!S18,"AAAAAEvr74g=")</f>
        <v>#VALUE!</v>
      </c>
      <c r="EH3" t="e">
        <f>AND(Шахм!T18,"AAAAAEvr74k=")</f>
        <v>#VALUE!</v>
      </c>
      <c r="EI3" t="e">
        <f>AND(Шахм!U18,"AAAAAEvr74o=")</f>
        <v>#VALUE!</v>
      </c>
      <c r="EJ3" t="e">
        <f>AND(Шахм!V18,"AAAAAEvr74s=")</f>
        <v>#VALUE!</v>
      </c>
      <c r="EK3" t="e">
        <f>AND(Шахм!W18,"AAAAAEvr74w=")</f>
        <v>#VALUE!</v>
      </c>
      <c r="EL3" t="e">
        <f>AND(Шахм!X18,"AAAAAEvr740=")</f>
        <v>#VALUE!</v>
      </c>
      <c r="EM3" t="e">
        <f>AND(Шахм!Y18,"AAAAAEvr744=")</f>
        <v>#VALUE!</v>
      </c>
      <c r="EN3" t="e">
        <f>AND(Шахм!Z18,"AAAAAEvr748=")</f>
        <v>#VALUE!</v>
      </c>
      <c r="EO3" t="e">
        <f>AND(Шахм!AA18,"AAAAAEvr75A=")</f>
        <v>#VALUE!</v>
      </c>
      <c r="EP3" t="e">
        <f>AND(Шахм!AB18,"AAAAAEvr75E=")</f>
        <v>#VALUE!</v>
      </c>
      <c r="EQ3" t="e">
        <f>AND(Шахм!AC18,"AAAAAEvr75I=")</f>
        <v>#VALUE!</v>
      </c>
      <c r="ER3" t="e">
        <f>AND(Шахм!AD18,"AAAAAEvr75M=")</f>
        <v>#VALUE!</v>
      </c>
      <c r="ES3" t="e">
        <f>AND(Шахм!AE18,"AAAAAEvr75Q=")</f>
        <v>#VALUE!</v>
      </c>
      <c r="ET3" t="e">
        <f>AND(Шахм!AF18,"AAAAAEvr75U=")</f>
        <v>#VALUE!</v>
      </c>
      <c r="EU3" t="e">
        <f>AND(Шахм!AG18,"AAAAAEvr75Y=")</f>
        <v>#VALUE!</v>
      </c>
      <c r="EV3" t="e">
        <f>AND(Шахм!AH18,"AAAAAEvr75c=")</f>
        <v>#VALUE!</v>
      </c>
      <c r="EW3" t="e">
        <f>AND(Шахм!AI18,"AAAAAEvr75g=")</f>
        <v>#VALUE!</v>
      </c>
      <c r="EX3" t="e">
        <f>AND(Шахм!AJ18,"AAAAAEvr75k=")</f>
        <v>#VALUE!</v>
      </c>
      <c r="EY3">
        <f>IF(Шахм!19:19,"AAAAAEvr75o=",0)</f>
        <v>0</v>
      </c>
      <c r="EZ3" t="e">
        <f>AND(Шахм!A19,"AAAAAEvr75s=")</f>
        <v>#VALUE!</v>
      </c>
      <c r="FA3" t="e">
        <f>AND(Шахм!B19,"AAAAAEvr75w=")</f>
        <v>#VALUE!</v>
      </c>
      <c r="FB3" t="e">
        <f>AND(Шахм!C19,"AAAAAEvr750=")</f>
        <v>#VALUE!</v>
      </c>
      <c r="FC3" t="e">
        <f>AND(Шахм!D19,"AAAAAEvr754=")</f>
        <v>#VALUE!</v>
      </c>
      <c r="FD3" t="e">
        <f>AND(Шахм!E19,"AAAAAEvr758=")</f>
        <v>#VALUE!</v>
      </c>
      <c r="FE3" t="e">
        <f>AND(Шахм!F19,"AAAAAEvr76A=")</f>
        <v>#VALUE!</v>
      </c>
      <c r="FF3" t="e">
        <f>AND(Шахм!G19,"AAAAAEvr76E=")</f>
        <v>#VALUE!</v>
      </c>
      <c r="FG3" t="e">
        <f>AND(Шахм!H19,"AAAAAEvr76I=")</f>
        <v>#VALUE!</v>
      </c>
      <c r="FH3" t="e">
        <f>AND(Шахм!I19,"AAAAAEvr76M=")</f>
        <v>#VALUE!</v>
      </c>
      <c r="FI3" t="e">
        <f>AND(Шахм!J19,"AAAAAEvr76Q=")</f>
        <v>#VALUE!</v>
      </c>
      <c r="FJ3" t="e">
        <f>AND(Шахм!K19,"AAAAAEvr76U=")</f>
        <v>#VALUE!</v>
      </c>
      <c r="FK3" t="e">
        <f>AND(Шахм!L19,"AAAAAEvr76Y=")</f>
        <v>#VALUE!</v>
      </c>
      <c r="FL3" t="e">
        <f>AND(Шахм!M19,"AAAAAEvr76c=")</f>
        <v>#VALUE!</v>
      </c>
      <c r="FM3" t="e">
        <f>AND(Шахм!N19,"AAAAAEvr76g=")</f>
        <v>#VALUE!</v>
      </c>
      <c r="FN3" t="e">
        <f>AND(Шахм!O19,"AAAAAEvr76k=")</f>
        <v>#VALUE!</v>
      </c>
      <c r="FO3" t="e">
        <f>AND(Шахм!P19,"AAAAAEvr76o=")</f>
        <v>#VALUE!</v>
      </c>
      <c r="FP3" t="e">
        <f>AND(Шахм!Q19,"AAAAAEvr76s=")</f>
        <v>#VALUE!</v>
      </c>
      <c r="FQ3" t="e">
        <f>AND(Шахм!R19,"AAAAAEvr76w=")</f>
        <v>#VALUE!</v>
      </c>
      <c r="FR3" t="e">
        <f>AND(Шахм!S19,"AAAAAEvr760=")</f>
        <v>#VALUE!</v>
      </c>
      <c r="FS3" t="e">
        <f>AND(Шахм!T19,"AAAAAEvr764=")</f>
        <v>#VALUE!</v>
      </c>
      <c r="FT3" t="e">
        <f>AND(Шахм!U19,"AAAAAEvr768=")</f>
        <v>#VALUE!</v>
      </c>
      <c r="FU3" t="e">
        <f>AND(Шахм!V19,"AAAAAEvr77A=")</f>
        <v>#VALUE!</v>
      </c>
      <c r="FV3" t="e">
        <f>AND(Шахм!W19,"AAAAAEvr77E=")</f>
        <v>#VALUE!</v>
      </c>
      <c r="FW3" t="e">
        <f>AND(Шахм!X19,"AAAAAEvr77I=")</f>
        <v>#VALUE!</v>
      </c>
      <c r="FX3" t="e">
        <f>AND(Шахм!Y19,"AAAAAEvr77M=")</f>
        <v>#VALUE!</v>
      </c>
      <c r="FY3" t="e">
        <f>AND(Шахм!Z19,"AAAAAEvr77Q=")</f>
        <v>#VALUE!</v>
      </c>
      <c r="FZ3" t="e">
        <f>AND(Шахм!AA19,"AAAAAEvr77U=")</f>
        <v>#VALUE!</v>
      </c>
      <c r="GA3" t="e">
        <f>AND(Шахм!AB19,"AAAAAEvr77Y=")</f>
        <v>#VALUE!</v>
      </c>
      <c r="GB3" t="e">
        <f>AND(Шахм!AC19,"AAAAAEvr77c=")</f>
        <v>#VALUE!</v>
      </c>
      <c r="GC3" t="e">
        <f>AND(Шахм!AD19,"AAAAAEvr77g=")</f>
        <v>#VALUE!</v>
      </c>
      <c r="GD3" t="e">
        <f>AND(Шахм!AE19,"AAAAAEvr77k=")</f>
        <v>#VALUE!</v>
      </c>
      <c r="GE3" t="e">
        <f>AND(Шахм!AF19,"AAAAAEvr77o=")</f>
        <v>#VALUE!</v>
      </c>
      <c r="GF3" t="e">
        <f>AND(Шахм!AG19,"AAAAAEvr77s=")</f>
        <v>#VALUE!</v>
      </c>
      <c r="GG3" t="e">
        <f>AND(Шахм!AH19,"AAAAAEvr77w=")</f>
        <v>#VALUE!</v>
      </c>
      <c r="GH3" t="e">
        <f>AND(Шахм!AI19,"AAAAAEvr770=")</f>
        <v>#VALUE!</v>
      </c>
      <c r="GI3" t="e">
        <f>AND(Шахм!AJ19,"AAAAAEvr774=")</f>
        <v>#VALUE!</v>
      </c>
      <c r="GJ3">
        <f>IF(Шахм!20:20,"AAAAAEvr778=",0)</f>
        <v>0</v>
      </c>
      <c r="GK3" t="e">
        <f>AND(Шахм!A20,"AAAAAEvr78A=")</f>
        <v>#VALUE!</v>
      </c>
      <c r="GL3" t="e">
        <f>AND(Шахм!B20,"AAAAAEvr78E=")</f>
        <v>#VALUE!</v>
      </c>
      <c r="GM3" t="e">
        <f>AND(Шахм!C20,"AAAAAEvr78I=")</f>
        <v>#VALUE!</v>
      </c>
      <c r="GN3" t="e">
        <f>AND(Шахм!D20,"AAAAAEvr78M=")</f>
        <v>#VALUE!</v>
      </c>
      <c r="GO3" t="e">
        <f>AND(Шахм!E20,"AAAAAEvr78Q=")</f>
        <v>#VALUE!</v>
      </c>
      <c r="GP3" t="e">
        <f>AND(Шахм!F20,"AAAAAEvr78U=")</f>
        <v>#VALUE!</v>
      </c>
      <c r="GQ3" t="e">
        <f>AND(Шахм!G20,"AAAAAEvr78Y=")</f>
        <v>#VALUE!</v>
      </c>
      <c r="GR3" t="e">
        <f>AND(Шахм!H20,"AAAAAEvr78c=")</f>
        <v>#VALUE!</v>
      </c>
      <c r="GS3" t="e">
        <f>AND(Шахм!I20,"AAAAAEvr78g=")</f>
        <v>#VALUE!</v>
      </c>
      <c r="GT3" t="e">
        <f>AND(Шахм!J20,"AAAAAEvr78k=")</f>
        <v>#VALUE!</v>
      </c>
      <c r="GU3" t="e">
        <f>AND(Шахм!K20,"AAAAAEvr78o=")</f>
        <v>#VALUE!</v>
      </c>
      <c r="GV3" t="e">
        <f>AND(Шахм!L20,"AAAAAEvr78s=")</f>
        <v>#VALUE!</v>
      </c>
      <c r="GW3" t="e">
        <f>AND(Шахм!M20,"AAAAAEvr78w=")</f>
        <v>#VALUE!</v>
      </c>
      <c r="GX3" t="e">
        <f>AND(Шахм!N20,"AAAAAEvr780=")</f>
        <v>#VALUE!</v>
      </c>
      <c r="GY3" t="e">
        <f>AND(Шахм!O20,"AAAAAEvr784=")</f>
        <v>#VALUE!</v>
      </c>
      <c r="GZ3" t="e">
        <f>AND(Шахм!P20,"AAAAAEvr788=")</f>
        <v>#VALUE!</v>
      </c>
      <c r="HA3" t="e">
        <f>AND(Шахм!Q20,"AAAAAEvr79A=")</f>
        <v>#VALUE!</v>
      </c>
      <c r="HB3" t="e">
        <f>AND(Шахм!R20,"AAAAAEvr79E=")</f>
        <v>#VALUE!</v>
      </c>
      <c r="HC3" t="e">
        <f>AND(Шахм!S20,"AAAAAEvr79I=")</f>
        <v>#VALUE!</v>
      </c>
      <c r="HD3" t="e">
        <f>AND(Шахм!T20,"AAAAAEvr79M=")</f>
        <v>#VALUE!</v>
      </c>
      <c r="HE3" t="e">
        <f>AND(Шахм!U20,"AAAAAEvr79Q=")</f>
        <v>#VALUE!</v>
      </c>
      <c r="HF3" t="e">
        <f>AND(Шахм!V20,"AAAAAEvr79U=")</f>
        <v>#VALUE!</v>
      </c>
      <c r="HG3" t="e">
        <f>AND(Шахм!W20,"AAAAAEvr79Y=")</f>
        <v>#VALUE!</v>
      </c>
      <c r="HH3" t="e">
        <f>AND(Шахм!X20,"AAAAAEvr79c=")</f>
        <v>#VALUE!</v>
      </c>
      <c r="HI3" t="e">
        <f>AND(Шахм!Y20,"AAAAAEvr79g=")</f>
        <v>#VALUE!</v>
      </c>
      <c r="HJ3" t="e">
        <f>AND(Шахм!Z20,"AAAAAEvr79k=")</f>
        <v>#VALUE!</v>
      </c>
      <c r="HK3" t="e">
        <f>AND(Шахм!AA20,"AAAAAEvr79o=")</f>
        <v>#VALUE!</v>
      </c>
      <c r="HL3" t="e">
        <f>AND(Шахм!AB20,"AAAAAEvr79s=")</f>
        <v>#VALUE!</v>
      </c>
      <c r="HM3" t="e">
        <f>AND(Шахм!AC20,"AAAAAEvr79w=")</f>
        <v>#VALUE!</v>
      </c>
      <c r="HN3" t="e">
        <f>AND(Шахм!AD20,"AAAAAEvr790=")</f>
        <v>#VALUE!</v>
      </c>
      <c r="HO3" t="e">
        <f>AND(Шахм!AE20,"AAAAAEvr794=")</f>
        <v>#VALUE!</v>
      </c>
      <c r="HP3" t="e">
        <f>AND(Шахм!AF20,"AAAAAEvr798=")</f>
        <v>#VALUE!</v>
      </c>
      <c r="HQ3" t="e">
        <f>AND(Шахм!AG20,"AAAAAEvr7+A=")</f>
        <v>#VALUE!</v>
      </c>
      <c r="HR3" t="e">
        <f>AND(Шахм!AH20,"AAAAAEvr7+E=")</f>
        <v>#VALUE!</v>
      </c>
      <c r="HS3" t="e">
        <f>AND(Шахм!AI20,"AAAAAEvr7+I=")</f>
        <v>#VALUE!</v>
      </c>
      <c r="HT3" t="e">
        <f>AND(Шахм!AJ20,"AAAAAEvr7+M=")</f>
        <v>#VALUE!</v>
      </c>
      <c r="HU3">
        <f>IF(Шахм!21:21,"AAAAAEvr7+Q=",0)</f>
        <v>0</v>
      </c>
      <c r="HV3" t="e">
        <f>AND(Шахм!A21,"AAAAAEvr7+U=")</f>
        <v>#VALUE!</v>
      </c>
      <c r="HW3" t="e">
        <f>AND(Шахм!B21,"AAAAAEvr7+Y=")</f>
        <v>#VALUE!</v>
      </c>
      <c r="HX3" t="e">
        <f>AND(Шахм!C21,"AAAAAEvr7+c=")</f>
        <v>#VALUE!</v>
      </c>
      <c r="HY3" t="e">
        <f>AND(Шахм!D21,"AAAAAEvr7+g=")</f>
        <v>#VALUE!</v>
      </c>
      <c r="HZ3" t="e">
        <f>AND(Шахм!E21,"AAAAAEvr7+k=")</f>
        <v>#VALUE!</v>
      </c>
      <c r="IA3" t="e">
        <f>AND(Шахм!F21,"AAAAAEvr7+o=")</f>
        <v>#VALUE!</v>
      </c>
      <c r="IB3" t="e">
        <f>AND(Шахм!G21,"AAAAAEvr7+s=")</f>
        <v>#VALUE!</v>
      </c>
      <c r="IC3" t="e">
        <f>AND(Шахм!H21,"AAAAAEvr7+w=")</f>
        <v>#VALUE!</v>
      </c>
      <c r="ID3" t="e">
        <f>AND(Шахм!I21,"AAAAAEvr7+0=")</f>
        <v>#VALUE!</v>
      </c>
      <c r="IE3" t="e">
        <f>AND(Шахм!J21,"AAAAAEvr7+4=")</f>
        <v>#VALUE!</v>
      </c>
      <c r="IF3" t="e">
        <f>AND(Шахм!K21,"AAAAAEvr7+8=")</f>
        <v>#VALUE!</v>
      </c>
      <c r="IG3" t="e">
        <f>AND(Шахм!L21,"AAAAAEvr7/A=")</f>
        <v>#VALUE!</v>
      </c>
      <c r="IH3" t="e">
        <f>AND(Шахм!M21,"AAAAAEvr7/E=")</f>
        <v>#VALUE!</v>
      </c>
      <c r="II3" t="e">
        <f>AND(Шахм!N21,"AAAAAEvr7/I=")</f>
        <v>#VALUE!</v>
      </c>
      <c r="IJ3" t="e">
        <f>AND(Шахм!O21,"AAAAAEvr7/M=")</f>
        <v>#VALUE!</v>
      </c>
      <c r="IK3" t="e">
        <f>AND(Шахм!P21,"AAAAAEvr7/Q=")</f>
        <v>#VALUE!</v>
      </c>
      <c r="IL3" t="e">
        <f>AND(Шахм!Q21,"AAAAAEvr7/U=")</f>
        <v>#VALUE!</v>
      </c>
      <c r="IM3" t="e">
        <f>AND(Шахм!R21,"AAAAAEvr7/Y=")</f>
        <v>#VALUE!</v>
      </c>
      <c r="IN3" t="e">
        <f>AND(Шахм!S21,"AAAAAEvr7/c=")</f>
        <v>#VALUE!</v>
      </c>
      <c r="IO3" t="e">
        <f>AND(Шахм!T21,"AAAAAEvr7/g=")</f>
        <v>#VALUE!</v>
      </c>
      <c r="IP3" t="e">
        <f>AND(Шахм!U21,"AAAAAEvr7/k=")</f>
        <v>#VALUE!</v>
      </c>
      <c r="IQ3" t="e">
        <f>AND(Шахм!V21,"AAAAAEvr7/o=")</f>
        <v>#VALUE!</v>
      </c>
      <c r="IR3" t="e">
        <f>AND(Шахм!W21,"AAAAAEvr7/s=")</f>
        <v>#VALUE!</v>
      </c>
      <c r="IS3" t="e">
        <f>AND(Шахм!X21,"AAAAAEvr7/w=")</f>
        <v>#VALUE!</v>
      </c>
      <c r="IT3" t="e">
        <f>AND(Шахм!Y21,"AAAAAEvr7/0=")</f>
        <v>#VALUE!</v>
      </c>
      <c r="IU3" t="e">
        <f>AND(Шахм!Z21,"AAAAAEvr7/4=")</f>
        <v>#VALUE!</v>
      </c>
      <c r="IV3" t="e">
        <f>AND(Шахм!AA21,"AAAAAEvr7/8=")</f>
        <v>#VALUE!</v>
      </c>
    </row>
    <row r="4" spans="1:256">
      <c r="A4" t="e">
        <f>AND(Шахм!AB21,"AAAAAE/bvwA=")</f>
        <v>#VALUE!</v>
      </c>
      <c r="B4" t="e">
        <f>AND(Шахм!AC21,"AAAAAE/bvwE=")</f>
        <v>#VALUE!</v>
      </c>
      <c r="C4" t="e">
        <f>AND(Шахм!AD21,"AAAAAE/bvwI=")</f>
        <v>#VALUE!</v>
      </c>
      <c r="D4" t="e">
        <f>AND(Шахм!AE21,"AAAAAE/bvwM=")</f>
        <v>#VALUE!</v>
      </c>
      <c r="E4" t="e">
        <f>AND(Шахм!AF21,"AAAAAE/bvwQ=")</f>
        <v>#VALUE!</v>
      </c>
      <c r="F4" t="e">
        <f>AND(Шахм!AG21,"AAAAAE/bvwU=")</f>
        <v>#VALUE!</v>
      </c>
      <c r="G4" t="e">
        <f>AND(Шахм!AH21,"AAAAAE/bvwY=")</f>
        <v>#VALUE!</v>
      </c>
      <c r="H4" t="e">
        <f>AND(Шахм!AI21,"AAAAAE/bvwc=")</f>
        <v>#VALUE!</v>
      </c>
      <c r="I4" t="e">
        <f>AND(Шахм!AJ21,"AAAAAE/bvwg=")</f>
        <v>#VALUE!</v>
      </c>
      <c r="J4">
        <f>IF(Шахм!22:22,"AAAAAE/bvwk=",0)</f>
        <v>0</v>
      </c>
      <c r="K4" t="e">
        <f>AND(Шахм!A22,"AAAAAE/bvwo=")</f>
        <v>#VALUE!</v>
      </c>
      <c r="L4" t="e">
        <f>AND(Шахм!B22,"AAAAAE/bvws=")</f>
        <v>#VALUE!</v>
      </c>
      <c r="M4" t="e">
        <f>AND(Шахм!C22,"AAAAAE/bvww=")</f>
        <v>#VALUE!</v>
      </c>
      <c r="N4" t="e">
        <f>AND(Шахм!D22,"AAAAAE/bvw0=")</f>
        <v>#VALUE!</v>
      </c>
      <c r="O4" t="e">
        <f>AND(Шахм!E22,"AAAAAE/bvw4=")</f>
        <v>#VALUE!</v>
      </c>
      <c r="P4" t="e">
        <f>AND(Шахм!F22,"AAAAAE/bvw8=")</f>
        <v>#VALUE!</v>
      </c>
      <c r="Q4" t="e">
        <f>AND(Шахм!G22,"AAAAAE/bvxA=")</f>
        <v>#VALUE!</v>
      </c>
      <c r="R4" t="e">
        <f>AND(Шахм!H22,"AAAAAE/bvxE=")</f>
        <v>#VALUE!</v>
      </c>
      <c r="S4" t="e">
        <f>AND(Шахм!I22,"AAAAAE/bvxI=")</f>
        <v>#VALUE!</v>
      </c>
      <c r="T4" t="e">
        <f>AND(Шахм!J22,"AAAAAE/bvxM=")</f>
        <v>#VALUE!</v>
      </c>
      <c r="U4" t="e">
        <f>AND(Шахм!K22,"AAAAAE/bvxQ=")</f>
        <v>#VALUE!</v>
      </c>
      <c r="V4" t="e">
        <f>AND(Шахм!L22,"AAAAAE/bvxU=")</f>
        <v>#VALUE!</v>
      </c>
      <c r="W4" t="e">
        <f>AND(Шахм!M22,"AAAAAE/bvxY=")</f>
        <v>#VALUE!</v>
      </c>
      <c r="X4" t="e">
        <f>AND(Шахм!N22,"AAAAAE/bvxc=")</f>
        <v>#VALUE!</v>
      </c>
      <c r="Y4" t="e">
        <f>AND(Шахм!O22,"AAAAAE/bvxg=")</f>
        <v>#VALUE!</v>
      </c>
      <c r="Z4" t="e">
        <f>AND(Шахм!P22,"AAAAAE/bvxk=")</f>
        <v>#VALUE!</v>
      </c>
      <c r="AA4" t="e">
        <f>AND(Шахм!Q22,"AAAAAE/bvxo=")</f>
        <v>#VALUE!</v>
      </c>
      <c r="AB4" t="e">
        <f>AND(Шахм!R22,"AAAAAE/bvxs=")</f>
        <v>#VALUE!</v>
      </c>
      <c r="AC4" t="e">
        <f>AND(Шахм!S22,"AAAAAE/bvxw=")</f>
        <v>#VALUE!</v>
      </c>
      <c r="AD4" t="e">
        <f>AND(Шахм!T22,"AAAAAE/bvx0=")</f>
        <v>#VALUE!</v>
      </c>
      <c r="AE4" t="e">
        <f>AND(Шахм!U22,"AAAAAE/bvx4=")</f>
        <v>#VALUE!</v>
      </c>
      <c r="AF4" t="e">
        <f>AND(Шахм!V22,"AAAAAE/bvx8=")</f>
        <v>#VALUE!</v>
      </c>
      <c r="AG4" t="e">
        <f>AND(Шахм!W22,"AAAAAE/bvyA=")</f>
        <v>#VALUE!</v>
      </c>
      <c r="AH4" t="e">
        <f>AND(Шахм!X22,"AAAAAE/bvyE=")</f>
        <v>#VALUE!</v>
      </c>
      <c r="AI4" t="e">
        <f>AND(Шахм!Y22,"AAAAAE/bvyI=")</f>
        <v>#VALUE!</v>
      </c>
      <c r="AJ4" t="e">
        <f>AND(Шахм!Z22,"AAAAAE/bvyM=")</f>
        <v>#VALUE!</v>
      </c>
      <c r="AK4" t="e">
        <f>AND(Шахм!AA22,"AAAAAE/bvyQ=")</f>
        <v>#VALUE!</v>
      </c>
      <c r="AL4" t="e">
        <f>AND(Шахм!AB22,"AAAAAE/bvyU=")</f>
        <v>#VALUE!</v>
      </c>
      <c r="AM4" t="e">
        <f>AND(Шахм!AC22,"AAAAAE/bvyY=")</f>
        <v>#VALUE!</v>
      </c>
      <c r="AN4" t="e">
        <f>AND(Шахм!AD22,"AAAAAE/bvyc=")</f>
        <v>#VALUE!</v>
      </c>
      <c r="AO4" t="e">
        <f>AND(Шахм!AE22,"AAAAAE/bvyg=")</f>
        <v>#VALUE!</v>
      </c>
      <c r="AP4" t="e">
        <f>AND(Шахм!AF22,"AAAAAE/bvyk=")</f>
        <v>#VALUE!</v>
      </c>
      <c r="AQ4" t="e">
        <f>AND(Шахм!AG22,"AAAAAE/bvyo=")</f>
        <v>#VALUE!</v>
      </c>
      <c r="AR4" t="e">
        <f>AND(Шахм!AH22,"AAAAAE/bvys=")</f>
        <v>#VALUE!</v>
      </c>
      <c r="AS4" t="e">
        <f>AND(Шахм!AI22,"AAAAAE/bvyw=")</f>
        <v>#VALUE!</v>
      </c>
      <c r="AT4" t="e">
        <f>AND(Шахм!AJ22,"AAAAAE/bvy0=")</f>
        <v>#VALUE!</v>
      </c>
      <c r="AU4">
        <f>IF(Шахм!23:23,"AAAAAE/bvy4=",0)</f>
        <v>0</v>
      </c>
      <c r="AV4" t="e">
        <f>AND(Шахм!A23,"AAAAAE/bvy8=")</f>
        <v>#VALUE!</v>
      </c>
      <c r="AW4" t="e">
        <f>AND(Шахм!B23,"AAAAAE/bvzA=")</f>
        <v>#VALUE!</v>
      </c>
      <c r="AX4" t="e">
        <f>AND(Шахм!C23,"AAAAAE/bvzE=")</f>
        <v>#VALUE!</v>
      </c>
      <c r="AY4" t="e">
        <f>AND(Шахм!D23,"AAAAAE/bvzI=")</f>
        <v>#VALUE!</v>
      </c>
      <c r="AZ4" t="e">
        <f>AND(Шахм!E23,"AAAAAE/bvzM=")</f>
        <v>#VALUE!</v>
      </c>
      <c r="BA4" t="e">
        <f>AND(Шахм!F23,"AAAAAE/bvzQ=")</f>
        <v>#VALUE!</v>
      </c>
      <c r="BB4" t="e">
        <f>AND(Шахм!G23,"AAAAAE/bvzU=")</f>
        <v>#VALUE!</v>
      </c>
      <c r="BC4" t="e">
        <f>AND(Шахм!H23,"AAAAAE/bvzY=")</f>
        <v>#VALUE!</v>
      </c>
      <c r="BD4" t="e">
        <f>AND(Шахм!I23,"AAAAAE/bvzc=")</f>
        <v>#VALUE!</v>
      </c>
      <c r="BE4" t="e">
        <f>AND(Шахм!J23,"AAAAAE/bvzg=")</f>
        <v>#VALUE!</v>
      </c>
      <c r="BF4" t="e">
        <f>AND(Шахм!K23,"AAAAAE/bvzk=")</f>
        <v>#VALUE!</v>
      </c>
      <c r="BG4" t="e">
        <f>AND(Шахм!L23,"AAAAAE/bvzo=")</f>
        <v>#VALUE!</v>
      </c>
      <c r="BH4" t="e">
        <f>AND(Шахм!M23,"AAAAAE/bvzs=")</f>
        <v>#VALUE!</v>
      </c>
      <c r="BI4" t="e">
        <f>AND(Шахм!N23,"AAAAAE/bvzw=")</f>
        <v>#VALUE!</v>
      </c>
      <c r="BJ4" t="e">
        <f>AND(Шахм!O23,"AAAAAE/bvz0=")</f>
        <v>#VALUE!</v>
      </c>
      <c r="BK4" t="e">
        <f>AND(Шахм!P23,"AAAAAE/bvz4=")</f>
        <v>#VALUE!</v>
      </c>
      <c r="BL4" t="e">
        <f>AND(Шахм!Q23,"AAAAAE/bvz8=")</f>
        <v>#VALUE!</v>
      </c>
      <c r="BM4" t="e">
        <f>AND(Шахм!R23,"AAAAAE/bv0A=")</f>
        <v>#VALUE!</v>
      </c>
      <c r="BN4" t="e">
        <f>AND(Шахм!S23,"AAAAAE/bv0E=")</f>
        <v>#VALUE!</v>
      </c>
      <c r="BO4" t="e">
        <f>AND(Шахм!T23,"AAAAAE/bv0I=")</f>
        <v>#VALUE!</v>
      </c>
      <c r="BP4" t="e">
        <f>AND(Шахм!U23,"AAAAAE/bv0M=")</f>
        <v>#VALUE!</v>
      </c>
      <c r="BQ4" t="e">
        <f>AND(Шахм!V23,"AAAAAE/bv0Q=")</f>
        <v>#VALUE!</v>
      </c>
      <c r="BR4" t="e">
        <f>AND(Шахм!W23,"AAAAAE/bv0U=")</f>
        <v>#VALUE!</v>
      </c>
      <c r="BS4" t="e">
        <f>AND(Шахм!X23,"AAAAAE/bv0Y=")</f>
        <v>#VALUE!</v>
      </c>
      <c r="BT4" t="e">
        <f>AND(Шахм!Y23,"AAAAAE/bv0c=")</f>
        <v>#VALUE!</v>
      </c>
      <c r="BU4" t="e">
        <f>AND(Шахм!Z23,"AAAAAE/bv0g=")</f>
        <v>#VALUE!</v>
      </c>
      <c r="BV4" t="e">
        <f>AND(Шахм!AA23,"AAAAAE/bv0k=")</f>
        <v>#VALUE!</v>
      </c>
      <c r="BW4" t="e">
        <f>AND(Шахм!AB23,"AAAAAE/bv0o=")</f>
        <v>#VALUE!</v>
      </c>
      <c r="BX4" t="e">
        <f>AND(Шахм!AC23,"AAAAAE/bv0s=")</f>
        <v>#VALUE!</v>
      </c>
      <c r="BY4" t="e">
        <f>AND(Шахм!AD23,"AAAAAE/bv0w=")</f>
        <v>#VALUE!</v>
      </c>
      <c r="BZ4" t="e">
        <f>AND(Шахм!AE23,"AAAAAE/bv00=")</f>
        <v>#VALUE!</v>
      </c>
      <c r="CA4" t="e">
        <f>AND(Шахм!AF23,"AAAAAE/bv04=")</f>
        <v>#VALUE!</v>
      </c>
      <c r="CB4" t="e">
        <f>AND(Шахм!AG23,"AAAAAE/bv08=")</f>
        <v>#VALUE!</v>
      </c>
      <c r="CC4" t="e">
        <f>AND(Шахм!AH23,"AAAAAE/bv1A=")</f>
        <v>#VALUE!</v>
      </c>
      <c r="CD4" t="e">
        <f>AND(Шахм!AI23,"AAAAAE/bv1E=")</f>
        <v>#VALUE!</v>
      </c>
      <c r="CE4" t="e">
        <f>AND(Шахм!AJ23,"AAAAAE/bv1I=")</f>
        <v>#VALUE!</v>
      </c>
      <c r="CF4">
        <f>IF(Шахм!24:24,"AAAAAE/bv1M=",0)</f>
        <v>0</v>
      </c>
      <c r="CG4" t="e">
        <f>AND(Шахм!A24,"AAAAAE/bv1Q=")</f>
        <v>#VALUE!</v>
      </c>
      <c r="CH4" t="e">
        <f>AND(Шахм!B24,"AAAAAE/bv1U=")</f>
        <v>#VALUE!</v>
      </c>
      <c r="CI4" t="e">
        <f>AND(Шахм!C24,"AAAAAE/bv1Y=")</f>
        <v>#VALUE!</v>
      </c>
      <c r="CJ4" t="e">
        <f>AND(Шахм!D24,"AAAAAE/bv1c=")</f>
        <v>#VALUE!</v>
      </c>
      <c r="CK4" t="e">
        <f>AND(Шахм!E24,"AAAAAE/bv1g=")</f>
        <v>#VALUE!</v>
      </c>
      <c r="CL4" t="e">
        <f>AND(Шахм!F24,"AAAAAE/bv1k=")</f>
        <v>#VALUE!</v>
      </c>
      <c r="CM4" t="e">
        <f>AND(Шахм!G24,"AAAAAE/bv1o=")</f>
        <v>#VALUE!</v>
      </c>
      <c r="CN4" t="e">
        <f>AND(Шахм!H24,"AAAAAE/bv1s=")</f>
        <v>#VALUE!</v>
      </c>
      <c r="CO4" t="e">
        <f>AND(Шахм!I24,"AAAAAE/bv1w=")</f>
        <v>#VALUE!</v>
      </c>
      <c r="CP4" t="e">
        <f>AND(Шахм!J24,"AAAAAE/bv10=")</f>
        <v>#VALUE!</v>
      </c>
      <c r="CQ4" t="e">
        <f>AND(Шахм!K24,"AAAAAE/bv14=")</f>
        <v>#VALUE!</v>
      </c>
      <c r="CR4" t="e">
        <f>AND(Шахм!L24,"AAAAAE/bv18=")</f>
        <v>#VALUE!</v>
      </c>
      <c r="CS4" t="e">
        <f>AND(Шахм!M24,"AAAAAE/bv2A=")</f>
        <v>#VALUE!</v>
      </c>
      <c r="CT4" t="e">
        <f>AND(Шахм!N24,"AAAAAE/bv2E=")</f>
        <v>#VALUE!</v>
      </c>
      <c r="CU4" t="e">
        <f>AND(Шахм!O24,"AAAAAE/bv2I=")</f>
        <v>#VALUE!</v>
      </c>
      <c r="CV4" t="e">
        <f>AND(Шахм!P24,"AAAAAE/bv2M=")</f>
        <v>#VALUE!</v>
      </c>
      <c r="CW4" t="e">
        <f>AND(Шахм!Q24,"AAAAAE/bv2Q=")</f>
        <v>#VALUE!</v>
      </c>
      <c r="CX4" t="e">
        <f>AND(Шахм!R24,"AAAAAE/bv2U=")</f>
        <v>#VALUE!</v>
      </c>
      <c r="CY4" t="e">
        <f>AND(Шахм!S24,"AAAAAE/bv2Y=")</f>
        <v>#VALUE!</v>
      </c>
      <c r="CZ4" t="e">
        <f>AND(Шахм!T24,"AAAAAE/bv2c=")</f>
        <v>#VALUE!</v>
      </c>
      <c r="DA4" t="e">
        <f>AND(Шахм!U24,"AAAAAE/bv2g=")</f>
        <v>#VALUE!</v>
      </c>
      <c r="DB4" t="e">
        <f>AND(Шахм!V24,"AAAAAE/bv2k=")</f>
        <v>#VALUE!</v>
      </c>
      <c r="DC4" t="e">
        <f>AND(Шахм!W24,"AAAAAE/bv2o=")</f>
        <v>#VALUE!</v>
      </c>
      <c r="DD4" t="e">
        <f>AND(Шахм!X24,"AAAAAE/bv2s=")</f>
        <v>#VALUE!</v>
      </c>
      <c r="DE4" t="e">
        <f>AND(Шахм!Y24,"AAAAAE/bv2w=")</f>
        <v>#VALUE!</v>
      </c>
      <c r="DF4" t="e">
        <f>AND(Шахм!Z24,"AAAAAE/bv20=")</f>
        <v>#VALUE!</v>
      </c>
      <c r="DG4" t="e">
        <f>AND(Шахм!AA24,"AAAAAE/bv24=")</f>
        <v>#VALUE!</v>
      </c>
      <c r="DH4" t="e">
        <f>AND(Шахм!AB24,"AAAAAE/bv28=")</f>
        <v>#VALUE!</v>
      </c>
      <c r="DI4" t="e">
        <f>AND(Шахм!AC24,"AAAAAE/bv3A=")</f>
        <v>#VALUE!</v>
      </c>
      <c r="DJ4" t="e">
        <f>AND(Шахм!AD24,"AAAAAE/bv3E=")</f>
        <v>#VALUE!</v>
      </c>
      <c r="DK4" t="e">
        <f>AND(Шахм!AE24,"AAAAAE/bv3I=")</f>
        <v>#VALUE!</v>
      </c>
      <c r="DL4" t="e">
        <f>AND(Шахм!AF24,"AAAAAE/bv3M=")</f>
        <v>#VALUE!</v>
      </c>
      <c r="DM4" t="e">
        <f>AND(Шахм!AG24,"AAAAAE/bv3Q=")</f>
        <v>#VALUE!</v>
      </c>
      <c r="DN4" t="e">
        <f>AND(Шахм!AH24,"AAAAAE/bv3U=")</f>
        <v>#VALUE!</v>
      </c>
      <c r="DO4" t="e">
        <f>AND(Шахм!AI24,"AAAAAE/bv3Y=")</f>
        <v>#VALUE!</v>
      </c>
      <c r="DP4" t="e">
        <f>AND(Шахм!AJ24,"AAAAAE/bv3c=")</f>
        <v>#VALUE!</v>
      </c>
      <c r="DQ4">
        <f>IF(Шахм!25:25,"AAAAAE/bv3g=",0)</f>
        <v>0</v>
      </c>
      <c r="DR4" t="e">
        <f>AND(Шахм!A25,"AAAAAE/bv3k=")</f>
        <v>#VALUE!</v>
      </c>
      <c r="DS4" t="e">
        <f>AND(Шахм!B25,"AAAAAE/bv3o=")</f>
        <v>#VALUE!</v>
      </c>
      <c r="DT4" t="e">
        <f>AND(Шахм!C25,"AAAAAE/bv3s=")</f>
        <v>#VALUE!</v>
      </c>
      <c r="DU4" t="e">
        <f>AND(Шахм!D25,"AAAAAE/bv3w=")</f>
        <v>#VALUE!</v>
      </c>
      <c r="DV4" t="e">
        <f>AND(Шахм!E25,"AAAAAE/bv30=")</f>
        <v>#VALUE!</v>
      </c>
      <c r="DW4" t="e">
        <f>AND(Шахм!F25,"AAAAAE/bv34=")</f>
        <v>#VALUE!</v>
      </c>
      <c r="DX4" t="e">
        <f>AND(Шахм!G25,"AAAAAE/bv38=")</f>
        <v>#VALUE!</v>
      </c>
      <c r="DY4" t="e">
        <f>AND(Шахм!H25,"AAAAAE/bv4A=")</f>
        <v>#VALUE!</v>
      </c>
      <c r="DZ4" t="e">
        <f>AND(Шахм!I25,"AAAAAE/bv4E=")</f>
        <v>#VALUE!</v>
      </c>
      <c r="EA4" t="e">
        <f>AND(Шахм!J25,"AAAAAE/bv4I=")</f>
        <v>#VALUE!</v>
      </c>
      <c r="EB4" t="e">
        <f>AND(Шахм!K25,"AAAAAE/bv4M=")</f>
        <v>#VALUE!</v>
      </c>
      <c r="EC4" t="e">
        <f>AND(Шахм!L25,"AAAAAE/bv4Q=")</f>
        <v>#VALUE!</v>
      </c>
      <c r="ED4" t="e">
        <f>AND(Шахм!M25,"AAAAAE/bv4U=")</f>
        <v>#VALUE!</v>
      </c>
      <c r="EE4" t="e">
        <f>AND(Шахм!N25,"AAAAAE/bv4Y=")</f>
        <v>#VALUE!</v>
      </c>
      <c r="EF4" t="e">
        <f>AND(Шахм!O25,"AAAAAE/bv4c=")</f>
        <v>#VALUE!</v>
      </c>
      <c r="EG4" t="e">
        <f>AND(Шахм!P25,"AAAAAE/bv4g=")</f>
        <v>#VALUE!</v>
      </c>
      <c r="EH4" t="e">
        <f>AND(Шахм!Q25,"AAAAAE/bv4k=")</f>
        <v>#VALUE!</v>
      </c>
      <c r="EI4" t="e">
        <f>AND(Шахм!R25,"AAAAAE/bv4o=")</f>
        <v>#VALUE!</v>
      </c>
      <c r="EJ4" t="e">
        <f>AND(Шахм!S25,"AAAAAE/bv4s=")</f>
        <v>#VALUE!</v>
      </c>
      <c r="EK4" t="e">
        <f>AND(Шахм!T25,"AAAAAE/bv4w=")</f>
        <v>#VALUE!</v>
      </c>
      <c r="EL4" t="e">
        <f>AND(Шахм!U25,"AAAAAE/bv40=")</f>
        <v>#VALUE!</v>
      </c>
      <c r="EM4" t="e">
        <f>AND(Шахм!V25,"AAAAAE/bv44=")</f>
        <v>#VALUE!</v>
      </c>
      <c r="EN4" t="e">
        <f>AND(Шахм!W25,"AAAAAE/bv48=")</f>
        <v>#VALUE!</v>
      </c>
      <c r="EO4" t="e">
        <f>AND(Шахм!X25,"AAAAAE/bv5A=")</f>
        <v>#VALUE!</v>
      </c>
      <c r="EP4" t="e">
        <f>AND(Шахм!Y25,"AAAAAE/bv5E=")</f>
        <v>#VALUE!</v>
      </c>
      <c r="EQ4" t="e">
        <f>AND(Шахм!Z25,"AAAAAE/bv5I=")</f>
        <v>#VALUE!</v>
      </c>
      <c r="ER4" t="e">
        <f>AND(Шахм!AA25,"AAAAAE/bv5M=")</f>
        <v>#VALUE!</v>
      </c>
      <c r="ES4" t="e">
        <f>AND(Шахм!AB25,"AAAAAE/bv5Q=")</f>
        <v>#VALUE!</v>
      </c>
      <c r="ET4" t="e">
        <f>AND(Шахм!AC25,"AAAAAE/bv5U=")</f>
        <v>#VALUE!</v>
      </c>
      <c r="EU4" t="e">
        <f>AND(Шахм!AD25,"AAAAAE/bv5Y=")</f>
        <v>#VALUE!</v>
      </c>
      <c r="EV4" t="e">
        <f>AND(Шахм!AE25,"AAAAAE/bv5c=")</f>
        <v>#VALUE!</v>
      </c>
      <c r="EW4" t="e">
        <f>AND(Шахм!AF25,"AAAAAE/bv5g=")</f>
        <v>#VALUE!</v>
      </c>
      <c r="EX4" t="e">
        <f>AND(Шахм!AG25,"AAAAAE/bv5k=")</f>
        <v>#VALUE!</v>
      </c>
      <c r="EY4" t="e">
        <f>AND(Шахм!AH25,"AAAAAE/bv5o=")</f>
        <v>#VALUE!</v>
      </c>
      <c r="EZ4" t="e">
        <f>AND(Шахм!AI25,"AAAAAE/bv5s=")</f>
        <v>#VALUE!</v>
      </c>
      <c r="FA4" t="e">
        <f>AND(Шахм!AJ25,"AAAAAE/bv5w=")</f>
        <v>#VALUE!</v>
      </c>
      <c r="FB4">
        <f>IF(Шахм!26:26,"AAAAAE/bv50=",0)</f>
        <v>0</v>
      </c>
      <c r="FC4" t="e">
        <f>AND(Шахм!A26,"AAAAAE/bv54=")</f>
        <v>#VALUE!</v>
      </c>
      <c r="FD4" t="e">
        <f>AND(Шахм!B26,"AAAAAE/bv58=")</f>
        <v>#VALUE!</v>
      </c>
      <c r="FE4" t="e">
        <f>AND(Шахм!C26,"AAAAAE/bv6A=")</f>
        <v>#VALUE!</v>
      </c>
      <c r="FF4" t="e">
        <f>AND(Шахм!D26,"AAAAAE/bv6E=")</f>
        <v>#VALUE!</v>
      </c>
      <c r="FG4" t="e">
        <f>AND(Шахм!E26,"AAAAAE/bv6I=")</f>
        <v>#VALUE!</v>
      </c>
      <c r="FH4" t="e">
        <f>AND(Шахм!F26,"AAAAAE/bv6M=")</f>
        <v>#VALUE!</v>
      </c>
      <c r="FI4" t="e">
        <f>AND(Шахм!G26,"AAAAAE/bv6Q=")</f>
        <v>#VALUE!</v>
      </c>
      <c r="FJ4" t="e">
        <f>AND(Шахм!H26,"AAAAAE/bv6U=")</f>
        <v>#VALUE!</v>
      </c>
      <c r="FK4" t="e">
        <f>AND(Шахм!I26,"AAAAAE/bv6Y=")</f>
        <v>#VALUE!</v>
      </c>
      <c r="FL4" t="e">
        <f>AND(Шахм!J26,"AAAAAE/bv6c=")</f>
        <v>#VALUE!</v>
      </c>
      <c r="FM4" t="e">
        <f>AND(Шахм!K26,"AAAAAE/bv6g=")</f>
        <v>#VALUE!</v>
      </c>
      <c r="FN4" t="e">
        <f>AND(Шахм!L26,"AAAAAE/bv6k=")</f>
        <v>#VALUE!</v>
      </c>
      <c r="FO4" t="e">
        <f>AND(Шахм!M26,"AAAAAE/bv6o=")</f>
        <v>#VALUE!</v>
      </c>
      <c r="FP4" t="e">
        <f>AND(Шахм!N26,"AAAAAE/bv6s=")</f>
        <v>#VALUE!</v>
      </c>
      <c r="FQ4" t="e">
        <f>AND(Шахм!O26,"AAAAAE/bv6w=")</f>
        <v>#VALUE!</v>
      </c>
      <c r="FR4" t="e">
        <f>AND(Шахм!P26,"AAAAAE/bv60=")</f>
        <v>#VALUE!</v>
      </c>
      <c r="FS4" t="e">
        <f>AND(Шахм!Q26,"AAAAAE/bv64=")</f>
        <v>#VALUE!</v>
      </c>
      <c r="FT4" t="e">
        <f>AND(Шахм!R26,"AAAAAE/bv68=")</f>
        <v>#VALUE!</v>
      </c>
      <c r="FU4" t="e">
        <f>AND(Шахм!S26,"AAAAAE/bv7A=")</f>
        <v>#VALUE!</v>
      </c>
      <c r="FV4" t="e">
        <f>AND(Шахм!T26,"AAAAAE/bv7E=")</f>
        <v>#VALUE!</v>
      </c>
      <c r="FW4" t="e">
        <f>AND(Шахм!U26,"AAAAAE/bv7I=")</f>
        <v>#VALUE!</v>
      </c>
      <c r="FX4" t="e">
        <f>AND(Шахм!V26,"AAAAAE/bv7M=")</f>
        <v>#VALUE!</v>
      </c>
      <c r="FY4" t="e">
        <f>AND(Шахм!W26,"AAAAAE/bv7Q=")</f>
        <v>#VALUE!</v>
      </c>
      <c r="FZ4" t="e">
        <f>AND(Шахм!X26,"AAAAAE/bv7U=")</f>
        <v>#VALUE!</v>
      </c>
      <c r="GA4" t="e">
        <f>AND(Шахм!Y26,"AAAAAE/bv7Y=")</f>
        <v>#VALUE!</v>
      </c>
      <c r="GB4" t="e">
        <f>AND(Шахм!Z26,"AAAAAE/bv7c=")</f>
        <v>#VALUE!</v>
      </c>
      <c r="GC4" t="e">
        <f>AND(Шахм!AA26,"AAAAAE/bv7g=")</f>
        <v>#VALUE!</v>
      </c>
      <c r="GD4" t="e">
        <f>AND(Шахм!AB26,"AAAAAE/bv7k=")</f>
        <v>#VALUE!</v>
      </c>
      <c r="GE4" t="e">
        <f>AND(Шахм!AC26,"AAAAAE/bv7o=")</f>
        <v>#VALUE!</v>
      </c>
      <c r="GF4" t="e">
        <f>AND(Шахм!AD26,"AAAAAE/bv7s=")</f>
        <v>#VALUE!</v>
      </c>
      <c r="GG4" t="e">
        <f>AND(Шахм!AE26,"AAAAAE/bv7w=")</f>
        <v>#VALUE!</v>
      </c>
      <c r="GH4" t="e">
        <f>AND(Шахм!AF26,"AAAAAE/bv70=")</f>
        <v>#VALUE!</v>
      </c>
      <c r="GI4" t="e">
        <f>AND(Шахм!AG26,"AAAAAE/bv74=")</f>
        <v>#VALUE!</v>
      </c>
      <c r="GJ4" t="e">
        <f>AND(Шахм!AH26,"AAAAAE/bv78=")</f>
        <v>#VALUE!</v>
      </c>
      <c r="GK4" t="e">
        <f>AND(Шахм!AI26,"AAAAAE/bv8A=")</f>
        <v>#VALUE!</v>
      </c>
      <c r="GL4" t="e">
        <f>AND(Шахм!AJ26,"AAAAAE/bv8E=")</f>
        <v>#VALUE!</v>
      </c>
      <c r="GM4">
        <f>IF(Шахм!27:27,"AAAAAE/bv8I=",0)</f>
        <v>0</v>
      </c>
      <c r="GN4" t="e">
        <f>AND(Шахм!A27,"AAAAAE/bv8M=")</f>
        <v>#VALUE!</v>
      </c>
      <c r="GO4" t="e">
        <f>AND(Шахм!B27,"AAAAAE/bv8Q=")</f>
        <v>#VALUE!</v>
      </c>
      <c r="GP4" t="e">
        <f>AND(Шахм!C27,"AAAAAE/bv8U=")</f>
        <v>#VALUE!</v>
      </c>
      <c r="GQ4" t="e">
        <f>AND(Шахм!D27,"AAAAAE/bv8Y=")</f>
        <v>#VALUE!</v>
      </c>
      <c r="GR4" t="e">
        <f>AND(Шахм!E27,"AAAAAE/bv8c=")</f>
        <v>#VALUE!</v>
      </c>
      <c r="GS4" t="e">
        <f>AND(Шахм!F27,"AAAAAE/bv8g=")</f>
        <v>#VALUE!</v>
      </c>
      <c r="GT4" t="e">
        <f>AND(Шахм!G27,"AAAAAE/bv8k=")</f>
        <v>#VALUE!</v>
      </c>
      <c r="GU4" t="e">
        <f>AND(Шахм!H27,"AAAAAE/bv8o=")</f>
        <v>#VALUE!</v>
      </c>
      <c r="GV4" t="e">
        <f>AND(Шахм!I27,"AAAAAE/bv8s=")</f>
        <v>#VALUE!</v>
      </c>
      <c r="GW4" t="e">
        <f>AND(Шахм!J27,"AAAAAE/bv8w=")</f>
        <v>#VALUE!</v>
      </c>
      <c r="GX4" t="e">
        <f>AND(Шахм!K27,"AAAAAE/bv80=")</f>
        <v>#VALUE!</v>
      </c>
      <c r="GY4" t="e">
        <f>AND(Шахм!L27,"AAAAAE/bv84=")</f>
        <v>#VALUE!</v>
      </c>
      <c r="GZ4" t="e">
        <f>AND(Шахм!M27,"AAAAAE/bv88=")</f>
        <v>#VALUE!</v>
      </c>
      <c r="HA4" t="e">
        <f>AND(Шахм!N27,"AAAAAE/bv9A=")</f>
        <v>#VALUE!</v>
      </c>
      <c r="HB4" t="e">
        <f>AND(Шахм!O27,"AAAAAE/bv9E=")</f>
        <v>#VALUE!</v>
      </c>
      <c r="HC4" t="e">
        <f>AND(Шахм!P27,"AAAAAE/bv9I=")</f>
        <v>#VALUE!</v>
      </c>
      <c r="HD4" t="e">
        <f>AND(Шахм!Q27,"AAAAAE/bv9M=")</f>
        <v>#VALUE!</v>
      </c>
      <c r="HE4" t="e">
        <f>AND(Шахм!R27,"AAAAAE/bv9Q=")</f>
        <v>#VALUE!</v>
      </c>
      <c r="HF4" t="e">
        <f>AND(Шахм!S27,"AAAAAE/bv9U=")</f>
        <v>#VALUE!</v>
      </c>
      <c r="HG4" t="e">
        <f>AND(Шахм!T27,"AAAAAE/bv9Y=")</f>
        <v>#VALUE!</v>
      </c>
      <c r="HH4" t="e">
        <f>AND(Шахм!U27,"AAAAAE/bv9c=")</f>
        <v>#VALUE!</v>
      </c>
      <c r="HI4" t="e">
        <f>AND(Шахм!V27,"AAAAAE/bv9g=")</f>
        <v>#VALUE!</v>
      </c>
      <c r="HJ4" t="e">
        <f>AND(Шахм!W27,"AAAAAE/bv9k=")</f>
        <v>#VALUE!</v>
      </c>
      <c r="HK4" t="e">
        <f>AND(Шахм!X27,"AAAAAE/bv9o=")</f>
        <v>#VALUE!</v>
      </c>
      <c r="HL4" t="e">
        <f>AND(Шахм!Y27,"AAAAAE/bv9s=")</f>
        <v>#VALUE!</v>
      </c>
      <c r="HM4" t="e">
        <f>AND(Шахм!Z27,"AAAAAE/bv9w=")</f>
        <v>#VALUE!</v>
      </c>
      <c r="HN4" t="e">
        <f>AND(Шахм!AA27,"AAAAAE/bv90=")</f>
        <v>#VALUE!</v>
      </c>
      <c r="HO4" t="e">
        <f>AND(Шахм!AB27,"AAAAAE/bv94=")</f>
        <v>#VALUE!</v>
      </c>
      <c r="HP4" t="e">
        <f>AND(Шахм!AC27,"AAAAAE/bv98=")</f>
        <v>#VALUE!</v>
      </c>
      <c r="HQ4" t="e">
        <f>AND(Шахм!AD27,"AAAAAE/bv+A=")</f>
        <v>#VALUE!</v>
      </c>
      <c r="HR4" t="e">
        <f>AND(Шахм!AE27,"AAAAAE/bv+E=")</f>
        <v>#VALUE!</v>
      </c>
      <c r="HS4" t="e">
        <f>AND(Шахм!AF27,"AAAAAE/bv+I=")</f>
        <v>#VALUE!</v>
      </c>
      <c r="HT4" t="e">
        <f>AND(Шахм!AG27,"AAAAAE/bv+M=")</f>
        <v>#VALUE!</v>
      </c>
      <c r="HU4" t="e">
        <f>AND(Шахм!AH27,"AAAAAE/bv+Q=")</f>
        <v>#VALUE!</v>
      </c>
      <c r="HV4" t="e">
        <f>AND(Шахм!AI27,"AAAAAE/bv+U=")</f>
        <v>#VALUE!</v>
      </c>
      <c r="HW4" t="e">
        <f>AND(Шахм!AJ27,"AAAAAE/bv+Y=")</f>
        <v>#VALUE!</v>
      </c>
      <c r="HX4">
        <f>IF(Шахм!28:28,"AAAAAE/bv+c=",0)</f>
        <v>0</v>
      </c>
      <c r="HY4" t="e">
        <f>AND(Шахм!A28,"AAAAAE/bv+g=")</f>
        <v>#VALUE!</v>
      </c>
      <c r="HZ4" t="e">
        <f>AND(Шахм!B28,"AAAAAE/bv+k=")</f>
        <v>#VALUE!</v>
      </c>
      <c r="IA4" t="e">
        <f>AND(Шахм!C28,"AAAAAE/bv+o=")</f>
        <v>#VALUE!</v>
      </c>
      <c r="IB4" t="e">
        <f>AND(Шахм!D28,"AAAAAE/bv+s=")</f>
        <v>#VALUE!</v>
      </c>
      <c r="IC4" t="e">
        <f>AND(Шахм!E28,"AAAAAE/bv+w=")</f>
        <v>#VALUE!</v>
      </c>
      <c r="ID4" t="e">
        <f>AND(Шахм!F28,"AAAAAE/bv+0=")</f>
        <v>#VALUE!</v>
      </c>
      <c r="IE4" t="e">
        <f>AND(Шахм!G28,"AAAAAE/bv+4=")</f>
        <v>#VALUE!</v>
      </c>
      <c r="IF4" t="e">
        <f>AND(Шахм!H28,"AAAAAE/bv+8=")</f>
        <v>#VALUE!</v>
      </c>
      <c r="IG4" t="e">
        <f>AND(Шахм!I28,"AAAAAE/bv/A=")</f>
        <v>#VALUE!</v>
      </c>
      <c r="IH4" t="e">
        <f>AND(Шахм!J28,"AAAAAE/bv/E=")</f>
        <v>#VALUE!</v>
      </c>
      <c r="II4" t="e">
        <f>AND(Шахм!K28,"AAAAAE/bv/I=")</f>
        <v>#VALUE!</v>
      </c>
      <c r="IJ4" t="e">
        <f>AND(Шахм!L28,"AAAAAE/bv/M=")</f>
        <v>#VALUE!</v>
      </c>
      <c r="IK4" t="e">
        <f>AND(Шахм!M28,"AAAAAE/bv/Q=")</f>
        <v>#VALUE!</v>
      </c>
      <c r="IL4" t="e">
        <f>AND(Шахм!N28,"AAAAAE/bv/U=")</f>
        <v>#VALUE!</v>
      </c>
      <c r="IM4" t="e">
        <f>AND(Шахм!O28,"AAAAAE/bv/Y=")</f>
        <v>#VALUE!</v>
      </c>
      <c r="IN4" t="e">
        <f>AND(Шахм!P28,"AAAAAE/bv/c=")</f>
        <v>#VALUE!</v>
      </c>
      <c r="IO4" t="e">
        <f>AND(Шахм!Q28,"AAAAAE/bv/g=")</f>
        <v>#VALUE!</v>
      </c>
      <c r="IP4" t="e">
        <f>AND(Шахм!R28,"AAAAAE/bv/k=")</f>
        <v>#VALUE!</v>
      </c>
      <c r="IQ4" t="e">
        <f>AND(Шахм!S28,"AAAAAE/bv/o=")</f>
        <v>#VALUE!</v>
      </c>
      <c r="IR4" t="e">
        <f>AND(Шахм!T28,"AAAAAE/bv/s=")</f>
        <v>#VALUE!</v>
      </c>
      <c r="IS4" t="e">
        <f>AND(Шахм!U28,"AAAAAE/bv/w=")</f>
        <v>#VALUE!</v>
      </c>
      <c r="IT4" t="e">
        <f>AND(Шахм!V28,"AAAAAE/bv/0=")</f>
        <v>#VALUE!</v>
      </c>
      <c r="IU4" t="e">
        <f>AND(Шахм!W28,"AAAAAE/bv/4=")</f>
        <v>#VALUE!</v>
      </c>
      <c r="IV4" t="e">
        <f>AND(Шахм!X28,"AAAAAE/bv/8=")</f>
        <v>#VALUE!</v>
      </c>
    </row>
    <row r="5" spans="1:256">
      <c r="A5" t="e">
        <f>AND(Шахм!Y28,"AAAAADX9/wA=")</f>
        <v>#VALUE!</v>
      </c>
      <c r="B5" t="e">
        <f>AND(Шахм!Z28,"AAAAADX9/wE=")</f>
        <v>#VALUE!</v>
      </c>
      <c r="C5" t="e">
        <f>AND(Шахм!AA28,"AAAAADX9/wI=")</f>
        <v>#VALUE!</v>
      </c>
      <c r="D5" t="e">
        <f>AND(Шахм!AB28,"AAAAADX9/wM=")</f>
        <v>#VALUE!</v>
      </c>
      <c r="E5" t="e">
        <f>AND(Шахм!AC28,"AAAAADX9/wQ=")</f>
        <v>#VALUE!</v>
      </c>
      <c r="F5" t="e">
        <f>AND(Шахм!AD28,"AAAAADX9/wU=")</f>
        <v>#VALUE!</v>
      </c>
      <c r="G5" t="e">
        <f>AND(Шахм!AE28,"AAAAADX9/wY=")</f>
        <v>#VALUE!</v>
      </c>
      <c r="H5" t="e">
        <f>AND(Шахм!AF28,"AAAAADX9/wc=")</f>
        <v>#VALUE!</v>
      </c>
      <c r="I5" t="e">
        <f>AND(Шахм!AG28,"AAAAADX9/wg=")</f>
        <v>#VALUE!</v>
      </c>
      <c r="J5" t="e">
        <f>AND(Шахм!AH28,"AAAAADX9/wk=")</f>
        <v>#VALUE!</v>
      </c>
      <c r="K5" t="e">
        <f>AND(Шахм!AI28,"AAAAADX9/wo=")</f>
        <v>#VALUE!</v>
      </c>
      <c r="L5" t="e">
        <f>AND(Шахм!AJ28,"AAAAADX9/ws=")</f>
        <v>#VALUE!</v>
      </c>
      <c r="M5" t="str">
        <f>IF(Шахм!29:29,"AAAAADX9/ww=",0)</f>
        <v>AAAAADX9/ww=</v>
      </c>
      <c r="N5" t="e">
        <f>AND(Шахм!A29,"AAAAADX9/w0=")</f>
        <v>#VALUE!</v>
      </c>
      <c r="O5" t="e">
        <f>AND(Шахм!B29,"AAAAADX9/w4=")</f>
        <v>#VALUE!</v>
      </c>
      <c r="P5" t="e">
        <f>AND(Шахм!C29,"AAAAADX9/w8=")</f>
        <v>#VALUE!</v>
      </c>
      <c r="Q5" t="e">
        <f>AND(Шахм!D29,"AAAAADX9/xA=")</f>
        <v>#VALUE!</v>
      </c>
      <c r="R5" t="e">
        <f>AND(Шахм!E29,"AAAAADX9/xE=")</f>
        <v>#VALUE!</v>
      </c>
      <c r="S5" t="e">
        <f>AND(Шахм!F29,"AAAAADX9/xI=")</f>
        <v>#VALUE!</v>
      </c>
      <c r="T5" t="e">
        <f>AND(Шахм!G29,"AAAAADX9/xM=")</f>
        <v>#VALUE!</v>
      </c>
      <c r="U5" t="e">
        <f>AND(Шахм!H29,"AAAAADX9/xQ=")</f>
        <v>#VALUE!</v>
      </c>
      <c r="V5" t="e">
        <f>AND(Шахм!I29,"AAAAADX9/xU=")</f>
        <v>#VALUE!</v>
      </c>
      <c r="W5" t="e">
        <f>AND(Шахм!J29,"AAAAADX9/xY=")</f>
        <v>#VALUE!</v>
      </c>
      <c r="X5" t="e">
        <f>AND(Шахм!K29,"AAAAADX9/xc=")</f>
        <v>#VALUE!</v>
      </c>
      <c r="Y5" t="e">
        <f>AND(Шахм!L29,"AAAAADX9/xg=")</f>
        <v>#VALUE!</v>
      </c>
      <c r="Z5" t="e">
        <f>AND(Шахм!M29,"AAAAADX9/xk=")</f>
        <v>#VALUE!</v>
      </c>
      <c r="AA5" t="e">
        <f>AND(Шахм!N29,"AAAAADX9/xo=")</f>
        <v>#VALUE!</v>
      </c>
      <c r="AB5" t="e">
        <f>AND(Шахм!O29,"AAAAADX9/xs=")</f>
        <v>#VALUE!</v>
      </c>
      <c r="AC5" t="e">
        <f>AND(Шахм!P29,"AAAAADX9/xw=")</f>
        <v>#VALUE!</v>
      </c>
      <c r="AD5" t="e">
        <f>AND(Шахм!Q29,"AAAAADX9/x0=")</f>
        <v>#VALUE!</v>
      </c>
      <c r="AE5" t="e">
        <f>AND(Шахм!R29,"AAAAADX9/x4=")</f>
        <v>#VALUE!</v>
      </c>
      <c r="AF5" t="e">
        <f>AND(Шахм!S29,"AAAAADX9/x8=")</f>
        <v>#VALUE!</v>
      </c>
      <c r="AG5" t="e">
        <f>AND(Шахм!T29,"AAAAADX9/yA=")</f>
        <v>#VALUE!</v>
      </c>
      <c r="AH5" t="e">
        <f>AND(Шахм!U29,"AAAAADX9/yE=")</f>
        <v>#VALUE!</v>
      </c>
      <c r="AI5" t="e">
        <f>AND(Шахм!V29,"AAAAADX9/yI=")</f>
        <v>#VALUE!</v>
      </c>
      <c r="AJ5" t="e">
        <f>AND(Шахм!W29,"AAAAADX9/yM=")</f>
        <v>#VALUE!</v>
      </c>
      <c r="AK5" t="e">
        <f>AND(Шахм!X29,"AAAAADX9/yQ=")</f>
        <v>#VALUE!</v>
      </c>
      <c r="AL5" t="e">
        <f>AND(Шахм!Y29,"AAAAADX9/yU=")</f>
        <v>#VALUE!</v>
      </c>
      <c r="AM5" t="e">
        <f>AND(Шахм!Z29,"AAAAADX9/yY=")</f>
        <v>#VALUE!</v>
      </c>
      <c r="AN5" t="e">
        <f>AND(Шахм!AA29,"AAAAADX9/yc=")</f>
        <v>#VALUE!</v>
      </c>
      <c r="AO5" t="e">
        <f>AND(Шахм!AB29,"AAAAADX9/yg=")</f>
        <v>#VALUE!</v>
      </c>
      <c r="AP5" t="e">
        <f>AND(Шахм!AC29,"AAAAADX9/yk=")</f>
        <v>#VALUE!</v>
      </c>
      <c r="AQ5" t="e">
        <f>AND(Шахм!AD29,"AAAAADX9/yo=")</f>
        <v>#VALUE!</v>
      </c>
      <c r="AR5" t="e">
        <f>AND(Шахм!AE29,"AAAAADX9/ys=")</f>
        <v>#VALUE!</v>
      </c>
      <c r="AS5" t="e">
        <f>AND(Шахм!AF29,"AAAAADX9/yw=")</f>
        <v>#VALUE!</v>
      </c>
      <c r="AT5" t="e">
        <f>AND(Шахм!AG29,"AAAAADX9/y0=")</f>
        <v>#VALUE!</v>
      </c>
      <c r="AU5" t="e">
        <f>AND(Шахм!AH29,"AAAAADX9/y4=")</f>
        <v>#VALUE!</v>
      </c>
      <c r="AV5" t="e">
        <f>AND(Шахм!AI29,"AAAAADX9/y8=")</f>
        <v>#VALUE!</v>
      </c>
      <c r="AW5" t="e">
        <f>AND(Шахм!AJ29,"AAAAADX9/zA=")</f>
        <v>#VALUE!</v>
      </c>
      <c r="AX5">
        <f>IF(Шахм!30:30,"AAAAADX9/zE=",0)</f>
        <v>0</v>
      </c>
      <c r="AY5" t="e">
        <f>AND(Шахм!A30,"AAAAADX9/zI=")</f>
        <v>#VALUE!</v>
      </c>
      <c r="AZ5" t="e">
        <f>AND(Шахм!B30,"AAAAADX9/zM=")</f>
        <v>#VALUE!</v>
      </c>
      <c r="BA5" t="e">
        <f>AND(Шахм!C30,"AAAAADX9/zQ=")</f>
        <v>#VALUE!</v>
      </c>
      <c r="BB5" t="e">
        <f>AND(Шахм!D30,"AAAAADX9/zU=")</f>
        <v>#VALUE!</v>
      </c>
      <c r="BC5" t="e">
        <f>AND(Шахм!E30,"AAAAADX9/zY=")</f>
        <v>#VALUE!</v>
      </c>
      <c r="BD5" t="e">
        <f>AND(Шахм!F30,"AAAAADX9/zc=")</f>
        <v>#VALUE!</v>
      </c>
      <c r="BE5" t="e">
        <f>AND(Шахм!G30,"AAAAADX9/zg=")</f>
        <v>#VALUE!</v>
      </c>
      <c r="BF5" t="e">
        <f>AND(Шахм!H30,"AAAAADX9/zk=")</f>
        <v>#VALUE!</v>
      </c>
      <c r="BG5" t="e">
        <f>AND(Шахм!I30,"AAAAADX9/zo=")</f>
        <v>#VALUE!</v>
      </c>
      <c r="BH5" t="e">
        <f>AND(Шахм!J30,"AAAAADX9/zs=")</f>
        <v>#VALUE!</v>
      </c>
      <c r="BI5" t="e">
        <f>AND(Шахм!K30,"AAAAADX9/zw=")</f>
        <v>#VALUE!</v>
      </c>
      <c r="BJ5" t="e">
        <f>AND(Шахм!L30,"AAAAADX9/z0=")</f>
        <v>#VALUE!</v>
      </c>
      <c r="BK5" t="e">
        <f>AND(Шахм!M30,"AAAAADX9/z4=")</f>
        <v>#VALUE!</v>
      </c>
      <c r="BL5" t="e">
        <f>AND(Шахм!N30,"AAAAADX9/z8=")</f>
        <v>#VALUE!</v>
      </c>
      <c r="BM5" t="e">
        <f>AND(Шахм!O30,"AAAAADX9/0A=")</f>
        <v>#VALUE!</v>
      </c>
      <c r="BN5" t="e">
        <f>AND(Шахм!P30,"AAAAADX9/0E=")</f>
        <v>#VALUE!</v>
      </c>
      <c r="BO5" t="e">
        <f>AND(Шахм!Q30,"AAAAADX9/0I=")</f>
        <v>#VALUE!</v>
      </c>
      <c r="BP5" t="e">
        <f>AND(Шахм!R30,"AAAAADX9/0M=")</f>
        <v>#VALUE!</v>
      </c>
      <c r="BQ5" t="e">
        <f>AND(Шахм!S30,"AAAAADX9/0Q=")</f>
        <v>#VALUE!</v>
      </c>
      <c r="BR5" t="e">
        <f>AND(Шахм!T30,"AAAAADX9/0U=")</f>
        <v>#VALUE!</v>
      </c>
      <c r="BS5" t="e">
        <f>AND(Шахм!U30,"AAAAADX9/0Y=")</f>
        <v>#VALUE!</v>
      </c>
      <c r="BT5" t="e">
        <f>AND(Шахм!V30,"AAAAADX9/0c=")</f>
        <v>#VALUE!</v>
      </c>
      <c r="BU5" t="e">
        <f>AND(Шахм!W30,"AAAAADX9/0g=")</f>
        <v>#VALUE!</v>
      </c>
      <c r="BV5" t="e">
        <f>AND(Шахм!X30,"AAAAADX9/0k=")</f>
        <v>#VALUE!</v>
      </c>
      <c r="BW5" t="e">
        <f>AND(Шахм!Y30,"AAAAADX9/0o=")</f>
        <v>#VALUE!</v>
      </c>
      <c r="BX5" t="e">
        <f>AND(Шахм!Z30,"AAAAADX9/0s=")</f>
        <v>#VALUE!</v>
      </c>
      <c r="BY5" t="e">
        <f>AND(Шахм!AA30,"AAAAADX9/0w=")</f>
        <v>#VALUE!</v>
      </c>
      <c r="BZ5" t="e">
        <f>AND(Шахм!AB30,"AAAAADX9/00=")</f>
        <v>#VALUE!</v>
      </c>
      <c r="CA5" t="e">
        <f>AND(Шахм!AC30,"AAAAADX9/04=")</f>
        <v>#VALUE!</v>
      </c>
      <c r="CB5" t="e">
        <f>AND(Шахм!AD30,"AAAAADX9/08=")</f>
        <v>#VALUE!</v>
      </c>
      <c r="CC5" t="e">
        <f>AND(Шахм!AE30,"AAAAADX9/1A=")</f>
        <v>#VALUE!</v>
      </c>
      <c r="CD5" t="e">
        <f>AND(Шахм!AF30,"AAAAADX9/1E=")</f>
        <v>#VALUE!</v>
      </c>
      <c r="CE5" t="e">
        <f>AND(Шахм!AG30,"AAAAADX9/1I=")</f>
        <v>#VALUE!</v>
      </c>
      <c r="CF5" t="e">
        <f>AND(Шахм!AH30,"AAAAADX9/1M=")</f>
        <v>#VALUE!</v>
      </c>
      <c r="CG5" t="e">
        <f>AND(Шахм!AI30,"AAAAADX9/1Q=")</f>
        <v>#VALUE!</v>
      </c>
      <c r="CH5" t="e">
        <f>AND(Шахм!AJ30,"AAAAADX9/1U=")</f>
        <v>#VALUE!</v>
      </c>
      <c r="CI5">
        <f>IF(Шахм!31:31,"AAAAADX9/1Y=",0)</f>
        <v>0</v>
      </c>
      <c r="CJ5" t="e">
        <f>AND(Шахм!A31,"AAAAADX9/1c=")</f>
        <v>#VALUE!</v>
      </c>
      <c r="CK5" t="e">
        <f>AND(Шахм!B31,"AAAAADX9/1g=")</f>
        <v>#VALUE!</v>
      </c>
      <c r="CL5" t="e">
        <f>AND(Шахм!C31,"AAAAADX9/1k=")</f>
        <v>#VALUE!</v>
      </c>
      <c r="CM5" t="e">
        <f>AND(Шахм!D31,"AAAAADX9/1o=")</f>
        <v>#VALUE!</v>
      </c>
      <c r="CN5" t="e">
        <f>AND(Шахм!E31,"AAAAADX9/1s=")</f>
        <v>#VALUE!</v>
      </c>
      <c r="CO5" t="e">
        <f>AND(Шахм!F31,"AAAAADX9/1w=")</f>
        <v>#VALUE!</v>
      </c>
      <c r="CP5" t="e">
        <f>AND(Шахм!G31,"AAAAADX9/10=")</f>
        <v>#VALUE!</v>
      </c>
      <c r="CQ5" t="e">
        <f>AND(Шахм!H31,"AAAAADX9/14=")</f>
        <v>#VALUE!</v>
      </c>
      <c r="CR5" t="e">
        <f>AND(Шахм!I31,"AAAAADX9/18=")</f>
        <v>#VALUE!</v>
      </c>
      <c r="CS5" t="e">
        <f>AND(Шахм!J31,"AAAAADX9/2A=")</f>
        <v>#VALUE!</v>
      </c>
      <c r="CT5" t="e">
        <f>AND(Шахм!K31,"AAAAADX9/2E=")</f>
        <v>#VALUE!</v>
      </c>
      <c r="CU5" t="e">
        <f>AND(Шахм!L31,"AAAAADX9/2I=")</f>
        <v>#VALUE!</v>
      </c>
      <c r="CV5" t="e">
        <f>AND(Шахм!M31,"AAAAADX9/2M=")</f>
        <v>#VALUE!</v>
      </c>
      <c r="CW5" t="e">
        <f>AND(Шахм!N31,"AAAAADX9/2Q=")</f>
        <v>#VALUE!</v>
      </c>
      <c r="CX5" t="e">
        <f>AND(Шахм!O31,"AAAAADX9/2U=")</f>
        <v>#VALUE!</v>
      </c>
      <c r="CY5" t="e">
        <f>AND(Шахм!P31,"AAAAADX9/2Y=")</f>
        <v>#VALUE!</v>
      </c>
      <c r="CZ5" t="e">
        <f>AND(Шахм!Q31,"AAAAADX9/2c=")</f>
        <v>#VALUE!</v>
      </c>
      <c r="DA5" t="e">
        <f>AND(Шахм!R31,"AAAAADX9/2g=")</f>
        <v>#VALUE!</v>
      </c>
      <c r="DB5" t="e">
        <f>AND(Шахм!S31,"AAAAADX9/2k=")</f>
        <v>#VALUE!</v>
      </c>
      <c r="DC5" t="e">
        <f>AND(Шахм!T31,"AAAAADX9/2o=")</f>
        <v>#VALUE!</v>
      </c>
      <c r="DD5" t="e">
        <f>AND(Шахм!U31,"AAAAADX9/2s=")</f>
        <v>#VALUE!</v>
      </c>
      <c r="DE5" t="e">
        <f>AND(Шахм!V31,"AAAAADX9/2w=")</f>
        <v>#VALUE!</v>
      </c>
      <c r="DF5" t="e">
        <f>AND(Шахм!W31,"AAAAADX9/20=")</f>
        <v>#VALUE!</v>
      </c>
      <c r="DG5" t="e">
        <f>AND(Шахм!X31,"AAAAADX9/24=")</f>
        <v>#VALUE!</v>
      </c>
      <c r="DH5" t="e">
        <f>AND(Шахм!Y31,"AAAAADX9/28=")</f>
        <v>#VALUE!</v>
      </c>
      <c r="DI5" t="e">
        <f>AND(Шахм!Z31,"AAAAADX9/3A=")</f>
        <v>#VALUE!</v>
      </c>
      <c r="DJ5" t="e">
        <f>AND(Шахм!AA31,"AAAAADX9/3E=")</f>
        <v>#VALUE!</v>
      </c>
      <c r="DK5" t="e">
        <f>AND(Шахм!AB31,"AAAAADX9/3I=")</f>
        <v>#VALUE!</v>
      </c>
      <c r="DL5" t="e">
        <f>AND(Шахм!AC31,"AAAAADX9/3M=")</f>
        <v>#VALUE!</v>
      </c>
      <c r="DM5" t="e">
        <f>AND(Шахм!AD31,"AAAAADX9/3Q=")</f>
        <v>#VALUE!</v>
      </c>
      <c r="DN5" t="e">
        <f>AND(Шахм!AE31,"AAAAADX9/3U=")</f>
        <v>#VALUE!</v>
      </c>
      <c r="DO5" t="e">
        <f>AND(Шахм!AF31,"AAAAADX9/3Y=")</f>
        <v>#VALUE!</v>
      </c>
      <c r="DP5" t="e">
        <f>AND(Шахм!AG31,"AAAAADX9/3c=")</f>
        <v>#VALUE!</v>
      </c>
      <c r="DQ5" t="e">
        <f>AND(Шахм!AH31,"AAAAADX9/3g=")</f>
        <v>#VALUE!</v>
      </c>
      <c r="DR5" t="e">
        <f>AND(Шахм!AI31,"AAAAADX9/3k=")</f>
        <v>#VALUE!</v>
      </c>
      <c r="DS5" t="e">
        <f>AND(Шахм!AJ31,"AAAAADX9/3o=")</f>
        <v>#VALUE!</v>
      </c>
      <c r="DT5">
        <f>IF(Шахм!32:32,"AAAAADX9/3s=",0)</f>
        <v>0</v>
      </c>
      <c r="DU5" t="e">
        <f>AND(Шахм!A32,"AAAAADX9/3w=")</f>
        <v>#VALUE!</v>
      </c>
      <c r="DV5" t="e">
        <f>AND(Шахм!B32,"AAAAADX9/30=")</f>
        <v>#VALUE!</v>
      </c>
      <c r="DW5" t="e">
        <f>AND(Шахм!C32,"AAAAADX9/34=")</f>
        <v>#VALUE!</v>
      </c>
      <c r="DX5" t="e">
        <f>AND(Шахм!D32,"AAAAADX9/38=")</f>
        <v>#VALUE!</v>
      </c>
      <c r="DY5" t="e">
        <f>AND(Шахм!E32,"AAAAADX9/4A=")</f>
        <v>#VALUE!</v>
      </c>
      <c r="DZ5" t="e">
        <f>AND(Шахм!F32,"AAAAADX9/4E=")</f>
        <v>#VALUE!</v>
      </c>
      <c r="EA5" t="e">
        <f>AND(Шахм!G32,"AAAAADX9/4I=")</f>
        <v>#VALUE!</v>
      </c>
      <c r="EB5" t="e">
        <f>AND(Шахм!H32,"AAAAADX9/4M=")</f>
        <v>#VALUE!</v>
      </c>
      <c r="EC5" t="e">
        <f>AND(Шахм!I32,"AAAAADX9/4Q=")</f>
        <v>#VALUE!</v>
      </c>
      <c r="ED5" t="e">
        <f>AND(Шахм!J32,"AAAAADX9/4U=")</f>
        <v>#VALUE!</v>
      </c>
      <c r="EE5" t="e">
        <f>AND(Шахм!K32,"AAAAADX9/4Y=")</f>
        <v>#VALUE!</v>
      </c>
      <c r="EF5" t="e">
        <f>AND(Шахм!L32,"AAAAADX9/4c=")</f>
        <v>#VALUE!</v>
      </c>
      <c r="EG5" t="e">
        <f>AND(Шахм!M32,"AAAAADX9/4g=")</f>
        <v>#VALUE!</v>
      </c>
      <c r="EH5" t="e">
        <f>AND(Шахм!N32,"AAAAADX9/4k=")</f>
        <v>#VALUE!</v>
      </c>
      <c r="EI5" t="e">
        <f>AND(Шахм!O32,"AAAAADX9/4o=")</f>
        <v>#VALUE!</v>
      </c>
      <c r="EJ5" t="e">
        <f>AND(Шахм!P32,"AAAAADX9/4s=")</f>
        <v>#VALUE!</v>
      </c>
      <c r="EK5" t="e">
        <f>AND(Шахм!Q32,"AAAAADX9/4w=")</f>
        <v>#VALUE!</v>
      </c>
      <c r="EL5" t="e">
        <f>AND(Шахм!R32,"AAAAADX9/40=")</f>
        <v>#VALUE!</v>
      </c>
      <c r="EM5" t="e">
        <f>AND(Шахм!S32,"AAAAADX9/44=")</f>
        <v>#VALUE!</v>
      </c>
      <c r="EN5" t="e">
        <f>AND(Шахм!T32,"AAAAADX9/48=")</f>
        <v>#VALUE!</v>
      </c>
      <c r="EO5" t="e">
        <f>AND(Шахм!U32,"AAAAADX9/5A=")</f>
        <v>#VALUE!</v>
      </c>
      <c r="EP5" t="e">
        <f>AND(Шахм!V32,"AAAAADX9/5E=")</f>
        <v>#VALUE!</v>
      </c>
      <c r="EQ5" t="e">
        <f>AND(Шахм!W32,"AAAAADX9/5I=")</f>
        <v>#VALUE!</v>
      </c>
      <c r="ER5" t="e">
        <f>AND(Шахм!X32,"AAAAADX9/5M=")</f>
        <v>#VALUE!</v>
      </c>
      <c r="ES5" t="e">
        <f>AND(Шахм!Y32,"AAAAADX9/5Q=")</f>
        <v>#VALUE!</v>
      </c>
      <c r="ET5" t="e">
        <f>AND(Шахм!Z32,"AAAAADX9/5U=")</f>
        <v>#VALUE!</v>
      </c>
      <c r="EU5" t="e">
        <f>AND(Шахм!AA32,"AAAAADX9/5Y=")</f>
        <v>#VALUE!</v>
      </c>
      <c r="EV5" t="e">
        <f>AND(Шахм!AB32,"AAAAADX9/5c=")</f>
        <v>#VALUE!</v>
      </c>
      <c r="EW5" t="e">
        <f>AND(Шахм!AC32,"AAAAADX9/5g=")</f>
        <v>#VALUE!</v>
      </c>
      <c r="EX5" t="e">
        <f>AND(Шахм!AD32,"AAAAADX9/5k=")</f>
        <v>#VALUE!</v>
      </c>
      <c r="EY5" t="e">
        <f>AND(Шахм!AE32,"AAAAADX9/5o=")</f>
        <v>#VALUE!</v>
      </c>
      <c r="EZ5" t="e">
        <f>AND(Шахм!AF32,"AAAAADX9/5s=")</f>
        <v>#VALUE!</v>
      </c>
      <c r="FA5" t="e">
        <f>AND(Шахм!AG32,"AAAAADX9/5w=")</f>
        <v>#VALUE!</v>
      </c>
      <c r="FB5" t="e">
        <f>AND(Шахм!AH32,"AAAAADX9/50=")</f>
        <v>#VALUE!</v>
      </c>
      <c r="FC5" t="e">
        <f>AND(Шахм!AI32,"AAAAADX9/54=")</f>
        <v>#VALUE!</v>
      </c>
      <c r="FD5" t="e">
        <f>AND(Шахм!AJ32,"AAAAADX9/58=")</f>
        <v>#VALUE!</v>
      </c>
      <c r="FE5">
        <f>IF(Шахм!33:33,"AAAAADX9/6A=",0)</f>
        <v>0</v>
      </c>
      <c r="FF5" t="e">
        <f>AND(Шахм!A33,"AAAAADX9/6E=")</f>
        <v>#VALUE!</v>
      </c>
      <c r="FG5" t="e">
        <f>AND(Шахм!B33,"AAAAADX9/6I=")</f>
        <v>#VALUE!</v>
      </c>
      <c r="FH5" t="e">
        <f>AND(Шахм!C33,"AAAAADX9/6M=")</f>
        <v>#VALUE!</v>
      </c>
      <c r="FI5" t="e">
        <f>AND(Шахм!D33,"AAAAADX9/6Q=")</f>
        <v>#VALUE!</v>
      </c>
      <c r="FJ5" t="e">
        <f>AND(Шахм!E33,"AAAAADX9/6U=")</f>
        <v>#VALUE!</v>
      </c>
      <c r="FK5" t="e">
        <f>AND(Шахм!F33,"AAAAADX9/6Y=")</f>
        <v>#VALUE!</v>
      </c>
      <c r="FL5" t="e">
        <f>AND(Шахм!G33,"AAAAADX9/6c=")</f>
        <v>#VALUE!</v>
      </c>
      <c r="FM5" t="e">
        <f>AND(Шахм!H33,"AAAAADX9/6g=")</f>
        <v>#VALUE!</v>
      </c>
      <c r="FN5" t="e">
        <f>AND(Шахм!I33,"AAAAADX9/6k=")</f>
        <v>#VALUE!</v>
      </c>
      <c r="FO5" t="e">
        <f>AND(Шахм!J33,"AAAAADX9/6o=")</f>
        <v>#VALUE!</v>
      </c>
      <c r="FP5" t="e">
        <f>AND(Шахм!K33,"AAAAADX9/6s=")</f>
        <v>#VALUE!</v>
      </c>
      <c r="FQ5" t="e">
        <f>AND(Шахм!L33,"AAAAADX9/6w=")</f>
        <v>#VALUE!</v>
      </c>
      <c r="FR5" t="e">
        <f>AND(Шахм!M33,"AAAAADX9/60=")</f>
        <v>#VALUE!</v>
      </c>
      <c r="FS5" t="e">
        <f>AND(Шахм!N33,"AAAAADX9/64=")</f>
        <v>#VALUE!</v>
      </c>
      <c r="FT5" t="e">
        <f>AND(Шахм!O33,"AAAAADX9/68=")</f>
        <v>#VALUE!</v>
      </c>
      <c r="FU5" t="e">
        <f>AND(Шахм!P33,"AAAAADX9/7A=")</f>
        <v>#VALUE!</v>
      </c>
      <c r="FV5" t="e">
        <f>AND(Шахм!Q33,"AAAAADX9/7E=")</f>
        <v>#VALUE!</v>
      </c>
      <c r="FW5" t="e">
        <f>AND(Шахм!R33,"AAAAADX9/7I=")</f>
        <v>#VALUE!</v>
      </c>
      <c r="FX5" t="e">
        <f>AND(Шахм!S33,"AAAAADX9/7M=")</f>
        <v>#VALUE!</v>
      </c>
      <c r="FY5" t="e">
        <f>AND(Шахм!T33,"AAAAADX9/7Q=")</f>
        <v>#VALUE!</v>
      </c>
      <c r="FZ5" t="e">
        <f>AND(Шахм!U33,"AAAAADX9/7U=")</f>
        <v>#VALUE!</v>
      </c>
      <c r="GA5" t="e">
        <f>AND(Шахм!V33,"AAAAADX9/7Y=")</f>
        <v>#VALUE!</v>
      </c>
      <c r="GB5" t="e">
        <f>AND(Шахм!W33,"AAAAADX9/7c=")</f>
        <v>#VALUE!</v>
      </c>
      <c r="GC5" t="e">
        <f>AND(Шахм!X33,"AAAAADX9/7g=")</f>
        <v>#VALUE!</v>
      </c>
      <c r="GD5" t="e">
        <f>AND(Шахм!Y33,"AAAAADX9/7k=")</f>
        <v>#VALUE!</v>
      </c>
      <c r="GE5" t="e">
        <f>AND(Шахм!Z33,"AAAAADX9/7o=")</f>
        <v>#VALUE!</v>
      </c>
      <c r="GF5" t="e">
        <f>AND(Шахм!AA33,"AAAAADX9/7s=")</f>
        <v>#VALUE!</v>
      </c>
      <c r="GG5" t="e">
        <f>AND(Шахм!AB33,"AAAAADX9/7w=")</f>
        <v>#VALUE!</v>
      </c>
      <c r="GH5" t="e">
        <f>AND(Шахм!AC33,"AAAAADX9/70=")</f>
        <v>#VALUE!</v>
      </c>
      <c r="GI5" t="e">
        <f>AND(Шахм!AD33,"AAAAADX9/74=")</f>
        <v>#VALUE!</v>
      </c>
      <c r="GJ5" t="e">
        <f>AND(Шахм!AE33,"AAAAADX9/78=")</f>
        <v>#VALUE!</v>
      </c>
      <c r="GK5" t="e">
        <f>AND(Шахм!AF33,"AAAAADX9/8A=")</f>
        <v>#VALUE!</v>
      </c>
      <c r="GL5" t="e">
        <f>AND(Шахм!AG33,"AAAAADX9/8E=")</f>
        <v>#VALUE!</v>
      </c>
      <c r="GM5" t="e">
        <f>AND(Шахм!AH33,"AAAAADX9/8I=")</f>
        <v>#VALUE!</v>
      </c>
      <c r="GN5" t="e">
        <f>AND(Шахм!AI33,"AAAAADX9/8M=")</f>
        <v>#VALUE!</v>
      </c>
      <c r="GO5" t="e">
        <f>AND(Шахм!AJ33,"AAAAADX9/8Q=")</f>
        <v>#VALUE!</v>
      </c>
      <c r="GP5">
        <f>IF(Шахм!34:34,"AAAAADX9/8U=",0)</f>
        <v>0</v>
      </c>
      <c r="GQ5" t="e">
        <f>AND(Шахм!A34,"AAAAADX9/8Y=")</f>
        <v>#VALUE!</v>
      </c>
      <c r="GR5" t="e">
        <f>AND(Шахм!B34,"AAAAADX9/8c=")</f>
        <v>#VALUE!</v>
      </c>
      <c r="GS5" t="e">
        <f>AND(Шахм!C34,"AAAAADX9/8g=")</f>
        <v>#VALUE!</v>
      </c>
      <c r="GT5" t="e">
        <f>AND(Шахм!D34,"AAAAADX9/8k=")</f>
        <v>#VALUE!</v>
      </c>
      <c r="GU5" t="e">
        <f>AND(Шахм!E34,"AAAAADX9/8o=")</f>
        <v>#VALUE!</v>
      </c>
      <c r="GV5" t="e">
        <f>AND(Шахм!F34,"AAAAADX9/8s=")</f>
        <v>#VALUE!</v>
      </c>
      <c r="GW5" t="e">
        <f>AND(Шахм!G34,"AAAAADX9/8w=")</f>
        <v>#VALUE!</v>
      </c>
      <c r="GX5" t="e">
        <f>AND(Шахм!H34,"AAAAADX9/80=")</f>
        <v>#VALUE!</v>
      </c>
      <c r="GY5" t="e">
        <f>AND(Шахм!I34,"AAAAADX9/84=")</f>
        <v>#VALUE!</v>
      </c>
      <c r="GZ5" t="e">
        <f>AND(Шахм!J34,"AAAAADX9/88=")</f>
        <v>#VALUE!</v>
      </c>
      <c r="HA5" t="e">
        <f>AND(Шахм!K34,"AAAAADX9/9A=")</f>
        <v>#VALUE!</v>
      </c>
      <c r="HB5" t="e">
        <f>AND(Шахм!L34,"AAAAADX9/9E=")</f>
        <v>#VALUE!</v>
      </c>
      <c r="HC5" t="e">
        <f>AND(Шахм!M34,"AAAAADX9/9I=")</f>
        <v>#VALUE!</v>
      </c>
      <c r="HD5" t="e">
        <f>AND(Шахм!N34,"AAAAADX9/9M=")</f>
        <v>#VALUE!</v>
      </c>
      <c r="HE5" t="e">
        <f>AND(Шахм!O34,"AAAAADX9/9Q=")</f>
        <v>#VALUE!</v>
      </c>
      <c r="HF5" t="e">
        <f>AND(Шахм!P34,"AAAAADX9/9U=")</f>
        <v>#VALUE!</v>
      </c>
      <c r="HG5" t="e">
        <f>AND(Шахм!Q34,"AAAAADX9/9Y=")</f>
        <v>#VALUE!</v>
      </c>
      <c r="HH5" t="e">
        <f>AND(Шахм!R34,"AAAAADX9/9c=")</f>
        <v>#VALUE!</v>
      </c>
      <c r="HI5" t="e">
        <f>AND(Шахм!S34,"AAAAADX9/9g=")</f>
        <v>#VALUE!</v>
      </c>
      <c r="HJ5" t="e">
        <f>AND(Шахм!T34,"AAAAADX9/9k=")</f>
        <v>#VALUE!</v>
      </c>
      <c r="HK5" t="e">
        <f>AND(Шахм!U34,"AAAAADX9/9o=")</f>
        <v>#VALUE!</v>
      </c>
      <c r="HL5" t="e">
        <f>AND(Шахм!V34,"AAAAADX9/9s=")</f>
        <v>#VALUE!</v>
      </c>
      <c r="HM5" t="e">
        <f>AND(Шахм!W34,"AAAAADX9/9w=")</f>
        <v>#VALUE!</v>
      </c>
      <c r="HN5" t="e">
        <f>AND(Шахм!X34,"AAAAADX9/90=")</f>
        <v>#VALUE!</v>
      </c>
      <c r="HO5" t="e">
        <f>AND(Шахм!Y34,"AAAAADX9/94=")</f>
        <v>#VALUE!</v>
      </c>
      <c r="HP5" t="e">
        <f>AND(Шахм!Z34,"AAAAADX9/98=")</f>
        <v>#VALUE!</v>
      </c>
      <c r="HQ5" t="e">
        <f>AND(Шахм!AA34,"AAAAADX9/+A=")</f>
        <v>#VALUE!</v>
      </c>
      <c r="HR5" t="e">
        <f>AND(Шахм!AB34,"AAAAADX9/+E=")</f>
        <v>#VALUE!</v>
      </c>
      <c r="HS5" t="e">
        <f>AND(Шахм!AC34,"AAAAADX9/+I=")</f>
        <v>#VALUE!</v>
      </c>
      <c r="HT5" t="e">
        <f>AND(Шахм!AD34,"AAAAADX9/+M=")</f>
        <v>#VALUE!</v>
      </c>
      <c r="HU5" t="e">
        <f>AND(Шахм!AE34,"AAAAADX9/+Q=")</f>
        <v>#VALUE!</v>
      </c>
      <c r="HV5" t="e">
        <f>AND(Шахм!AF34,"AAAAADX9/+U=")</f>
        <v>#VALUE!</v>
      </c>
      <c r="HW5" t="e">
        <f>AND(Шахм!AG34,"AAAAADX9/+Y=")</f>
        <v>#VALUE!</v>
      </c>
      <c r="HX5" t="e">
        <f>AND(Шахм!AH34,"AAAAADX9/+c=")</f>
        <v>#VALUE!</v>
      </c>
      <c r="HY5" t="e">
        <f>AND(Шахм!AI34,"AAAAADX9/+g=")</f>
        <v>#VALUE!</v>
      </c>
      <c r="HZ5" t="e">
        <f>AND(Шахм!AJ34,"AAAAADX9/+k=")</f>
        <v>#VALUE!</v>
      </c>
      <c r="IA5">
        <f>IF(Шахм!35:35,"AAAAADX9/+o=",0)</f>
        <v>0</v>
      </c>
      <c r="IB5" t="e">
        <f>AND(Шахм!A35,"AAAAADX9/+s=")</f>
        <v>#VALUE!</v>
      </c>
      <c r="IC5" t="e">
        <f>AND(Шахм!B35,"AAAAADX9/+w=")</f>
        <v>#VALUE!</v>
      </c>
      <c r="ID5" t="e">
        <f>AND(Шахм!C35,"AAAAADX9/+0=")</f>
        <v>#VALUE!</v>
      </c>
      <c r="IE5" t="e">
        <f>AND(Шахм!D35,"AAAAADX9/+4=")</f>
        <v>#VALUE!</v>
      </c>
      <c r="IF5" t="e">
        <f>AND(Шахм!E35,"AAAAADX9/+8=")</f>
        <v>#VALUE!</v>
      </c>
      <c r="IG5" t="e">
        <f>AND(Шахм!F35,"AAAAADX9//A=")</f>
        <v>#VALUE!</v>
      </c>
      <c r="IH5" t="e">
        <f>AND(Шахм!G35,"AAAAADX9//E=")</f>
        <v>#VALUE!</v>
      </c>
      <c r="II5" t="e">
        <f>AND(Шахм!H35,"AAAAADX9//I=")</f>
        <v>#VALUE!</v>
      </c>
      <c r="IJ5" t="e">
        <f>AND(Шахм!I35,"AAAAADX9//M=")</f>
        <v>#VALUE!</v>
      </c>
      <c r="IK5" t="e">
        <f>AND(Шахм!J35,"AAAAADX9//Q=")</f>
        <v>#VALUE!</v>
      </c>
      <c r="IL5" t="e">
        <f>AND(Шахм!K35,"AAAAADX9//U=")</f>
        <v>#VALUE!</v>
      </c>
      <c r="IM5" t="e">
        <f>AND(Шахм!L35,"AAAAADX9//Y=")</f>
        <v>#VALUE!</v>
      </c>
      <c r="IN5" t="e">
        <f>AND(Шахм!M35,"AAAAADX9//c=")</f>
        <v>#VALUE!</v>
      </c>
      <c r="IO5" t="e">
        <f>AND(Шахм!N35,"AAAAADX9//g=")</f>
        <v>#VALUE!</v>
      </c>
      <c r="IP5" t="e">
        <f>AND(Шахм!O35,"AAAAADX9//k=")</f>
        <v>#VALUE!</v>
      </c>
      <c r="IQ5" t="e">
        <f>AND(Шахм!P35,"AAAAADX9//o=")</f>
        <v>#VALUE!</v>
      </c>
      <c r="IR5" t="e">
        <f>AND(Шахм!Q35,"AAAAADX9//s=")</f>
        <v>#VALUE!</v>
      </c>
      <c r="IS5" t="e">
        <f>AND(Шахм!R35,"AAAAADX9//w=")</f>
        <v>#VALUE!</v>
      </c>
      <c r="IT5" t="e">
        <f>AND(Шахм!S35,"AAAAADX9//0=")</f>
        <v>#VALUE!</v>
      </c>
      <c r="IU5" t="e">
        <f>AND(Шахм!T35,"AAAAADX9//4=")</f>
        <v>#VALUE!</v>
      </c>
      <c r="IV5" t="e">
        <f>AND(Шахм!U35,"AAAAADX9//8=")</f>
        <v>#VALUE!</v>
      </c>
    </row>
    <row r="6" spans="1:256">
      <c r="A6" t="e">
        <f>AND(Шахм!V35,"AAAAAD+dvwA=")</f>
        <v>#VALUE!</v>
      </c>
      <c r="B6" t="e">
        <f>AND(Шахм!W35,"AAAAAD+dvwE=")</f>
        <v>#VALUE!</v>
      </c>
      <c r="C6" t="e">
        <f>AND(Шахм!X35,"AAAAAD+dvwI=")</f>
        <v>#VALUE!</v>
      </c>
      <c r="D6" t="e">
        <f>AND(Шахм!Y35,"AAAAAD+dvwM=")</f>
        <v>#VALUE!</v>
      </c>
      <c r="E6" t="e">
        <f>AND(Шахм!Z35,"AAAAAD+dvwQ=")</f>
        <v>#VALUE!</v>
      </c>
      <c r="F6" t="e">
        <f>AND(Шахм!AA35,"AAAAAD+dvwU=")</f>
        <v>#VALUE!</v>
      </c>
      <c r="G6" t="e">
        <f>AND(Шахм!AB35,"AAAAAD+dvwY=")</f>
        <v>#VALUE!</v>
      </c>
      <c r="H6" t="e">
        <f>AND(Шахм!AC35,"AAAAAD+dvwc=")</f>
        <v>#VALUE!</v>
      </c>
      <c r="I6" t="e">
        <f>AND(Шахм!AD35,"AAAAAD+dvwg=")</f>
        <v>#VALUE!</v>
      </c>
      <c r="J6" t="e">
        <f>AND(Шахм!AE35,"AAAAAD+dvwk=")</f>
        <v>#VALUE!</v>
      </c>
      <c r="K6" t="e">
        <f>AND(Шахм!AF35,"AAAAAD+dvwo=")</f>
        <v>#VALUE!</v>
      </c>
      <c r="L6" t="e">
        <f>AND(Шахм!AG35,"AAAAAD+dvws=")</f>
        <v>#VALUE!</v>
      </c>
      <c r="M6" t="e">
        <f>AND(Шахм!AH35,"AAAAAD+dvww=")</f>
        <v>#VALUE!</v>
      </c>
      <c r="N6" t="e">
        <f>AND(Шахм!AI35,"AAAAAD+dvw0=")</f>
        <v>#VALUE!</v>
      </c>
      <c r="O6" t="e">
        <f>AND(Шахм!AJ35,"AAAAAD+dvw4=")</f>
        <v>#VALUE!</v>
      </c>
      <c r="P6" t="str">
        <f>IF(Шахм!36:36,"AAAAAD+dvw8=",0)</f>
        <v>AAAAAD+dvw8=</v>
      </c>
      <c r="Q6" t="e">
        <f>AND(Шахм!A36,"AAAAAD+dvxA=")</f>
        <v>#VALUE!</v>
      </c>
      <c r="R6" t="e">
        <f>AND(Шахм!B36,"AAAAAD+dvxE=")</f>
        <v>#VALUE!</v>
      </c>
      <c r="S6" t="e">
        <f>AND(Шахм!C36,"AAAAAD+dvxI=")</f>
        <v>#VALUE!</v>
      </c>
      <c r="T6" t="e">
        <f>AND(Шахм!D36,"AAAAAD+dvxM=")</f>
        <v>#VALUE!</v>
      </c>
      <c r="U6" t="e">
        <f>AND(Шахм!E36,"AAAAAD+dvxQ=")</f>
        <v>#VALUE!</v>
      </c>
      <c r="V6" t="e">
        <f>AND(Шахм!F36,"AAAAAD+dvxU=")</f>
        <v>#VALUE!</v>
      </c>
      <c r="W6" t="e">
        <f>AND(Шахм!G36,"AAAAAD+dvxY=")</f>
        <v>#VALUE!</v>
      </c>
      <c r="X6" t="e">
        <f>AND(Шахм!H36,"AAAAAD+dvxc=")</f>
        <v>#VALUE!</v>
      </c>
      <c r="Y6" t="e">
        <f>AND(Шахм!I36,"AAAAAD+dvxg=")</f>
        <v>#VALUE!</v>
      </c>
      <c r="Z6" t="e">
        <f>AND(Шахм!J36,"AAAAAD+dvxk=")</f>
        <v>#VALUE!</v>
      </c>
      <c r="AA6" t="e">
        <f>AND(Шахм!K36,"AAAAAD+dvxo=")</f>
        <v>#VALUE!</v>
      </c>
      <c r="AB6" t="e">
        <f>AND(Шахм!L36,"AAAAAD+dvxs=")</f>
        <v>#VALUE!</v>
      </c>
      <c r="AC6" t="e">
        <f>AND(Шахм!M36,"AAAAAD+dvxw=")</f>
        <v>#VALUE!</v>
      </c>
      <c r="AD6" t="e">
        <f>AND(Шахм!N36,"AAAAAD+dvx0=")</f>
        <v>#VALUE!</v>
      </c>
      <c r="AE6" t="e">
        <f>AND(Шахм!O36,"AAAAAD+dvx4=")</f>
        <v>#VALUE!</v>
      </c>
      <c r="AF6" t="e">
        <f>AND(Шахм!P36,"AAAAAD+dvx8=")</f>
        <v>#VALUE!</v>
      </c>
      <c r="AG6" t="e">
        <f>AND(Шахм!Q36,"AAAAAD+dvyA=")</f>
        <v>#VALUE!</v>
      </c>
      <c r="AH6" t="e">
        <f>AND(Шахм!R36,"AAAAAD+dvyE=")</f>
        <v>#VALUE!</v>
      </c>
      <c r="AI6" t="e">
        <f>AND(Шахм!S36,"AAAAAD+dvyI=")</f>
        <v>#VALUE!</v>
      </c>
      <c r="AJ6" t="e">
        <f>AND(Шахм!T36,"AAAAAD+dvyM=")</f>
        <v>#VALUE!</v>
      </c>
      <c r="AK6" t="e">
        <f>AND(Шахм!U36,"AAAAAD+dvyQ=")</f>
        <v>#VALUE!</v>
      </c>
      <c r="AL6" t="e">
        <f>AND(Шахм!V36,"AAAAAD+dvyU=")</f>
        <v>#VALUE!</v>
      </c>
      <c r="AM6" t="e">
        <f>AND(Шахм!W36,"AAAAAD+dvyY=")</f>
        <v>#VALUE!</v>
      </c>
      <c r="AN6" t="e">
        <f>AND(Шахм!X36,"AAAAAD+dvyc=")</f>
        <v>#VALUE!</v>
      </c>
      <c r="AO6" t="e">
        <f>AND(Шахм!Y36,"AAAAAD+dvyg=")</f>
        <v>#VALUE!</v>
      </c>
      <c r="AP6" t="e">
        <f>AND(Шахм!Z36,"AAAAAD+dvyk=")</f>
        <v>#VALUE!</v>
      </c>
      <c r="AQ6" t="e">
        <f>AND(Шахм!AA36,"AAAAAD+dvyo=")</f>
        <v>#VALUE!</v>
      </c>
      <c r="AR6" t="e">
        <f>AND(Шахм!AB36,"AAAAAD+dvys=")</f>
        <v>#VALUE!</v>
      </c>
      <c r="AS6" t="e">
        <f>AND(Шахм!AC36,"AAAAAD+dvyw=")</f>
        <v>#VALUE!</v>
      </c>
      <c r="AT6" t="e">
        <f>AND(Шахм!AD36,"AAAAAD+dvy0=")</f>
        <v>#VALUE!</v>
      </c>
      <c r="AU6" t="e">
        <f>AND(Шахм!AE36,"AAAAAD+dvy4=")</f>
        <v>#VALUE!</v>
      </c>
      <c r="AV6" t="e">
        <f>AND(Шахм!AF36,"AAAAAD+dvy8=")</f>
        <v>#VALUE!</v>
      </c>
      <c r="AW6" t="e">
        <f>AND(Шахм!AG36,"AAAAAD+dvzA=")</f>
        <v>#VALUE!</v>
      </c>
      <c r="AX6" t="e">
        <f>AND(Шахм!AH36,"AAAAAD+dvzE=")</f>
        <v>#VALUE!</v>
      </c>
      <c r="AY6" t="e">
        <f>AND(Шахм!AI36,"AAAAAD+dvzI=")</f>
        <v>#VALUE!</v>
      </c>
      <c r="AZ6" t="e">
        <f>AND(Шахм!AJ36,"AAAAAD+dvzM=")</f>
        <v>#VALUE!</v>
      </c>
      <c r="BA6">
        <f>IF(Шахм!37:37,"AAAAAD+dvzQ=",0)</f>
        <v>0</v>
      </c>
      <c r="BB6" t="e">
        <f>AND(Шахм!A37,"AAAAAD+dvzU=")</f>
        <v>#VALUE!</v>
      </c>
      <c r="BC6" t="e">
        <f>AND(Шахм!B37,"AAAAAD+dvzY=")</f>
        <v>#VALUE!</v>
      </c>
      <c r="BD6" t="e">
        <f>AND(Шахм!C37,"AAAAAD+dvzc=")</f>
        <v>#VALUE!</v>
      </c>
      <c r="BE6" t="e">
        <f>AND(Шахм!D37,"AAAAAD+dvzg=")</f>
        <v>#VALUE!</v>
      </c>
      <c r="BF6" t="e">
        <f>AND(Шахм!E37,"AAAAAD+dvzk=")</f>
        <v>#VALUE!</v>
      </c>
      <c r="BG6" t="e">
        <f>AND(Шахм!F37,"AAAAAD+dvzo=")</f>
        <v>#VALUE!</v>
      </c>
      <c r="BH6" t="e">
        <f>AND(Шахм!G37,"AAAAAD+dvzs=")</f>
        <v>#VALUE!</v>
      </c>
      <c r="BI6" t="e">
        <f>AND(Шахм!H37,"AAAAAD+dvzw=")</f>
        <v>#VALUE!</v>
      </c>
      <c r="BJ6" t="e">
        <f>AND(Шахм!I37,"AAAAAD+dvz0=")</f>
        <v>#VALUE!</v>
      </c>
      <c r="BK6" t="e">
        <f>AND(Шахм!J37,"AAAAAD+dvz4=")</f>
        <v>#VALUE!</v>
      </c>
      <c r="BL6" t="e">
        <f>AND(Шахм!K37,"AAAAAD+dvz8=")</f>
        <v>#VALUE!</v>
      </c>
      <c r="BM6" t="e">
        <f>AND(Шахм!L37,"AAAAAD+dv0A=")</f>
        <v>#VALUE!</v>
      </c>
      <c r="BN6" t="e">
        <f>AND(Шахм!M37,"AAAAAD+dv0E=")</f>
        <v>#VALUE!</v>
      </c>
      <c r="BO6" t="e">
        <f>AND(Шахм!N37,"AAAAAD+dv0I=")</f>
        <v>#VALUE!</v>
      </c>
      <c r="BP6" t="e">
        <f>AND(Шахм!O37,"AAAAAD+dv0M=")</f>
        <v>#VALUE!</v>
      </c>
      <c r="BQ6" t="e">
        <f>AND(Шахм!P37,"AAAAAD+dv0Q=")</f>
        <v>#VALUE!</v>
      </c>
      <c r="BR6" t="e">
        <f>AND(Шахм!Q37,"AAAAAD+dv0U=")</f>
        <v>#VALUE!</v>
      </c>
      <c r="BS6" t="e">
        <f>AND(Шахм!R37,"AAAAAD+dv0Y=")</f>
        <v>#VALUE!</v>
      </c>
      <c r="BT6" t="e">
        <f>AND(Шахм!S37,"AAAAAD+dv0c=")</f>
        <v>#VALUE!</v>
      </c>
      <c r="BU6" t="e">
        <f>AND(Шахм!T37,"AAAAAD+dv0g=")</f>
        <v>#VALUE!</v>
      </c>
      <c r="BV6" t="e">
        <f>AND(Шахм!U37,"AAAAAD+dv0k=")</f>
        <v>#VALUE!</v>
      </c>
      <c r="BW6" t="e">
        <f>AND(Шахм!V37,"AAAAAD+dv0o=")</f>
        <v>#VALUE!</v>
      </c>
      <c r="BX6" t="e">
        <f>AND(Шахм!W37,"AAAAAD+dv0s=")</f>
        <v>#VALUE!</v>
      </c>
      <c r="BY6" t="e">
        <f>AND(Шахм!X37,"AAAAAD+dv0w=")</f>
        <v>#VALUE!</v>
      </c>
      <c r="BZ6" t="e">
        <f>AND(Шахм!Y37,"AAAAAD+dv00=")</f>
        <v>#VALUE!</v>
      </c>
      <c r="CA6" t="e">
        <f>AND(Шахм!Z37,"AAAAAD+dv04=")</f>
        <v>#VALUE!</v>
      </c>
      <c r="CB6" t="e">
        <f>AND(Шахм!AA37,"AAAAAD+dv08=")</f>
        <v>#VALUE!</v>
      </c>
      <c r="CC6" t="e">
        <f>AND(Шахм!AB37,"AAAAAD+dv1A=")</f>
        <v>#VALUE!</v>
      </c>
      <c r="CD6" t="e">
        <f>AND(Шахм!AC37,"AAAAAD+dv1E=")</f>
        <v>#VALUE!</v>
      </c>
      <c r="CE6" t="e">
        <f>AND(Шахм!AD37,"AAAAAD+dv1I=")</f>
        <v>#VALUE!</v>
      </c>
      <c r="CF6" t="e">
        <f>AND(Шахм!AE37,"AAAAAD+dv1M=")</f>
        <v>#VALUE!</v>
      </c>
      <c r="CG6" t="e">
        <f>AND(Шахм!AF37,"AAAAAD+dv1Q=")</f>
        <v>#VALUE!</v>
      </c>
      <c r="CH6" t="e">
        <f>AND(Шахм!AG37,"AAAAAD+dv1U=")</f>
        <v>#VALUE!</v>
      </c>
      <c r="CI6" t="e">
        <f>AND(Шахм!AH37,"AAAAAD+dv1Y=")</f>
        <v>#VALUE!</v>
      </c>
      <c r="CJ6" t="e">
        <f>AND(Шахм!AI37,"AAAAAD+dv1c=")</f>
        <v>#VALUE!</v>
      </c>
      <c r="CK6" t="e">
        <f>AND(Шахм!AJ37,"AAAAAD+dv1g=")</f>
        <v>#VALUE!</v>
      </c>
      <c r="CL6">
        <f>IF(Шахм!38:38,"AAAAAD+dv1k=",0)</f>
        <v>0</v>
      </c>
      <c r="CM6" t="e">
        <f>AND(Шахм!A38,"AAAAAD+dv1o=")</f>
        <v>#VALUE!</v>
      </c>
      <c r="CN6" t="e">
        <f>AND(Шахм!B38,"AAAAAD+dv1s=")</f>
        <v>#VALUE!</v>
      </c>
      <c r="CO6" t="e">
        <f>AND(Шахм!C38,"AAAAAD+dv1w=")</f>
        <v>#VALUE!</v>
      </c>
      <c r="CP6" t="e">
        <f>AND(Шахм!D38,"AAAAAD+dv10=")</f>
        <v>#VALUE!</v>
      </c>
      <c r="CQ6" t="e">
        <f>AND(Шахм!E38,"AAAAAD+dv14=")</f>
        <v>#VALUE!</v>
      </c>
      <c r="CR6" t="e">
        <f>AND(Шахм!F38,"AAAAAD+dv18=")</f>
        <v>#VALUE!</v>
      </c>
      <c r="CS6" t="e">
        <f>AND(Шахм!G38,"AAAAAD+dv2A=")</f>
        <v>#VALUE!</v>
      </c>
      <c r="CT6" t="e">
        <f>AND(Шахм!H38,"AAAAAD+dv2E=")</f>
        <v>#VALUE!</v>
      </c>
      <c r="CU6" t="e">
        <f>AND(Шахм!I38,"AAAAAD+dv2I=")</f>
        <v>#VALUE!</v>
      </c>
      <c r="CV6" t="e">
        <f>AND(Шахм!J38,"AAAAAD+dv2M=")</f>
        <v>#VALUE!</v>
      </c>
      <c r="CW6" t="e">
        <f>AND(Шахм!K38,"AAAAAD+dv2Q=")</f>
        <v>#VALUE!</v>
      </c>
      <c r="CX6" t="e">
        <f>AND(Шахм!L38,"AAAAAD+dv2U=")</f>
        <v>#VALUE!</v>
      </c>
      <c r="CY6" t="e">
        <f>AND(Шахм!M38,"AAAAAD+dv2Y=")</f>
        <v>#VALUE!</v>
      </c>
      <c r="CZ6" t="e">
        <f>AND(Шахм!N38,"AAAAAD+dv2c=")</f>
        <v>#VALUE!</v>
      </c>
      <c r="DA6" t="e">
        <f>AND(Шахм!O38,"AAAAAD+dv2g=")</f>
        <v>#VALUE!</v>
      </c>
      <c r="DB6" t="e">
        <f>AND(Шахм!P38,"AAAAAD+dv2k=")</f>
        <v>#VALUE!</v>
      </c>
      <c r="DC6" t="e">
        <f>AND(Шахм!Q38,"AAAAAD+dv2o=")</f>
        <v>#VALUE!</v>
      </c>
      <c r="DD6" t="e">
        <f>AND(Шахм!R38,"AAAAAD+dv2s=")</f>
        <v>#VALUE!</v>
      </c>
      <c r="DE6" t="e">
        <f>AND(Шахм!S38,"AAAAAD+dv2w=")</f>
        <v>#VALUE!</v>
      </c>
      <c r="DF6" t="e">
        <f>AND(Шахм!T38,"AAAAAD+dv20=")</f>
        <v>#VALUE!</v>
      </c>
      <c r="DG6" t="e">
        <f>AND(Шахм!U38,"AAAAAD+dv24=")</f>
        <v>#VALUE!</v>
      </c>
      <c r="DH6" t="e">
        <f>AND(Шахм!V38,"AAAAAD+dv28=")</f>
        <v>#VALUE!</v>
      </c>
      <c r="DI6" t="e">
        <f>AND(Шахм!W38,"AAAAAD+dv3A=")</f>
        <v>#VALUE!</v>
      </c>
      <c r="DJ6" t="e">
        <f>AND(Шахм!X38,"AAAAAD+dv3E=")</f>
        <v>#VALUE!</v>
      </c>
      <c r="DK6" t="e">
        <f>AND(Шахм!Y38,"AAAAAD+dv3I=")</f>
        <v>#VALUE!</v>
      </c>
      <c r="DL6" t="e">
        <f>AND(Шахм!Z38,"AAAAAD+dv3M=")</f>
        <v>#VALUE!</v>
      </c>
      <c r="DM6" t="e">
        <f>AND(Шахм!AA38,"AAAAAD+dv3Q=")</f>
        <v>#VALUE!</v>
      </c>
      <c r="DN6" t="e">
        <f>AND(Шахм!AB38,"AAAAAD+dv3U=")</f>
        <v>#VALUE!</v>
      </c>
      <c r="DO6" t="e">
        <f>AND(Шахм!AC38,"AAAAAD+dv3Y=")</f>
        <v>#VALUE!</v>
      </c>
      <c r="DP6" t="e">
        <f>AND(Шахм!AD38,"AAAAAD+dv3c=")</f>
        <v>#VALUE!</v>
      </c>
      <c r="DQ6" t="e">
        <f>AND(Шахм!AE38,"AAAAAD+dv3g=")</f>
        <v>#VALUE!</v>
      </c>
      <c r="DR6" t="e">
        <f>AND(Шахм!AF38,"AAAAAD+dv3k=")</f>
        <v>#VALUE!</v>
      </c>
      <c r="DS6" t="e">
        <f>AND(Шахм!AG38,"AAAAAD+dv3o=")</f>
        <v>#VALUE!</v>
      </c>
      <c r="DT6" t="e">
        <f>AND(Шахм!AH38,"AAAAAD+dv3s=")</f>
        <v>#VALUE!</v>
      </c>
      <c r="DU6" t="e">
        <f>AND(Шахм!AI38,"AAAAAD+dv3w=")</f>
        <v>#VALUE!</v>
      </c>
      <c r="DV6" t="e">
        <f>AND(Шахм!AJ38,"AAAAAD+dv30=")</f>
        <v>#VALUE!</v>
      </c>
      <c r="DW6">
        <f>IF(Шахм!39:39,"AAAAAD+dv34=",0)</f>
        <v>0</v>
      </c>
      <c r="DX6" t="e">
        <f>AND(Шахм!A39,"AAAAAD+dv38=")</f>
        <v>#VALUE!</v>
      </c>
      <c r="DY6" t="e">
        <f>AND(Шахм!B39,"AAAAAD+dv4A=")</f>
        <v>#VALUE!</v>
      </c>
      <c r="DZ6" t="e">
        <f>AND(Шахм!C39,"AAAAAD+dv4E=")</f>
        <v>#VALUE!</v>
      </c>
      <c r="EA6" t="e">
        <f>AND(Шахм!D39,"AAAAAD+dv4I=")</f>
        <v>#VALUE!</v>
      </c>
      <c r="EB6" t="e">
        <f>AND(Шахм!E39,"AAAAAD+dv4M=")</f>
        <v>#VALUE!</v>
      </c>
      <c r="EC6" t="e">
        <f>AND(Шахм!F39,"AAAAAD+dv4Q=")</f>
        <v>#VALUE!</v>
      </c>
      <c r="ED6" t="e">
        <f>AND(Шахм!G39,"AAAAAD+dv4U=")</f>
        <v>#VALUE!</v>
      </c>
      <c r="EE6" t="e">
        <f>AND(Шахм!H39,"AAAAAD+dv4Y=")</f>
        <v>#VALUE!</v>
      </c>
      <c r="EF6" t="e">
        <f>AND(Шахм!I39,"AAAAAD+dv4c=")</f>
        <v>#VALUE!</v>
      </c>
      <c r="EG6" t="e">
        <f>AND(Шахм!J39,"AAAAAD+dv4g=")</f>
        <v>#VALUE!</v>
      </c>
      <c r="EH6" t="e">
        <f>AND(Шахм!K39,"AAAAAD+dv4k=")</f>
        <v>#VALUE!</v>
      </c>
      <c r="EI6" t="e">
        <f>AND(Шахм!L39,"AAAAAD+dv4o=")</f>
        <v>#VALUE!</v>
      </c>
      <c r="EJ6" t="e">
        <f>AND(Шахм!M39,"AAAAAD+dv4s=")</f>
        <v>#VALUE!</v>
      </c>
      <c r="EK6" t="e">
        <f>AND(Шахм!N39,"AAAAAD+dv4w=")</f>
        <v>#VALUE!</v>
      </c>
      <c r="EL6" t="e">
        <f>AND(Шахм!O39,"AAAAAD+dv40=")</f>
        <v>#VALUE!</v>
      </c>
      <c r="EM6" t="e">
        <f>AND(Шахм!P39,"AAAAAD+dv44=")</f>
        <v>#VALUE!</v>
      </c>
      <c r="EN6" t="e">
        <f>AND(Шахм!Q39,"AAAAAD+dv48=")</f>
        <v>#VALUE!</v>
      </c>
      <c r="EO6" t="e">
        <f>AND(Шахм!R39,"AAAAAD+dv5A=")</f>
        <v>#VALUE!</v>
      </c>
      <c r="EP6" t="e">
        <f>AND(Шахм!S39,"AAAAAD+dv5E=")</f>
        <v>#VALUE!</v>
      </c>
      <c r="EQ6" t="e">
        <f>AND(Шахм!T39,"AAAAAD+dv5I=")</f>
        <v>#VALUE!</v>
      </c>
      <c r="ER6" t="e">
        <f>AND(Шахм!U39,"AAAAAD+dv5M=")</f>
        <v>#VALUE!</v>
      </c>
      <c r="ES6" t="e">
        <f>AND(Шахм!V39,"AAAAAD+dv5Q=")</f>
        <v>#VALUE!</v>
      </c>
      <c r="ET6" t="e">
        <f>AND(Шахм!W39,"AAAAAD+dv5U=")</f>
        <v>#VALUE!</v>
      </c>
      <c r="EU6" t="e">
        <f>AND(Шахм!X39,"AAAAAD+dv5Y=")</f>
        <v>#VALUE!</v>
      </c>
      <c r="EV6" t="e">
        <f>AND(Шахм!Y39,"AAAAAD+dv5c=")</f>
        <v>#VALUE!</v>
      </c>
      <c r="EW6" t="e">
        <f>AND(Шахм!Z39,"AAAAAD+dv5g=")</f>
        <v>#VALUE!</v>
      </c>
      <c r="EX6" t="e">
        <f>AND(Шахм!AA39,"AAAAAD+dv5k=")</f>
        <v>#VALUE!</v>
      </c>
      <c r="EY6" t="e">
        <f>AND(Шахм!AB39,"AAAAAD+dv5o=")</f>
        <v>#VALUE!</v>
      </c>
      <c r="EZ6" t="e">
        <f>AND(Шахм!AC39,"AAAAAD+dv5s=")</f>
        <v>#VALUE!</v>
      </c>
      <c r="FA6" t="e">
        <f>AND(Шахм!AD39,"AAAAAD+dv5w=")</f>
        <v>#VALUE!</v>
      </c>
      <c r="FB6" t="e">
        <f>AND(Шахм!AE39,"AAAAAD+dv50=")</f>
        <v>#VALUE!</v>
      </c>
      <c r="FC6" t="e">
        <f>AND(Шахм!AF39,"AAAAAD+dv54=")</f>
        <v>#VALUE!</v>
      </c>
      <c r="FD6" t="e">
        <f>AND(Шахм!AG39,"AAAAAD+dv58=")</f>
        <v>#VALUE!</v>
      </c>
      <c r="FE6" t="e">
        <f>AND(Шахм!AH39,"AAAAAD+dv6A=")</f>
        <v>#VALUE!</v>
      </c>
      <c r="FF6" t="e">
        <f>AND(Шахм!AI39,"AAAAAD+dv6E=")</f>
        <v>#VALUE!</v>
      </c>
      <c r="FG6" t="e">
        <f>AND(Шахм!AJ39,"AAAAAD+dv6I=")</f>
        <v>#VALUE!</v>
      </c>
      <c r="FH6">
        <f>IF(Шахм!40:40,"AAAAAD+dv6M=",0)</f>
        <v>0</v>
      </c>
      <c r="FI6" t="e">
        <f>AND(Шахм!A40,"AAAAAD+dv6Q=")</f>
        <v>#VALUE!</v>
      </c>
      <c r="FJ6" t="e">
        <f>AND(Шахм!B40,"AAAAAD+dv6U=")</f>
        <v>#VALUE!</v>
      </c>
      <c r="FK6" t="e">
        <f>AND(Шахм!C40,"AAAAAD+dv6Y=")</f>
        <v>#VALUE!</v>
      </c>
      <c r="FL6" t="e">
        <f>AND(Шахм!D40,"AAAAAD+dv6c=")</f>
        <v>#VALUE!</v>
      </c>
      <c r="FM6" t="e">
        <f>AND(Шахм!E40,"AAAAAD+dv6g=")</f>
        <v>#VALUE!</v>
      </c>
      <c r="FN6" t="e">
        <f>AND(Шахм!F40,"AAAAAD+dv6k=")</f>
        <v>#VALUE!</v>
      </c>
      <c r="FO6" t="e">
        <f>AND(Шахм!G40,"AAAAAD+dv6o=")</f>
        <v>#VALUE!</v>
      </c>
      <c r="FP6" t="e">
        <f>AND(Шахм!H40,"AAAAAD+dv6s=")</f>
        <v>#VALUE!</v>
      </c>
      <c r="FQ6" t="e">
        <f>AND(Шахм!I40,"AAAAAD+dv6w=")</f>
        <v>#VALUE!</v>
      </c>
      <c r="FR6" t="e">
        <f>AND(Шахм!J40,"AAAAAD+dv60=")</f>
        <v>#VALUE!</v>
      </c>
      <c r="FS6" t="e">
        <f>AND(Шахм!K40,"AAAAAD+dv64=")</f>
        <v>#VALUE!</v>
      </c>
      <c r="FT6" t="e">
        <f>AND(Шахм!L40,"AAAAAD+dv68=")</f>
        <v>#VALUE!</v>
      </c>
      <c r="FU6" t="e">
        <f>AND(Шахм!M40,"AAAAAD+dv7A=")</f>
        <v>#VALUE!</v>
      </c>
      <c r="FV6" t="e">
        <f>AND(Шахм!N40,"AAAAAD+dv7E=")</f>
        <v>#VALUE!</v>
      </c>
      <c r="FW6" t="e">
        <f>AND(Шахм!O40,"AAAAAD+dv7I=")</f>
        <v>#VALUE!</v>
      </c>
      <c r="FX6" t="e">
        <f>AND(Шахм!P40,"AAAAAD+dv7M=")</f>
        <v>#VALUE!</v>
      </c>
      <c r="FY6" t="e">
        <f>AND(Шахм!Q40,"AAAAAD+dv7Q=")</f>
        <v>#VALUE!</v>
      </c>
      <c r="FZ6" t="e">
        <f>AND(Шахм!R40,"AAAAAD+dv7U=")</f>
        <v>#VALUE!</v>
      </c>
      <c r="GA6" t="e">
        <f>AND(Шахм!S40,"AAAAAD+dv7Y=")</f>
        <v>#VALUE!</v>
      </c>
      <c r="GB6" t="e">
        <f>AND(Шахм!T40,"AAAAAD+dv7c=")</f>
        <v>#VALUE!</v>
      </c>
      <c r="GC6" t="e">
        <f>AND(Шахм!U40,"AAAAAD+dv7g=")</f>
        <v>#VALUE!</v>
      </c>
      <c r="GD6" t="e">
        <f>AND(Шахм!V40,"AAAAAD+dv7k=")</f>
        <v>#VALUE!</v>
      </c>
      <c r="GE6" t="e">
        <f>AND(Шахм!W40,"AAAAAD+dv7o=")</f>
        <v>#VALUE!</v>
      </c>
      <c r="GF6" t="e">
        <f>AND(Шахм!X40,"AAAAAD+dv7s=")</f>
        <v>#VALUE!</v>
      </c>
      <c r="GG6" t="e">
        <f>AND(Шахм!Y40,"AAAAAD+dv7w=")</f>
        <v>#VALUE!</v>
      </c>
      <c r="GH6" t="e">
        <f>AND(Шахм!Z40,"AAAAAD+dv70=")</f>
        <v>#VALUE!</v>
      </c>
      <c r="GI6" t="e">
        <f>AND(Шахм!AA40,"AAAAAD+dv74=")</f>
        <v>#VALUE!</v>
      </c>
      <c r="GJ6" t="e">
        <f>AND(Шахм!AB40,"AAAAAD+dv78=")</f>
        <v>#VALUE!</v>
      </c>
      <c r="GK6" t="e">
        <f>AND(Шахм!AC40,"AAAAAD+dv8A=")</f>
        <v>#VALUE!</v>
      </c>
      <c r="GL6" t="e">
        <f>AND(Шахм!AD40,"AAAAAD+dv8E=")</f>
        <v>#VALUE!</v>
      </c>
      <c r="GM6" t="e">
        <f>AND(Шахм!AE40,"AAAAAD+dv8I=")</f>
        <v>#VALUE!</v>
      </c>
      <c r="GN6" t="e">
        <f>AND(Шахм!AF40,"AAAAAD+dv8M=")</f>
        <v>#VALUE!</v>
      </c>
      <c r="GO6" t="e">
        <f>AND(Шахм!AG40,"AAAAAD+dv8Q=")</f>
        <v>#VALUE!</v>
      </c>
      <c r="GP6" t="e">
        <f>AND(Шахм!AH40,"AAAAAD+dv8U=")</f>
        <v>#VALUE!</v>
      </c>
      <c r="GQ6" t="e">
        <f>AND(Шахм!AI40,"AAAAAD+dv8Y=")</f>
        <v>#VALUE!</v>
      </c>
      <c r="GR6" t="e">
        <f>AND(Шахм!AJ40,"AAAAAD+dv8c=")</f>
        <v>#VALUE!</v>
      </c>
      <c r="GS6">
        <f>IF(Шахм!41:41,"AAAAAD+dv8g=",0)</f>
        <v>0</v>
      </c>
      <c r="GT6" t="e">
        <f>AND(Шахм!A41,"AAAAAD+dv8k=")</f>
        <v>#VALUE!</v>
      </c>
      <c r="GU6" t="e">
        <f>AND(Шахм!B41,"AAAAAD+dv8o=")</f>
        <v>#VALUE!</v>
      </c>
      <c r="GV6" t="e">
        <f>AND(Шахм!C41,"AAAAAD+dv8s=")</f>
        <v>#VALUE!</v>
      </c>
      <c r="GW6" t="e">
        <f>AND(Шахм!D41,"AAAAAD+dv8w=")</f>
        <v>#VALUE!</v>
      </c>
      <c r="GX6" t="e">
        <f>AND(Шахм!E41,"AAAAAD+dv80=")</f>
        <v>#VALUE!</v>
      </c>
      <c r="GY6" t="e">
        <f>AND(Шахм!F41,"AAAAAD+dv84=")</f>
        <v>#VALUE!</v>
      </c>
      <c r="GZ6" t="e">
        <f>AND(Шахм!G41,"AAAAAD+dv88=")</f>
        <v>#VALUE!</v>
      </c>
      <c r="HA6" t="e">
        <f>AND(Шахм!H41,"AAAAAD+dv9A=")</f>
        <v>#VALUE!</v>
      </c>
      <c r="HB6" t="e">
        <f>AND(Шахм!I41,"AAAAAD+dv9E=")</f>
        <v>#VALUE!</v>
      </c>
      <c r="HC6" t="e">
        <f>AND(Шахм!J41,"AAAAAD+dv9I=")</f>
        <v>#VALUE!</v>
      </c>
      <c r="HD6" t="e">
        <f>AND(Шахм!K41,"AAAAAD+dv9M=")</f>
        <v>#VALUE!</v>
      </c>
      <c r="HE6" t="e">
        <f>AND(Шахм!L41,"AAAAAD+dv9Q=")</f>
        <v>#VALUE!</v>
      </c>
      <c r="HF6" t="e">
        <f>AND(Шахм!M41,"AAAAAD+dv9U=")</f>
        <v>#VALUE!</v>
      </c>
      <c r="HG6" t="e">
        <f>AND(Шахм!N41,"AAAAAD+dv9Y=")</f>
        <v>#VALUE!</v>
      </c>
      <c r="HH6" t="e">
        <f>AND(Шахм!O41,"AAAAAD+dv9c=")</f>
        <v>#VALUE!</v>
      </c>
      <c r="HI6" t="e">
        <f>AND(Шахм!P41,"AAAAAD+dv9g=")</f>
        <v>#VALUE!</v>
      </c>
      <c r="HJ6" t="e">
        <f>AND(Шахм!Q41,"AAAAAD+dv9k=")</f>
        <v>#VALUE!</v>
      </c>
      <c r="HK6" t="e">
        <f>AND(Шахм!R41,"AAAAAD+dv9o=")</f>
        <v>#VALUE!</v>
      </c>
      <c r="HL6" t="e">
        <f>AND(Шахм!S41,"AAAAAD+dv9s=")</f>
        <v>#VALUE!</v>
      </c>
      <c r="HM6" t="e">
        <f>AND(Шахм!T41,"AAAAAD+dv9w=")</f>
        <v>#VALUE!</v>
      </c>
      <c r="HN6" t="e">
        <f>AND(Шахм!U41,"AAAAAD+dv90=")</f>
        <v>#VALUE!</v>
      </c>
      <c r="HO6" t="e">
        <f>AND(Шахм!V41,"AAAAAD+dv94=")</f>
        <v>#VALUE!</v>
      </c>
      <c r="HP6" t="e">
        <f>AND(Шахм!W41,"AAAAAD+dv98=")</f>
        <v>#VALUE!</v>
      </c>
      <c r="HQ6" t="e">
        <f>AND(Шахм!X41,"AAAAAD+dv+A=")</f>
        <v>#VALUE!</v>
      </c>
      <c r="HR6" t="e">
        <f>AND(Шахм!Y41,"AAAAAD+dv+E=")</f>
        <v>#VALUE!</v>
      </c>
      <c r="HS6" t="e">
        <f>AND(Шахм!Z41,"AAAAAD+dv+I=")</f>
        <v>#VALUE!</v>
      </c>
      <c r="HT6" t="e">
        <f>AND(Шахм!AA41,"AAAAAD+dv+M=")</f>
        <v>#VALUE!</v>
      </c>
      <c r="HU6" t="e">
        <f>AND(Шахм!AB41,"AAAAAD+dv+Q=")</f>
        <v>#VALUE!</v>
      </c>
      <c r="HV6" t="e">
        <f>AND(Шахм!AC41,"AAAAAD+dv+U=")</f>
        <v>#VALUE!</v>
      </c>
      <c r="HW6" t="e">
        <f>AND(Шахм!AD41,"AAAAAD+dv+Y=")</f>
        <v>#VALUE!</v>
      </c>
      <c r="HX6" t="e">
        <f>AND(Шахм!AE41,"AAAAAD+dv+c=")</f>
        <v>#VALUE!</v>
      </c>
      <c r="HY6" t="e">
        <f>AND(Шахм!AF41,"AAAAAD+dv+g=")</f>
        <v>#VALUE!</v>
      </c>
      <c r="HZ6" t="e">
        <f>AND(Шахм!AG41,"AAAAAD+dv+k=")</f>
        <v>#VALUE!</v>
      </c>
      <c r="IA6" t="e">
        <f>AND(Шахм!AH41,"AAAAAD+dv+o=")</f>
        <v>#VALUE!</v>
      </c>
      <c r="IB6" t="e">
        <f>AND(Шахм!AI41,"AAAAAD+dv+s=")</f>
        <v>#VALUE!</v>
      </c>
      <c r="IC6" t="e">
        <f>AND(Шахм!AJ41,"AAAAAD+dv+w=")</f>
        <v>#VALUE!</v>
      </c>
      <c r="ID6">
        <f>IF(Шахм!42:42,"AAAAAD+dv+0=",0)</f>
        <v>0</v>
      </c>
      <c r="IE6" t="e">
        <f>AND(Шахм!A42,"AAAAAD+dv+4=")</f>
        <v>#VALUE!</v>
      </c>
      <c r="IF6" t="e">
        <f>AND(Шахм!B42,"AAAAAD+dv+8=")</f>
        <v>#VALUE!</v>
      </c>
      <c r="IG6" t="e">
        <f>AND(Шахм!C42,"AAAAAD+dv/A=")</f>
        <v>#VALUE!</v>
      </c>
      <c r="IH6" t="e">
        <f>AND(Шахм!D42,"AAAAAD+dv/E=")</f>
        <v>#VALUE!</v>
      </c>
      <c r="II6" t="e">
        <f>AND(Шахм!E42,"AAAAAD+dv/I=")</f>
        <v>#VALUE!</v>
      </c>
      <c r="IJ6" t="e">
        <f>AND(Шахм!F42,"AAAAAD+dv/M=")</f>
        <v>#VALUE!</v>
      </c>
      <c r="IK6" t="e">
        <f>AND(Шахм!G42,"AAAAAD+dv/Q=")</f>
        <v>#VALUE!</v>
      </c>
      <c r="IL6" t="e">
        <f>AND(Шахм!H42,"AAAAAD+dv/U=")</f>
        <v>#VALUE!</v>
      </c>
      <c r="IM6" t="e">
        <f>AND(Шахм!I42,"AAAAAD+dv/Y=")</f>
        <v>#VALUE!</v>
      </c>
      <c r="IN6" t="e">
        <f>AND(Шахм!J42,"AAAAAD+dv/c=")</f>
        <v>#VALUE!</v>
      </c>
      <c r="IO6" t="e">
        <f>AND(Шахм!K42,"AAAAAD+dv/g=")</f>
        <v>#VALUE!</v>
      </c>
      <c r="IP6" t="e">
        <f>AND(Шахм!L42,"AAAAAD+dv/k=")</f>
        <v>#VALUE!</v>
      </c>
      <c r="IQ6" t="e">
        <f>AND(Шахм!M42,"AAAAAD+dv/o=")</f>
        <v>#VALUE!</v>
      </c>
      <c r="IR6" t="e">
        <f>AND(Шахм!N42,"AAAAAD+dv/s=")</f>
        <v>#VALUE!</v>
      </c>
      <c r="IS6" t="e">
        <f>AND(Шахм!O42,"AAAAAD+dv/w=")</f>
        <v>#VALUE!</v>
      </c>
      <c r="IT6" t="e">
        <f>AND(Шахм!P42,"AAAAAD+dv/0=")</f>
        <v>#VALUE!</v>
      </c>
      <c r="IU6" t="e">
        <f>AND(Шахм!Q42,"AAAAAD+dv/4=")</f>
        <v>#VALUE!</v>
      </c>
      <c r="IV6" t="e">
        <f>AND(Шахм!R42,"AAAAAD+dv/8=")</f>
        <v>#VALUE!</v>
      </c>
    </row>
    <row r="7" spans="1:256">
      <c r="A7" t="e">
        <f>AND(Шахм!S42,"AAAAAD++2wA=")</f>
        <v>#VALUE!</v>
      </c>
      <c r="B7" t="e">
        <f>AND(Шахм!T42,"AAAAAD++2wE=")</f>
        <v>#VALUE!</v>
      </c>
      <c r="C7" t="e">
        <f>AND(Шахм!U42,"AAAAAD++2wI=")</f>
        <v>#VALUE!</v>
      </c>
      <c r="D7" t="e">
        <f>AND(Шахм!V42,"AAAAAD++2wM=")</f>
        <v>#VALUE!</v>
      </c>
      <c r="E7" t="e">
        <f>AND(Шахм!W42,"AAAAAD++2wQ=")</f>
        <v>#VALUE!</v>
      </c>
      <c r="F7" t="e">
        <f>AND(Шахм!X42,"AAAAAD++2wU=")</f>
        <v>#VALUE!</v>
      </c>
      <c r="G7" t="e">
        <f>AND(Шахм!Y42,"AAAAAD++2wY=")</f>
        <v>#VALUE!</v>
      </c>
      <c r="H7" t="e">
        <f>AND(Шахм!Z42,"AAAAAD++2wc=")</f>
        <v>#VALUE!</v>
      </c>
      <c r="I7" t="e">
        <f>AND(Шахм!AA42,"AAAAAD++2wg=")</f>
        <v>#VALUE!</v>
      </c>
      <c r="J7" t="e">
        <f>AND(Шахм!AB42,"AAAAAD++2wk=")</f>
        <v>#VALUE!</v>
      </c>
      <c r="K7" t="e">
        <f>AND(Шахм!AC42,"AAAAAD++2wo=")</f>
        <v>#VALUE!</v>
      </c>
      <c r="L7" t="e">
        <f>AND(Шахм!AD42,"AAAAAD++2ws=")</f>
        <v>#VALUE!</v>
      </c>
      <c r="M7" t="e">
        <f>AND(Шахм!AE42,"AAAAAD++2ww=")</f>
        <v>#VALUE!</v>
      </c>
      <c r="N7" t="e">
        <f>AND(Шахм!AF42,"AAAAAD++2w0=")</f>
        <v>#VALUE!</v>
      </c>
      <c r="O7" t="e">
        <f>AND(Шахм!AG42,"AAAAAD++2w4=")</f>
        <v>#VALUE!</v>
      </c>
      <c r="P7" t="e">
        <f>AND(Шахм!AH42,"AAAAAD++2w8=")</f>
        <v>#VALUE!</v>
      </c>
      <c r="Q7" t="e">
        <f>AND(Шахм!AI42,"AAAAAD++2xA=")</f>
        <v>#VALUE!</v>
      </c>
      <c r="R7" t="e">
        <f>AND(Шахм!AJ42,"AAAAAD++2xE=")</f>
        <v>#VALUE!</v>
      </c>
      <c r="S7">
        <f>IF(Шахм!43:43,"AAAAAD++2xI=",0)</f>
        <v>0</v>
      </c>
      <c r="T7" t="e">
        <f>AND(Шахм!A43,"AAAAAD++2xM=")</f>
        <v>#VALUE!</v>
      </c>
      <c r="U7" t="e">
        <f>AND(Шахм!B43,"AAAAAD++2xQ=")</f>
        <v>#VALUE!</v>
      </c>
      <c r="V7" t="e">
        <f>AND(Шахм!C43,"AAAAAD++2xU=")</f>
        <v>#VALUE!</v>
      </c>
      <c r="W7" t="e">
        <f>AND(Шахм!D43,"AAAAAD++2xY=")</f>
        <v>#VALUE!</v>
      </c>
      <c r="X7" t="e">
        <f>AND(Шахм!E43,"AAAAAD++2xc=")</f>
        <v>#VALUE!</v>
      </c>
      <c r="Y7" t="e">
        <f>AND(Шахм!F43,"AAAAAD++2xg=")</f>
        <v>#VALUE!</v>
      </c>
      <c r="Z7" t="e">
        <f>AND(Шахм!G43,"AAAAAD++2xk=")</f>
        <v>#VALUE!</v>
      </c>
      <c r="AA7" t="e">
        <f>AND(Шахм!H43,"AAAAAD++2xo=")</f>
        <v>#VALUE!</v>
      </c>
      <c r="AB7" t="e">
        <f>AND(Шахм!I43,"AAAAAD++2xs=")</f>
        <v>#VALUE!</v>
      </c>
      <c r="AC7" t="e">
        <f>AND(Шахм!J43,"AAAAAD++2xw=")</f>
        <v>#VALUE!</v>
      </c>
      <c r="AD7" t="e">
        <f>AND(Шахм!K43,"AAAAAD++2x0=")</f>
        <v>#VALUE!</v>
      </c>
      <c r="AE7" t="e">
        <f>AND(Шахм!L43,"AAAAAD++2x4=")</f>
        <v>#VALUE!</v>
      </c>
      <c r="AF7" t="e">
        <f>AND(Шахм!M43,"AAAAAD++2x8=")</f>
        <v>#VALUE!</v>
      </c>
      <c r="AG7" t="e">
        <f>AND(Шахм!N43,"AAAAAD++2yA=")</f>
        <v>#VALUE!</v>
      </c>
      <c r="AH7" t="e">
        <f>AND(Шахм!O43,"AAAAAD++2yE=")</f>
        <v>#VALUE!</v>
      </c>
      <c r="AI7" t="e">
        <f>AND(Шахм!P43,"AAAAAD++2yI=")</f>
        <v>#VALUE!</v>
      </c>
      <c r="AJ7" t="e">
        <f>AND(Шахм!Q43,"AAAAAD++2yM=")</f>
        <v>#VALUE!</v>
      </c>
      <c r="AK7" t="e">
        <f>AND(Шахм!R43,"AAAAAD++2yQ=")</f>
        <v>#VALUE!</v>
      </c>
      <c r="AL7" t="e">
        <f>AND(Шахм!S43,"AAAAAD++2yU=")</f>
        <v>#VALUE!</v>
      </c>
      <c r="AM7" t="e">
        <f>AND(Шахм!T43,"AAAAAD++2yY=")</f>
        <v>#VALUE!</v>
      </c>
      <c r="AN7" t="e">
        <f>AND(Шахм!U43,"AAAAAD++2yc=")</f>
        <v>#VALUE!</v>
      </c>
      <c r="AO7" t="e">
        <f>AND(Шахм!V43,"AAAAAD++2yg=")</f>
        <v>#VALUE!</v>
      </c>
      <c r="AP7" t="e">
        <f>AND(Шахм!W43,"AAAAAD++2yk=")</f>
        <v>#VALUE!</v>
      </c>
      <c r="AQ7" t="e">
        <f>AND(Шахм!X43,"AAAAAD++2yo=")</f>
        <v>#VALUE!</v>
      </c>
      <c r="AR7" t="e">
        <f>AND(Шахм!Y43,"AAAAAD++2ys=")</f>
        <v>#VALUE!</v>
      </c>
      <c r="AS7" t="e">
        <f>AND(Шахм!Z43,"AAAAAD++2yw=")</f>
        <v>#VALUE!</v>
      </c>
      <c r="AT7" t="e">
        <f>AND(Шахм!AA43,"AAAAAD++2y0=")</f>
        <v>#VALUE!</v>
      </c>
      <c r="AU7" t="e">
        <f>AND(Шахм!AB43,"AAAAAD++2y4=")</f>
        <v>#VALUE!</v>
      </c>
      <c r="AV7" t="e">
        <f>AND(Шахм!AC43,"AAAAAD++2y8=")</f>
        <v>#VALUE!</v>
      </c>
      <c r="AW7" t="e">
        <f>AND(Шахм!AD43,"AAAAAD++2zA=")</f>
        <v>#VALUE!</v>
      </c>
      <c r="AX7" t="e">
        <f>AND(Шахм!AE43,"AAAAAD++2zE=")</f>
        <v>#VALUE!</v>
      </c>
      <c r="AY7" t="e">
        <f>AND(Шахм!AF43,"AAAAAD++2zI=")</f>
        <v>#VALUE!</v>
      </c>
      <c r="AZ7" t="e">
        <f>AND(Шахм!AG43,"AAAAAD++2zM=")</f>
        <v>#VALUE!</v>
      </c>
      <c r="BA7" t="e">
        <f>AND(Шахм!AH43,"AAAAAD++2zQ=")</f>
        <v>#VALUE!</v>
      </c>
      <c r="BB7" t="e">
        <f>AND(Шахм!AI43,"AAAAAD++2zU=")</f>
        <v>#VALUE!</v>
      </c>
      <c r="BC7" t="e">
        <f>AND(Шахм!AJ43,"AAAAAD++2zY=")</f>
        <v>#VALUE!</v>
      </c>
      <c r="BD7">
        <f>IF(Шахм!44:44,"AAAAAD++2zc=",0)</f>
        <v>0</v>
      </c>
      <c r="BE7" t="e">
        <f>AND(Шахм!A44,"AAAAAD++2zg=")</f>
        <v>#VALUE!</v>
      </c>
      <c r="BF7" t="e">
        <f>AND(Шахм!B44,"AAAAAD++2zk=")</f>
        <v>#VALUE!</v>
      </c>
      <c r="BG7" t="e">
        <f>AND(Шахм!C44,"AAAAAD++2zo=")</f>
        <v>#VALUE!</v>
      </c>
      <c r="BH7" t="e">
        <f>AND(Шахм!D44,"AAAAAD++2zs=")</f>
        <v>#VALUE!</v>
      </c>
      <c r="BI7" t="e">
        <f>AND(Шахм!E44,"AAAAAD++2zw=")</f>
        <v>#VALUE!</v>
      </c>
      <c r="BJ7" t="e">
        <f>AND(Шахм!F44,"AAAAAD++2z0=")</f>
        <v>#VALUE!</v>
      </c>
      <c r="BK7" t="e">
        <f>AND(Шахм!G44,"AAAAAD++2z4=")</f>
        <v>#VALUE!</v>
      </c>
      <c r="BL7" t="e">
        <f>AND(Шахм!H44,"AAAAAD++2z8=")</f>
        <v>#VALUE!</v>
      </c>
      <c r="BM7" t="e">
        <f>AND(Шахм!I44,"AAAAAD++20A=")</f>
        <v>#VALUE!</v>
      </c>
      <c r="BN7" t="e">
        <f>AND(Шахм!J44,"AAAAAD++20E=")</f>
        <v>#VALUE!</v>
      </c>
      <c r="BO7" t="e">
        <f>AND(Шахм!K44,"AAAAAD++20I=")</f>
        <v>#VALUE!</v>
      </c>
      <c r="BP7" t="e">
        <f>AND(Шахм!L44,"AAAAAD++20M=")</f>
        <v>#VALUE!</v>
      </c>
      <c r="BQ7" t="e">
        <f>AND(Шахм!M44,"AAAAAD++20Q=")</f>
        <v>#VALUE!</v>
      </c>
      <c r="BR7" t="e">
        <f>AND(Шахм!N44,"AAAAAD++20U=")</f>
        <v>#VALUE!</v>
      </c>
      <c r="BS7" t="e">
        <f>AND(Шахм!O44,"AAAAAD++20Y=")</f>
        <v>#VALUE!</v>
      </c>
      <c r="BT7" t="e">
        <f>AND(Шахм!P44,"AAAAAD++20c=")</f>
        <v>#VALUE!</v>
      </c>
      <c r="BU7" t="e">
        <f>AND(Шахм!Q44,"AAAAAD++20g=")</f>
        <v>#VALUE!</v>
      </c>
      <c r="BV7" t="e">
        <f>AND(Шахм!R44,"AAAAAD++20k=")</f>
        <v>#VALUE!</v>
      </c>
      <c r="BW7" t="e">
        <f>AND(Шахм!S44,"AAAAAD++20o=")</f>
        <v>#VALUE!</v>
      </c>
      <c r="BX7" t="e">
        <f>AND(Шахм!T44,"AAAAAD++20s=")</f>
        <v>#VALUE!</v>
      </c>
      <c r="BY7" t="e">
        <f>AND(Шахм!U44,"AAAAAD++20w=")</f>
        <v>#VALUE!</v>
      </c>
      <c r="BZ7" t="e">
        <f>AND(Шахм!V44,"AAAAAD++200=")</f>
        <v>#VALUE!</v>
      </c>
      <c r="CA7" t="e">
        <f>AND(Шахм!W44,"AAAAAD++204=")</f>
        <v>#VALUE!</v>
      </c>
      <c r="CB7" t="e">
        <f>AND(Шахм!X44,"AAAAAD++208=")</f>
        <v>#VALUE!</v>
      </c>
      <c r="CC7" t="e">
        <f>AND(Шахм!Y44,"AAAAAD++21A=")</f>
        <v>#VALUE!</v>
      </c>
      <c r="CD7" t="e">
        <f>AND(Шахм!Z44,"AAAAAD++21E=")</f>
        <v>#VALUE!</v>
      </c>
      <c r="CE7" t="e">
        <f>AND(Шахм!AA44,"AAAAAD++21I=")</f>
        <v>#VALUE!</v>
      </c>
      <c r="CF7" t="e">
        <f>AND(Шахм!AB44,"AAAAAD++21M=")</f>
        <v>#VALUE!</v>
      </c>
      <c r="CG7" t="e">
        <f>AND(Шахм!AC44,"AAAAAD++21Q=")</f>
        <v>#VALUE!</v>
      </c>
      <c r="CH7" t="e">
        <f>AND(Шахм!AD44,"AAAAAD++21U=")</f>
        <v>#VALUE!</v>
      </c>
      <c r="CI7" t="e">
        <f>AND(Шахм!AE44,"AAAAAD++21Y=")</f>
        <v>#VALUE!</v>
      </c>
      <c r="CJ7" t="e">
        <f>AND(Шахм!AF44,"AAAAAD++21c=")</f>
        <v>#VALUE!</v>
      </c>
      <c r="CK7" t="e">
        <f>AND(Шахм!AG44,"AAAAAD++21g=")</f>
        <v>#VALUE!</v>
      </c>
      <c r="CL7" t="e">
        <f>AND(Шахм!AH44,"AAAAAD++21k=")</f>
        <v>#VALUE!</v>
      </c>
      <c r="CM7" t="e">
        <f>AND(Шахм!AI44,"AAAAAD++21o=")</f>
        <v>#VALUE!</v>
      </c>
      <c r="CN7" t="e">
        <f>AND(Шахм!AJ44,"AAAAAD++21s=")</f>
        <v>#VALUE!</v>
      </c>
      <c r="CO7">
        <f>IF(Шахм!45:45,"AAAAAD++21w=",0)</f>
        <v>0</v>
      </c>
      <c r="CP7" t="e">
        <f>AND(Шахм!A45,"AAAAAD++210=")</f>
        <v>#VALUE!</v>
      </c>
      <c r="CQ7" t="e">
        <f>AND(Шахм!B45,"AAAAAD++214=")</f>
        <v>#VALUE!</v>
      </c>
      <c r="CR7" t="e">
        <f>AND(Шахм!C45,"AAAAAD++218=")</f>
        <v>#VALUE!</v>
      </c>
      <c r="CS7" t="e">
        <f>AND(Шахм!D45,"AAAAAD++22A=")</f>
        <v>#VALUE!</v>
      </c>
      <c r="CT7" t="e">
        <f>AND(Шахм!E45,"AAAAAD++22E=")</f>
        <v>#VALUE!</v>
      </c>
      <c r="CU7" t="e">
        <f>AND(Шахм!F45,"AAAAAD++22I=")</f>
        <v>#VALUE!</v>
      </c>
      <c r="CV7" t="e">
        <f>AND(Шахм!G45,"AAAAAD++22M=")</f>
        <v>#VALUE!</v>
      </c>
      <c r="CW7" t="e">
        <f>AND(Шахм!H45,"AAAAAD++22Q=")</f>
        <v>#VALUE!</v>
      </c>
      <c r="CX7" t="e">
        <f>AND(Шахм!I45,"AAAAAD++22U=")</f>
        <v>#VALUE!</v>
      </c>
      <c r="CY7" t="e">
        <f>AND(Шахм!J45,"AAAAAD++22Y=")</f>
        <v>#VALUE!</v>
      </c>
      <c r="CZ7" t="e">
        <f>AND(Шахм!K45,"AAAAAD++22c=")</f>
        <v>#VALUE!</v>
      </c>
      <c r="DA7" t="e">
        <f>AND(Шахм!L45,"AAAAAD++22g=")</f>
        <v>#VALUE!</v>
      </c>
      <c r="DB7" t="e">
        <f>AND(Шахм!M45,"AAAAAD++22k=")</f>
        <v>#VALUE!</v>
      </c>
      <c r="DC7" t="e">
        <f>AND(Шахм!N45,"AAAAAD++22o=")</f>
        <v>#VALUE!</v>
      </c>
      <c r="DD7" t="e">
        <f>AND(Шахм!O45,"AAAAAD++22s=")</f>
        <v>#VALUE!</v>
      </c>
      <c r="DE7" t="e">
        <f>AND(Шахм!P45,"AAAAAD++22w=")</f>
        <v>#VALUE!</v>
      </c>
      <c r="DF7" t="e">
        <f>AND(Шахм!Q45,"AAAAAD++220=")</f>
        <v>#VALUE!</v>
      </c>
      <c r="DG7" t="e">
        <f>AND(Шахм!R45,"AAAAAD++224=")</f>
        <v>#VALUE!</v>
      </c>
      <c r="DH7" t="e">
        <f>AND(Шахм!S45,"AAAAAD++228=")</f>
        <v>#VALUE!</v>
      </c>
      <c r="DI7" t="e">
        <f>AND(Шахм!T45,"AAAAAD++23A=")</f>
        <v>#VALUE!</v>
      </c>
      <c r="DJ7" t="e">
        <f>AND(Шахм!U45,"AAAAAD++23E=")</f>
        <v>#VALUE!</v>
      </c>
      <c r="DK7" t="e">
        <f>AND(Шахм!V45,"AAAAAD++23I=")</f>
        <v>#VALUE!</v>
      </c>
      <c r="DL7" t="e">
        <f>AND(Шахм!W45,"AAAAAD++23M=")</f>
        <v>#VALUE!</v>
      </c>
      <c r="DM7" t="e">
        <f>AND(Шахм!X45,"AAAAAD++23Q=")</f>
        <v>#VALUE!</v>
      </c>
      <c r="DN7" t="e">
        <f>AND(Шахм!Y45,"AAAAAD++23U=")</f>
        <v>#VALUE!</v>
      </c>
      <c r="DO7" t="e">
        <f>AND(Шахм!Z45,"AAAAAD++23Y=")</f>
        <v>#VALUE!</v>
      </c>
      <c r="DP7" t="e">
        <f>AND(Шахм!AA45,"AAAAAD++23c=")</f>
        <v>#VALUE!</v>
      </c>
      <c r="DQ7" t="e">
        <f>AND(Шахм!AB45,"AAAAAD++23g=")</f>
        <v>#VALUE!</v>
      </c>
      <c r="DR7" t="e">
        <f>AND(Шахм!AC45,"AAAAAD++23k=")</f>
        <v>#VALUE!</v>
      </c>
      <c r="DS7" t="e">
        <f>AND(Шахм!AD45,"AAAAAD++23o=")</f>
        <v>#VALUE!</v>
      </c>
      <c r="DT7" t="e">
        <f>AND(Шахм!AE45,"AAAAAD++23s=")</f>
        <v>#VALUE!</v>
      </c>
      <c r="DU7" t="e">
        <f>AND(Шахм!AF45,"AAAAAD++23w=")</f>
        <v>#VALUE!</v>
      </c>
      <c r="DV7" t="e">
        <f>AND(Шахм!AG45,"AAAAAD++230=")</f>
        <v>#VALUE!</v>
      </c>
      <c r="DW7" t="e">
        <f>AND(Шахм!AH45,"AAAAAD++234=")</f>
        <v>#VALUE!</v>
      </c>
      <c r="DX7" t="e">
        <f>AND(Шахм!AI45,"AAAAAD++238=")</f>
        <v>#VALUE!</v>
      </c>
      <c r="DY7" t="e">
        <f>AND(Шахм!AJ45,"AAAAAD++24A=")</f>
        <v>#VALUE!</v>
      </c>
      <c r="DZ7">
        <f>IF(Шахм!46:46,"AAAAAD++24E=",0)</f>
        <v>0</v>
      </c>
      <c r="EA7" t="e">
        <f>AND(Шахм!A46,"AAAAAD++24I=")</f>
        <v>#VALUE!</v>
      </c>
      <c r="EB7" t="e">
        <f>AND(Шахм!B46,"AAAAAD++24M=")</f>
        <v>#VALUE!</v>
      </c>
      <c r="EC7" t="e">
        <f>AND(Шахм!C46,"AAAAAD++24Q=")</f>
        <v>#VALUE!</v>
      </c>
      <c r="ED7" t="e">
        <f>AND(Шахм!D46,"AAAAAD++24U=")</f>
        <v>#VALUE!</v>
      </c>
      <c r="EE7" t="e">
        <f>AND(Шахм!E46,"AAAAAD++24Y=")</f>
        <v>#VALUE!</v>
      </c>
      <c r="EF7" t="e">
        <f>AND(Шахм!F46,"AAAAAD++24c=")</f>
        <v>#VALUE!</v>
      </c>
      <c r="EG7" t="e">
        <f>AND(Шахм!G46,"AAAAAD++24g=")</f>
        <v>#VALUE!</v>
      </c>
      <c r="EH7" t="e">
        <f>AND(Шахм!H46,"AAAAAD++24k=")</f>
        <v>#VALUE!</v>
      </c>
      <c r="EI7" t="e">
        <f>AND(Шахм!I46,"AAAAAD++24o=")</f>
        <v>#VALUE!</v>
      </c>
      <c r="EJ7" t="e">
        <f>AND(Шахм!J46,"AAAAAD++24s=")</f>
        <v>#VALUE!</v>
      </c>
      <c r="EK7" t="e">
        <f>AND(Шахм!K46,"AAAAAD++24w=")</f>
        <v>#VALUE!</v>
      </c>
      <c r="EL7" t="e">
        <f>AND(Шахм!L46,"AAAAAD++240=")</f>
        <v>#VALUE!</v>
      </c>
      <c r="EM7" t="e">
        <f>AND(Шахм!M46,"AAAAAD++244=")</f>
        <v>#VALUE!</v>
      </c>
      <c r="EN7" t="e">
        <f>AND(Шахм!N46,"AAAAAD++248=")</f>
        <v>#VALUE!</v>
      </c>
      <c r="EO7" t="e">
        <f>AND(Шахм!O46,"AAAAAD++25A=")</f>
        <v>#VALUE!</v>
      </c>
      <c r="EP7" t="e">
        <f>AND(Шахм!P46,"AAAAAD++25E=")</f>
        <v>#VALUE!</v>
      </c>
      <c r="EQ7" t="e">
        <f>AND(Шахм!Q46,"AAAAAD++25I=")</f>
        <v>#VALUE!</v>
      </c>
      <c r="ER7" t="e">
        <f>AND(Шахм!R46,"AAAAAD++25M=")</f>
        <v>#VALUE!</v>
      </c>
      <c r="ES7" t="e">
        <f>AND(Шахм!S46,"AAAAAD++25Q=")</f>
        <v>#VALUE!</v>
      </c>
      <c r="ET7" t="e">
        <f>AND(Шахм!T46,"AAAAAD++25U=")</f>
        <v>#VALUE!</v>
      </c>
      <c r="EU7" t="e">
        <f>AND(Шахм!U46,"AAAAAD++25Y=")</f>
        <v>#VALUE!</v>
      </c>
      <c r="EV7" t="e">
        <f>AND(Шахм!V46,"AAAAAD++25c=")</f>
        <v>#VALUE!</v>
      </c>
      <c r="EW7" t="e">
        <f>AND(Шахм!W46,"AAAAAD++25g=")</f>
        <v>#VALUE!</v>
      </c>
      <c r="EX7" t="e">
        <f>AND(Шахм!X46,"AAAAAD++25k=")</f>
        <v>#VALUE!</v>
      </c>
      <c r="EY7" t="e">
        <f>AND(Шахм!Y46,"AAAAAD++25o=")</f>
        <v>#VALUE!</v>
      </c>
      <c r="EZ7" t="e">
        <f>AND(Шахм!Z46,"AAAAAD++25s=")</f>
        <v>#VALUE!</v>
      </c>
      <c r="FA7" t="e">
        <f>AND(Шахм!AA46,"AAAAAD++25w=")</f>
        <v>#VALUE!</v>
      </c>
      <c r="FB7" t="e">
        <f>AND(Шахм!AB46,"AAAAAD++250=")</f>
        <v>#VALUE!</v>
      </c>
      <c r="FC7" t="e">
        <f>AND(Шахм!AC46,"AAAAAD++254=")</f>
        <v>#VALUE!</v>
      </c>
      <c r="FD7" t="e">
        <f>AND(Шахм!AD46,"AAAAAD++258=")</f>
        <v>#VALUE!</v>
      </c>
      <c r="FE7" t="e">
        <f>AND(Шахм!AE46,"AAAAAD++26A=")</f>
        <v>#VALUE!</v>
      </c>
      <c r="FF7" t="e">
        <f>AND(Шахм!AF46,"AAAAAD++26E=")</f>
        <v>#VALUE!</v>
      </c>
      <c r="FG7" t="e">
        <f>AND(Шахм!AG46,"AAAAAD++26I=")</f>
        <v>#VALUE!</v>
      </c>
      <c r="FH7" t="e">
        <f>AND(Шахм!AH46,"AAAAAD++26M=")</f>
        <v>#VALUE!</v>
      </c>
      <c r="FI7" t="e">
        <f>AND(Шахм!AI46,"AAAAAD++26Q=")</f>
        <v>#VALUE!</v>
      </c>
      <c r="FJ7" t="e">
        <f>AND(Шахм!AJ46,"AAAAAD++26U=")</f>
        <v>#VALUE!</v>
      </c>
      <c r="FK7">
        <f>IF(Шахм!47:47,"AAAAAD++26Y=",0)</f>
        <v>0</v>
      </c>
      <c r="FL7" t="e">
        <f>AND(Шахм!A47,"AAAAAD++26c=")</f>
        <v>#VALUE!</v>
      </c>
      <c r="FM7" t="e">
        <f>AND(Шахм!B47,"AAAAAD++26g=")</f>
        <v>#VALUE!</v>
      </c>
      <c r="FN7" t="e">
        <f>AND(Шахм!C47,"AAAAAD++26k=")</f>
        <v>#VALUE!</v>
      </c>
      <c r="FO7" t="e">
        <f>AND(Шахм!D47,"AAAAAD++26o=")</f>
        <v>#VALUE!</v>
      </c>
      <c r="FP7" t="e">
        <f>AND(Шахм!E47,"AAAAAD++26s=")</f>
        <v>#VALUE!</v>
      </c>
      <c r="FQ7" t="e">
        <f>AND(Шахм!F47,"AAAAAD++26w=")</f>
        <v>#VALUE!</v>
      </c>
      <c r="FR7" t="e">
        <f>AND(Шахм!G47,"AAAAAD++260=")</f>
        <v>#VALUE!</v>
      </c>
      <c r="FS7" t="e">
        <f>AND(Шахм!H47,"AAAAAD++264=")</f>
        <v>#VALUE!</v>
      </c>
      <c r="FT7" t="e">
        <f>AND(Шахм!I47,"AAAAAD++268=")</f>
        <v>#VALUE!</v>
      </c>
      <c r="FU7" t="e">
        <f>AND(Шахм!J47,"AAAAAD++27A=")</f>
        <v>#VALUE!</v>
      </c>
      <c r="FV7" t="e">
        <f>AND(Шахм!K47,"AAAAAD++27E=")</f>
        <v>#VALUE!</v>
      </c>
      <c r="FW7" t="e">
        <f>AND(Шахм!L47,"AAAAAD++27I=")</f>
        <v>#VALUE!</v>
      </c>
      <c r="FX7" t="e">
        <f>AND(Шахм!M47,"AAAAAD++27M=")</f>
        <v>#VALUE!</v>
      </c>
      <c r="FY7" t="e">
        <f>AND(Шахм!N47,"AAAAAD++27Q=")</f>
        <v>#VALUE!</v>
      </c>
      <c r="FZ7" t="e">
        <f>AND(Шахм!O47,"AAAAAD++27U=")</f>
        <v>#VALUE!</v>
      </c>
      <c r="GA7" t="e">
        <f>AND(Шахм!P47,"AAAAAD++27Y=")</f>
        <v>#VALUE!</v>
      </c>
      <c r="GB7" t="e">
        <f>AND(Шахм!Q47,"AAAAAD++27c=")</f>
        <v>#VALUE!</v>
      </c>
      <c r="GC7" t="e">
        <f>AND(Шахм!R47,"AAAAAD++27g=")</f>
        <v>#VALUE!</v>
      </c>
      <c r="GD7" t="e">
        <f>AND(Шахм!S47,"AAAAAD++27k=")</f>
        <v>#VALUE!</v>
      </c>
      <c r="GE7" t="e">
        <f>AND(Шахм!T47,"AAAAAD++27o=")</f>
        <v>#VALUE!</v>
      </c>
      <c r="GF7" t="e">
        <f>AND(Шахм!U47,"AAAAAD++27s=")</f>
        <v>#VALUE!</v>
      </c>
      <c r="GG7" t="e">
        <f>AND(Шахм!V47,"AAAAAD++27w=")</f>
        <v>#VALUE!</v>
      </c>
      <c r="GH7" t="e">
        <f>AND(Шахм!W47,"AAAAAD++270=")</f>
        <v>#VALUE!</v>
      </c>
      <c r="GI7" t="e">
        <f>AND(Шахм!X47,"AAAAAD++274=")</f>
        <v>#VALUE!</v>
      </c>
      <c r="GJ7" t="e">
        <f>AND(Шахм!Y47,"AAAAAD++278=")</f>
        <v>#VALUE!</v>
      </c>
      <c r="GK7" t="e">
        <f>AND(Шахм!Z47,"AAAAAD++28A=")</f>
        <v>#VALUE!</v>
      </c>
      <c r="GL7" t="e">
        <f>AND(Шахм!AA47,"AAAAAD++28E=")</f>
        <v>#VALUE!</v>
      </c>
      <c r="GM7" t="e">
        <f>AND(Шахм!AB47,"AAAAAD++28I=")</f>
        <v>#VALUE!</v>
      </c>
      <c r="GN7" t="e">
        <f>AND(Шахм!AC47,"AAAAAD++28M=")</f>
        <v>#VALUE!</v>
      </c>
      <c r="GO7" t="e">
        <f>AND(Шахм!AD47,"AAAAAD++28Q=")</f>
        <v>#VALUE!</v>
      </c>
      <c r="GP7" t="e">
        <f>AND(Шахм!AE47,"AAAAAD++28U=")</f>
        <v>#VALUE!</v>
      </c>
      <c r="GQ7" t="e">
        <f>AND(Шахм!AF47,"AAAAAD++28Y=")</f>
        <v>#VALUE!</v>
      </c>
      <c r="GR7" t="e">
        <f>AND(Шахм!AG47,"AAAAAD++28c=")</f>
        <v>#VALUE!</v>
      </c>
      <c r="GS7" t="e">
        <f>AND(Шахм!AH47,"AAAAAD++28g=")</f>
        <v>#VALUE!</v>
      </c>
      <c r="GT7" t="e">
        <f>AND(Шахм!AI47,"AAAAAD++28k=")</f>
        <v>#VALUE!</v>
      </c>
      <c r="GU7" t="e">
        <f>AND(Шахм!AJ47,"AAAAAD++28o=")</f>
        <v>#VALUE!</v>
      </c>
      <c r="GV7">
        <f>IF(Шахм!48:48,"AAAAAD++28s=",0)</f>
        <v>0</v>
      </c>
      <c r="GW7" t="e">
        <f>AND(Шахм!A48,"AAAAAD++28w=")</f>
        <v>#VALUE!</v>
      </c>
      <c r="GX7" t="e">
        <f>AND(Шахм!B48,"AAAAAD++280=")</f>
        <v>#VALUE!</v>
      </c>
      <c r="GY7" t="e">
        <f>AND(Шахм!C48,"AAAAAD++284=")</f>
        <v>#VALUE!</v>
      </c>
      <c r="GZ7" t="e">
        <f>AND(Шахм!D48,"AAAAAD++288=")</f>
        <v>#VALUE!</v>
      </c>
      <c r="HA7" t="e">
        <f>AND(Шахм!E48,"AAAAAD++29A=")</f>
        <v>#VALUE!</v>
      </c>
      <c r="HB7" t="e">
        <f>AND(Шахм!F48,"AAAAAD++29E=")</f>
        <v>#VALUE!</v>
      </c>
      <c r="HC7" t="e">
        <f>AND(Шахм!G48,"AAAAAD++29I=")</f>
        <v>#VALUE!</v>
      </c>
      <c r="HD7" t="e">
        <f>AND(Шахм!H48,"AAAAAD++29M=")</f>
        <v>#VALUE!</v>
      </c>
      <c r="HE7" t="e">
        <f>AND(Шахм!I48,"AAAAAD++29Q=")</f>
        <v>#VALUE!</v>
      </c>
      <c r="HF7" t="e">
        <f>AND(Шахм!J48,"AAAAAD++29U=")</f>
        <v>#VALUE!</v>
      </c>
      <c r="HG7" t="e">
        <f>AND(Шахм!K48,"AAAAAD++29Y=")</f>
        <v>#VALUE!</v>
      </c>
      <c r="HH7" t="e">
        <f>AND(Шахм!L48,"AAAAAD++29c=")</f>
        <v>#VALUE!</v>
      </c>
      <c r="HI7" t="e">
        <f>AND(Шахм!M48,"AAAAAD++29g=")</f>
        <v>#VALUE!</v>
      </c>
      <c r="HJ7" t="e">
        <f>AND(Шахм!N48,"AAAAAD++29k=")</f>
        <v>#VALUE!</v>
      </c>
      <c r="HK7" t="e">
        <f>AND(Шахм!O48,"AAAAAD++29o=")</f>
        <v>#VALUE!</v>
      </c>
      <c r="HL7" t="e">
        <f>AND(Шахм!P48,"AAAAAD++29s=")</f>
        <v>#VALUE!</v>
      </c>
      <c r="HM7" t="e">
        <f>AND(Шахм!Q48,"AAAAAD++29w=")</f>
        <v>#VALUE!</v>
      </c>
      <c r="HN7" t="e">
        <f>AND(Шахм!R48,"AAAAAD++290=")</f>
        <v>#VALUE!</v>
      </c>
      <c r="HO7" t="e">
        <f>AND(Шахм!S48,"AAAAAD++294=")</f>
        <v>#VALUE!</v>
      </c>
      <c r="HP7" t="e">
        <f>AND(Шахм!T48,"AAAAAD++298=")</f>
        <v>#VALUE!</v>
      </c>
      <c r="HQ7" t="e">
        <f>AND(Шахм!U48,"AAAAAD++2+A=")</f>
        <v>#VALUE!</v>
      </c>
      <c r="HR7" t="e">
        <f>AND(Шахм!V48,"AAAAAD++2+E=")</f>
        <v>#VALUE!</v>
      </c>
      <c r="HS7" t="e">
        <f>AND(Шахм!W48,"AAAAAD++2+I=")</f>
        <v>#VALUE!</v>
      </c>
      <c r="HT7" t="e">
        <f>AND(Шахм!X48,"AAAAAD++2+M=")</f>
        <v>#VALUE!</v>
      </c>
      <c r="HU7" t="e">
        <f>AND(Шахм!Y48,"AAAAAD++2+Q=")</f>
        <v>#VALUE!</v>
      </c>
      <c r="HV7" t="e">
        <f>AND(Шахм!Z48,"AAAAAD++2+U=")</f>
        <v>#VALUE!</v>
      </c>
      <c r="HW7" t="e">
        <f>AND(Шахм!AA48,"AAAAAD++2+Y=")</f>
        <v>#VALUE!</v>
      </c>
      <c r="HX7" t="e">
        <f>AND(Шахм!AB48,"AAAAAD++2+c=")</f>
        <v>#VALUE!</v>
      </c>
      <c r="HY7" t="e">
        <f>AND(Шахм!AC48,"AAAAAD++2+g=")</f>
        <v>#VALUE!</v>
      </c>
      <c r="HZ7" t="e">
        <f>AND(Шахм!AD48,"AAAAAD++2+k=")</f>
        <v>#VALUE!</v>
      </c>
      <c r="IA7" t="e">
        <f>AND(Шахм!AE48,"AAAAAD++2+o=")</f>
        <v>#VALUE!</v>
      </c>
      <c r="IB7" t="e">
        <f>AND(Шахм!AF48,"AAAAAD++2+s=")</f>
        <v>#VALUE!</v>
      </c>
      <c r="IC7" t="e">
        <f>AND(Шахм!AG48,"AAAAAD++2+w=")</f>
        <v>#VALUE!</v>
      </c>
      <c r="ID7" t="e">
        <f>AND(Шахм!AH48,"AAAAAD++2+0=")</f>
        <v>#VALUE!</v>
      </c>
      <c r="IE7" t="e">
        <f>AND(Шахм!AI48,"AAAAAD++2+4=")</f>
        <v>#VALUE!</v>
      </c>
      <c r="IF7" t="e">
        <f>AND(Шахм!AJ48,"AAAAAD++2+8=")</f>
        <v>#VALUE!</v>
      </c>
      <c r="IG7">
        <f>IF(Шахм!49:49,"AAAAAD++2/A=",0)</f>
        <v>0</v>
      </c>
      <c r="IH7" t="e">
        <f>AND(Шахм!A49,"AAAAAD++2/E=")</f>
        <v>#VALUE!</v>
      </c>
      <c r="II7" t="e">
        <f>AND(Шахм!B49,"AAAAAD++2/I=")</f>
        <v>#VALUE!</v>
      </c>
      <c r="IJ7" t="e">
        <f>AND(Шахм!C49,"AAAAAD++2/M=")</f>
        <v>#VALUE!</v>
      </c>
      <c r="IK7" t="e">
        <f>AND(Шахм!D49,"AAAAAD++2/Q=")</f>
        <v>#VALUE!</v>
      </c>
      <c r="IL7" t="e">
        <f>AND(Шахм!E49,"AAAAAD++2/U=")</f>
        <v>#VALUE!</v>
      </c>
      <c r="IM7" t="e">
        <f>AND(Шахм!F49,"AAAAAD++2/Y=")</f>
        <v>#VALUE!</v>
      </c>
      <c r="IN7" t="e">
        <f>AND(Шахм!G49,"AAAAAD++2/c=")</f>
        <v>#VALUE!</v>
      </c>
      <c r="IO7" t="e">
        <f>AND(Шахм!H49,"AAAAAD++2/g=")</f>
        <v>#VALUE!</v>
      </c>
      <c r="IP7" t="e">
        <f>AND(Шахм!I49,"AAAAAD++2/k=")</f>
        <v>#VALUE!</v>
      </c>
      <c r="IQ7" t="e">
        <f>AND(Шахм!J49,"AAAAAD++2/o=")</f>
        <v>#VALUE!</v>
      </c>
      <c r="IR7" t="e">
        <f>AND(Шахм!K49,"AAAAAD++2/s=")</f>
        <v>#VALUE!</v>
      </c>
      <c r="IS7" t="e">
        <f>AND(Шахм!L49,"AAAAAD++2/w=")</f>
        <v>#VALUE!</v>
      </c>
      <c r="IT7" t="e">
        <f>AND(Шахм!M49,"AAAAAD++2/0=")</f>
        <v>#VALUE!</v>
      </c>
      <c r="IU7" t="e">
        <f>AND(Шахм!N49,"AAAAAD++2/4=")</f>
        <v>#VALUE!</v>
      </c>
      <c r="IV7" t="e">
        <f>AND(Шахм!O49,"AAAAAD++2/8=")</f>
        <v>#VALUE!</v>
      </c>
    </row>
    <row r="8" spans="1:256">
      <c r="A8" t="e">
        <f>AND(Шахм!P49,"AAAAAG+n/wA=")</f>
        <v>#VALUE!</v>
      </c>
      <c r="B8" t="e">
        <f>AND(Шахм!Q49,"AAAAAG+n/wE=")</f>
        <v>#VALUE!</v>
      </c>
      <c r="C8" t="e">
        <f>AND(Шахм!R49,"AAAAAG+n/wI=")</f>
        <v>#VALUE!</v>
      </c>
      <c r="D8" t="e">
        <f>AND(Шахм!S49,"AAAAAG+n/wM=")</f>
        <v>#VALUE!</v>
      </c>
      <c r="E8" t="e">
        <f>AND(Шахм!T49,"AAAAAG+n/wQ=")</f>
        <v>#VALUE!</v>
      </c>
      <c r="F8" t="e">
        <f>AND(Шахм!U49,"AAAAAG+n/wU=")</f>
        <v>#VALUE!</v>
      </c>
      <c r="G8" t="e">
        <f>AND(Шахм!V49,"AAAAAG+n/wY=")</f>
        <v>#VALUE!</v>
      </c>
      <c r="H8" t="e">
        <f>AND(Шахм!W49,"AAAAAG+n/wc=")</f>
        <v>#VALUE!</v>
      </c>
      <c r="I8" t="e">
        <f>AND(Шахм!X49,"AAAAAG+n/wg=")</f>
        <v>#VALUE!</v>
      </c>
      <c r="J8" t="e">
        <f>AND(Шахм!Y49,"AAAAAG+n/wk=")</f>
        <v>#VALUE!</v>
      </c>
      <c r="K8" t="e">
        <f>AND(Шахм!Z49,"AAAAAG+n/wo=")</f>
        <v>#VALUE!</v>
      </c>
      <c r="L8" t="e">
        <f>AND(Шахм!AA49,"AAAAAG+n/ws=")</f>
        <v>#VALUE!</v>
      </c>
      <c r="M8" t="e">
        <f>AND(Шахм!AB49,"AAAAAG+n/ww=")</f>
        <v>#VALUE!</v>
      </c>
      <c r="N8" t="e">
        <f>AND(Шахм!AC49,"AAAAAG+n/w0=")</f>
        <v>#VALUE!</v>
      </c>
      <c r="O8" t="e">
        <f>AND(Шахм!AD49,"AAAAAG+n/w4=")</f>
        <v>#VALUE!</v>
      </c>
      <c r="P8" t="e">
        <f>AND(Шахм!AE49,"AAAAAG+n/w8=")</f>
        <v>#VALUE!</v>
      </c>
      <c r="Q8" t="e">
        <f>AND(Шахм!AF49,"AAAAAG+n/xA=")</f>
        <v>#VALUE!</v>
      </c>
      <c r="R8" t="e">
        <f>AND(Шахм!AG49,"AAAAAG+n/xE=")</f>
        <v>#VALUE!</v>
      </c>
      <c r="S8" t="e">
        <f>AND(Шахм!AH49,"AAAAAG+n/xI=")</f>
        <v>#VALUE!</v>
      </c>
      <c r="T8" t="e">
        <f>AND(Шахм!AI49,"AAAAAG+n/xM=")</f>
        <v>#VALUE!</v>
      </c>
      <c r="U8" t="e">
        <f>AND(Шахм!AJ49,"AAAAAG+n/xQ=")</f>
        <v>#VALUE!</v>
      </c>
      <c r="V8">
        <f>IF(Шахм!50:50,"AAAAAG+n/xU=",0)</f>
        <v>0</v>
      </c>
      <c r="W8" t="e">
        <f>AND(Шахм!A50,"AAAAAG+n/xY=")</f>
        <v>#VALUE!</v>
      </c>
      <c r="X8" t="e">
        <f>AND(Шахм!B50,"AAAAAG+n/xc=")</f>
        <v>#VALUE!</v>
      </c>
      <c r="Y8" t="e">
        <f>AND(Шахм!C50,"AAAAAG+n/xg=")</f>
        <v>#VALUE!</v>
      </c>
      <c r="Z8" t="e">
        <f>AND(Шахм!D50,"AAAAAG+n/xk=")</f>
        <v>#VALUE!</v>
      </c>
      <c r="AA8" t="e">
        <f>AND(Шахм!E50,"AAAAAG+n/xo=")</f>
        <v>#VALUE!</v>
      </c>
      <c r="AB8" t="e">
        <f>AND(Шахм!F50,"AAAAAG+n/xs=")</f>
        <v>#VALUE!</v>
      </c>
      <c r="AC8" t="e">
        <f>AND(Шахм!G50,"AAAAAG+n/xw=")</f>
        <v>#VALUE!</v>
      </c>
      <c r="AD8" t="e">
        <f>AND(Шахм!H50,"AAAAAG+n/x0=")</f>
        <v>#VALUE!</v>
      </c>
      <c r="AE8" t="e">
        <f>AND(Шахм!I50,"AAAAAG+n/x4=")</f>
        <v>#VALUE!</v>
      </c>
      <c r="AF8" t="e">
        <f>AND(Шахм!J50,"AAAAAG+n/x8=")</f>
        <v>#VALUE!</v>
      </c>
      <c r="AG8" t="e">
        <f>AND(Шахм!K50,"AAAAAG+n/yA=")</f>
        <v>#VALUE!</v>
      </c>
      <c r="AH8" t="e">
        <f>AND(Шахм!L50,"AAAAAG+n/yE=")</f>
        <v>#VALUE!</v>
      </c>
      <c r="AI8" t="e">
        <f>AND(Шахм!M50,"AAAAAG+n/yI=")</f>
        <v>#VALUE!</v>
      </c>
      <c r="AJ8" t="e">
        <f>AND(Шахм!N50,"AAAAAG+n/yM=")</f>
        <v>#VALUE!</v>
      </c>
      <c r="AK8" t="e">
        <f>AND(Шахм!O50,"AAAAAG+n/yQ=")</f>
        <v>#VALUE!</v>
      </c>
      <c r="AL8" t="e">
        <f>AND(Шахм!P50,"AAAAAG+n/yU=")</f>
        <v>#VALUE!</v>
      </c>
      <c r="AM8" t="e">
        <f>AND(Шахм!Q50,"AAAAAG+n/yY=")</f>
        <v>#VALUE!</v>
      </c>
      <c r="AN8" t="e">
        <f>AND(Шахм!R50,"AAAAAG+n/yc=")</f>
        <v>#VALUE!</v>
      </c>
      <c r="AO8" t="e">
        <f>AND(Шахм!S50,"AAAAAG+n/yg=")</f>
        <v>#VALUE!</v>
      </c>
      <c r="AP8" t="e">
        <f>AND(Шахм!T50,"AAAAAG+n/yk=")</f>
        <v>#VALUE!</v>
      </c>
      <c r="AQ8" t="e">
        <f>AND(Шахм!U50,"AAAAAG+n/yo=")</f>
        <v>#VALUE!</v>
      </c>
      <c r="AR8" t="e">
        <f>AND(Шахм!V50,"AAAAAG+n/ys=")</f>
        <v>#VALUE!</v>
      </c>
      <c r="AS8" t="e">
        <f>AND(Шахм!W50,"AAAAAG+n/yw=")</f>
        <v>#VALUE!</v>
      </c>
      <c r="AT8" t="e">
        <f>AND(Шахм!X50,"AAAAAG+n/y0=")</f>
        <v>#VALUE!</v>
      </c>
      <c r="AU8" t="e">
        <f>AND(Шахм!Y50,"AAAAAG+n/y4=")</f>
        <v>#VALUE!</v>
      </c>
      <c r="AV8" t="e">
        <f>AND(Шахм!Z50,"AAAAAG+n/y8=")</f>
        <v>#VALUE!</v>
      </c>
      <c r="AW8" t="e">
        <f>AND(Шахм!AA50,"AAAAAG+n/zA=")</f>
        <v>#VALUE!</v>
      </c>
      <c r="AX8" t="e">
        <f>AND(Шахм!AB50,"AAAAAG+n/zE=")</f>
        <v>#VALUE!</v>
      </c>
      <c r="AY8" t="e">
        <f>AND(Шахм!AC50,"AAAAAG+n/zI=")</f>
        <v>#VALUE!</v>
      </c>
      <c r="AZ8" t="e">
        <f>AND(Шахм!AD50,"AAAAAG+n/zM=")</f>
        <v>#VALUE!</v>
      </c>
      <c r="BA8" t="e">
        <f>AND(Шахм!AE50,"AAAAAG+n/zQ=")</f>
        <v>#VALUE!</v>
      </c>
      <c r="BB8" t="e">
        <f>AND(Шахм!AF50,"AAAAAG+n/zU=")</f>
        <v>#VALUE!</v>
      </c>
      <c r="BC8" t="e">
        <f>AND(Шахм!AG50,"AAAAAG+n/zY=")</f>
        <v>#VALUE!</v>
      </c>
      <c r="BD8" t="e">
        <f>AND(Шахм!AH50,"AAAAAG+n/zc=")</f>
        <v>#VALUE!</v>
      </c>
      <c r="BE8" t="e">
        <f>AND(Шахм!AI50,"AAAAAG+n/zg=")</f>
        <v>#VALUE!</v>
      </c>
      <c r="BF8" t="e">
        <f>AND(Шахм!AJ50,"AAAAAG+n/zk=")</f>
        <v>#VALUE!</v>
      </c>
      <c r="BG8">
        <f>IF(Шахм!51:51,"AAAAAG+n/zo=",0)</f>
        <v>0</v>
      </c>
      <c r="BH8" t="e">
        <f>AND(Шахм!A51,"AAAAAG+n/zs=")</f>
        <v>#VALUE!</v>
      </c>
      <c r="BI8" t="e">
        <f>AND(Шахм!B51,"AAAAAG+n/zw=")</f>
        <v>#VALUE!</v>
      </c>
      <c r="BJ8" t="e">
        <f>AND(Шахм!C51,"AAAAAG+n/z0=")</f>
        <v>#VALUE!</v>
      </c>
      <c r="BK8" t="e">
        <f>AND(Шахм!D51,"AAAAAG+n/z4=")</f>
        <v>#VALUE!</v>
      </c>
      <c r="BL8" t="e">
        <f>AND(Шахм!E51,"AAAAAG+n/z8=")</f>
        <v>#VALUE!</v>
      </c>
      <c r="BM8" t="e">
        <f>AND(Шахм!F51,"AAAAAG+n/0A=")</f>
        <v>#VALUE!</v>
      </c>
      <c r="BN8" t="e">
        <f>AND(Шахм!G51,"AAAAAG+n/0E=")</f>
        <v>#VALUE!</v>
      </c>
      <c r="BO8" t="e">
        <f>AND(Шахм!H51,"AAAAAG+n/0I=")</f>
        <v>#VALUE!</v>
      </c>
      <c r="BP8" t="e">
        <f>AND(Шахм!I51,"AAAAAG+n/0M=")</f>
        <v>#VALUE!</v>
      </c>
      <c r="BQ8" t="e">
        <f>AND(Шахм!J51,"AAAAAG+n/0Q=")</f>
        <v>#VALUE!</v>
      </c>
      <c r="BR8" t="e">
        <f>AND(Шахм!K51,"AAAAAG+n/0U=")</f>
        <v>#VALUE!</v>
      </c>
      <c r="BS8" t="e">
        <f>AND(Шахм!L51,"AAAAAG+n/0Y=")</f>
        <v>#VALUE!</v>
      </c>
      <c r="BT8" t="e">
        <f>AND(Шахм!M51,"AAAAAG+n/0c=")</f>
        <v>#VALUE!</v>
      </c>
      <c r="BU8" t="e">
        <f>AND(Шахм!N51,"AAAAAG+n/0g=")</f>
        <v>#VALUE!</v>
      </c>
      <c r="BV8" t="e">
        <f>AND(Шахм!O51,"AAAAAG+n/0k=")</f>
        <v>#VALUE!</v>
      </c>
      <c r="BW8" t="e">
        <f>AND(Шахм!P51,"AAAAAG+n/0o=")</f>
        <v>#VALUE!</v>
      </c>
      <c r="BX8" t="e">
        <f>AND(Шахм!Q51,"AAAAAG+n/0s=")</f>
        <v>#VALUE!</v>
      </c>
      <c r="BY8" t="e">
        <f>AND(Шахм!R51,"AAAAAG+n/0w=")</f>
        <v>#VALUE!</v>
      </c>
      <c r="BZ8" t="e">
        <f>AND(Шахм!S51,"AAAAAG+n/00=")</f>
        <v>#VALUE!</v>
      </c>
      <c r="CA8" t="e">
        <f>AND(Шахм!T51,"AAAAAG+n/04=")</f>
        <v>#VALUE!</v>
      </c>
      <c r="CB8" t="e">
        <f>AND(Шахм!U51,"AAAAAG+n/08=")</f>
        <v>#VALUE!</v>
      </c>
      <c r="CC8" t="e">
        <f>AND(Шахм!V51,"AAAAAG+n/1A=")</f>
        <v>#VALUE!</v>
      </c>
      <c r="CD8" t="e">
        <f>AND(Шахм!W51,"AAAAAG+n/1E=")</f>
        <v>#VALUE!</v>
      </c>
      <c r="CE8" t="e">
        <f>AND(Шахм!X51,"AAAAAG+n/1I=")</f>
        <v>#VALUE!</v>
      </c>
      <c r="CF8" t="e">
        <f>AND(Шахм!Y51,"AAAAAG+n/1M=")</f>
        <v>#VALUE!</v>
      </c>
      <c r="CG8" t="e">
        <f>AND(Шахм!Z51,"AAAAAG+n/1Q=")</f>
        <v>#VALUE!</v>
      </c>
      <c r="CH8" t="e">
        <f>AND(Шахм!AA51,"AAAAAG+n/1U=")</f>
        <v>#VALUE!</v>
      </c>
      <c r="CI8" t="e">
        <f>AND(Шахм!AB51,"AAAAAG+n/1Y=")</f>
        <v>#VALUE!</v>
      </c>
      <c r="CJ8" t="e">
        <f>AND(Шахм!AC51,"AAAAAG+n/1c=")</f>
        <v>#VALUE!</v>
      </c>
      <c r="CK8" t="e">
        <f>AND(Шахм!AD51,"AAAAAG+n/1g=")</f>
        <v>#VALUE!</v>
      </c>
      <c r="CL8" t="e">
        <f>AND(Шахм!AE51,"AAAAAG+n/1k=")</f>
        <v>#VALUE!</v>
      </c>
      <c r="CM8" t="e">
        <f>AND(Шахм!AF51,"AAAAAG+n/1o=")</f>
        <v>#VALUE!</v>
      </c>
      <c r="CN8" t="e">
        <f>AND(Шахм!AG51,"AAAAAG+n/1s=")</f>
        <v>#VALUE!</v>
      </c>
      <c r="CO8" t="e">
        <f>AND(Шахм!AH51,"AAAAAG+n/1w=")</f>
        <v>#VALUE!</v>
      </c>
      <c r="CP8" t="e">
        <f>AND(Шахм!AI51,"AAAAAG+n/10=")</f>
        <v>#VALUE!</v>
      </c>
      <c r="CQ8" t="e">
        <f>AND(Шахм!AJ51,"AAAAAG+n/14=")</f>
        <v>#VALUE!</v>
      </c>
      <c r="CR8">
        <f>IF(Шахм!52:52,"AAAAAG+n/18=",0)</f>
        <v>0</v>
      </c>
      <c r="CS8" t="e">
        <f>AND(Шахм!A52,"AAAAAG+n/2A=")</f>
        <v>#VALUE!</v>
      </c>
      <c r="CT8" t="e">
        <f>AND(Шахм!B52,"AAAAAG+n/2E=")</f>
        <v>#VALUE!</v>
      </c>
      <c r="CU8" t="e">
        <f>AND(Шахм!C52,"AAAAAG+n/2I=")</f>
        <v>#VALUE!</v>
      </c>
      <c r="CV8" t="e">
        <f>AND(Шахм!D52,"AAAAAG+n/2M=")</f>
        <v>#VALUE!</v>
      </c>
      <c r="CW8" t="e">
        <f>AND(Шахм!E52,"AAAAAG+n/2Q=")</f>
        <v>#VALUE!</v>
      </c>
      <c r="CX8" t="e">
        <f>AND(Шахм!F52,"AAAAAG+n/2U=")</f>
        <v>#VALUE!</v>
      </c>
      <c r="CY8" t="e">
        <f>AND(Шахм!G52,"AAAAAG+n/2Y=")</f>
        <v>#VALUE!</v>
      </c>
      <c r="CZ8" t="e">
        <f>AND(Шахм!H52,"AAAAAG+n/2c=")</f>
        <v>#VALUE!</v>
      </c>
      <c r="DA8" t="e">
        <f>AND(Шахм!I52,"AAAAAG+n/2g=")</f>
        <v>#VALUE!</v>
      </c>
      <c r="DB8" t="e">
        <f>AND(Шахм!J52,"AAAAAG+n/2k=")</f>
        <v>#VALUE!</v>
      </c>
      <c r="DC8" t="e">
        <f>AND(Шахм!K52,"AAAAAG+n/2o=")</f>
        <v>#VALUE!</v>
      </c>
      <c r="DD8" t="e">
        <f>AND(Шахм!L52,"AAAAAG+n/2s=")</f>
        <v>#VALUE!</v>
      </c>
      <c r="DE8" t="e">
        <f>AND(Шахм!M52,"AAAAAG+n/2w=")</f>
        <v>#VALUE!</v>
      </c>
      <c r="DF8" t="e">
        <f>AND(Шахм!N52,"AAAAAG+n/20=")</f>
        <v>#VALUE!</v>
      </c>
      <c r="DG8" t="e">
        <f>AND(Шахм!O52,"AAAAAG+n/24=")</f>
        <v>#VALUE!</v>
      </c>
      <c r="DH8" t="e">
        <f>AND(Шахм!P52,"AAAAAG+n/28=")</f>
        <v>#VALUE!</v>
      </c>
      <c r="DI8" t="e">
        <f>AND(Шахм!Q52,"AAAAAG+n/3A=")</f>
        <v>#VALUE!</v>
      </c>
      <c r="DJ8" t="e">
        <f>AND(Шахм!R52,"AAAAAG+n/3E=")</f>
        <v>#VALUE!</v>
      </c>
      <c r="DK8" t="e">
        <f>AND(Шахм!S52,"AAAAAG+n/3I=")</f>
        <v>#VALUE!</v>
      </c>
      <c r="DL8" t="e">
        <f>AND(Шахм!T52,"AAAAAG+n/3M=")</f>
        <v>#VALUE!</v>
      </c>
      <c r="DM8" t="e">
        <f>AND(Шахм!U52,"AAAAAG+n/3Q=")</f>
        <v>#VALUE!</v>
      </c>
      <c r="DN8" t="e">
        <f>AND(Шахм!V52,"AAAAAG+n/3U=")</f>
        <v>#VALUE!</v>
      </c>
      <c r="DO8" t="e">
        <f>AND(Шахм!W52,"AAAAAG+n/3Y=")</f>
        <v>#VALUE!</v>
      </c>
      <c r="DP8" t="e">
        <f>AND(Шахм!X52,"AAAAAG+n/3c=")</f>
        <v>#VALUE!</v>
      </c>
      <c r="DQ8" t="e">
        <f>AND(Шахм!Y52,"AAAAAG+n/3g=")</f>
        <v>#VALUE!</v>
      </c>
      <c r="DR8" t="e">
        <f>AND(Шахм!Z52,"AAAAAG+n/3k=")</f>
        <v>#VALUE!</v>
      </c>
      <c r="DS8" t="e">
        <f>AND(Шахм!AA52,"AAAAAG+n/3o=")</f>
        <v>#VALUE!</v>
      </c>
      <c r="DT8" t="e">
        <f>AND(Шахм!AB52,"AAAAAG+n/3s=")</f>
        <v>#VALUE!</v>
      </c>
      <c r="DU8" t="e">
        <f>AND(Шахм!AC52,"AAAAAG+n/3w=")</f>
        <v>#VALUE!</v>
      </c>
      <c r="DV8" t="e">
        <f>AND(Шахм!AD52,"AAAAAG+n/30=")</f>
        <v>#VALUE!</v>
      </c>
      <c r="DW8" t="e">
        <f>AND(Шахм!AE52,"AAAAAG+n/34=")</f>
        <v>#VALUE!</v>
      </c>
      <c r="DX8" t="e">
        <f>AND(Шахм!AF52,"AAAAAG+n/38=")</f>
        <v>#VALUE!</v>
      </c>
      <c r="DY8" t="e">
        <f>AND(Шахм!AG52,"AAAAAG+n/4A=")</f>
        <v>#VALUE!</v>
      </c>
      <c r="DZ8" t="e">
        <f>AND(Шахм!AH52,"AAAAAG+n/4E=")</f>
        <v>#VALUE!</v>
      </c>
      <c r="EA8" t="e">
        <f>AND(Шахм!AI52,"AAAAAG+n/4I=")</f>
        <v>#VALUE!</v>
      </c>
      <c r="EB8" t="e">
        <f>AND(Шахм!AJ52,"AAAAAG+n/4M=")</f>
        <v>#VALUE!</v>
      </c>
      <c r="EC8">
        <f>IF(Шахм!53:53,"AAAAAG+n/4Q=",0)</f>
        <v>0</v>
      </c>
      <c r="ED8" t="e">
        <f>AND(Шахм!A53,"AAAAAG+n/4U=")</f>
        <v>#VALUE!</v>
      </c>
      <c r="EE8" t="e">
        <f>AND(Шахм!B53,"AAAAAG+n/4Y=")</f>
        <v>#VALUE!</v>
      </c>
      <c r="EF8" t="e">
        <f>AND(Шахм!C53,"AAAAAG+n/4c=")</f>
        <v>#VALUE!</v>
      </c>
      <c r="EG8" t="e">
        <f>AND(Шахм!D53,"AAAAAG+n/4g=")</f>
        <v>#VALUE!</v>
      </c>
      <c r="EH8" t="e">
        <f>AND(Шахм!E53,"AAAAAG+n/4k=")</f>
        <v>#VALUE!</v>
      </c>
      <c r="EI8" t="e">
        <f>AND(Шахм!F53,"AAAAAG+n/4o=")</f>
        <v>#VALUE!</v>
      </c>
      <c r="EJ8" t="e">
        <f>AND(Шахм!G53,"AAAAAG+n/4s=")</f>
        <v>#VALUE!</v>
      </c>
      <c r="EK8" t="e">
        <f>AND(Шахм!H53,"AAAAAG+n/4w=")</f>
        <v>#VALUE!</v>
      </c>
      <c r="EL8" t="e">
        <f>AND(Шахм!I53,"AAAAAG+n/40=")</f>
        <v>#VALUE!</v>
      </c>
      <c r="EM8" t="e">
        <f>AND(Шахм!J53,"AAAAAG+n/44=")</f>
        <v>#VALUE!</v>
      </c>
      <c r="EN8" t="e">
        <f>AND(Шахм!K53,"AAAAAG+n/48=")</f>
        <v>#VALUE!</v>
      </c>
      <c r="EO8" t="e">
        <f>AND(Шахм!L53,"AAAAAG+n/5A=")</f>
        <v>#VALUE!</v>
      </c>
      <c r="EP8" t="e">
        <f>AND(Шахм!M53,"AAAAAG+n/5E=")</f>
        <v>#VALUE!</v>
      </c>
      <c r="EQ8" t="e">
        <f>AND(Шахм!N53,"AAAAAG+n/5I=")</f>
        <v>#VALUE!</v>
      </c>
      <c r="ER8" t="e">
        <f>AND(Шахм!O53,"AAAAAG+n/5M=")</f>
        <v>#VALUE!</v>
      </c>
      <c r="ES8" t="e">
        <f>AND(Шахм!P53,"AAAAAG+n/5Q=")</f>
        <v>#VALUE!</v>
      </c>
      <c r="ET8" t="e">
        <f>AND(Шахм!Q53,"AAAAAG+n/5U=")</f>
        <v>#VALUE!</v>
      </c>
      <c r="EU8" t="e">
        <f>AND(Шахм!R53,"AAAAAG+n/5Y=")</f>
        <v>#VALUE!</v>
      </c>
      <c r="EV8" t="e">
        <f>AND(Шахм!S53,"AAAAAG+n/5c=")</f>
        <v>#VALUE!</v>
      </c>
      <c r="EW8" t="e">
        <f>AND(Шахм!T53,"AAAAAG+n/5g=")</f>
        <v>#VALUE!</v>
      </c>
      <c r="EX8" t="e">
        <f>AND(Шахм!U53,"AAAAAG+n/5k=")</f>
        <v>#VALUE!</v>
      </c>
      <c r="EY8" t="e">
        <f>AND(Шахм!V53,"AAAAAG+n/5o=")</f>
        <v>#VALUE!</v>
      </c>
      <c r="EZ8" t="e">
        <f>AND(Шахм!W53,"AAAAAG+n/5s=")</f>
        <v>#VALUE!</v>
      </c>
      <c r="FA8" t="e">
        <f>AND(Шахм!X53,"AAAAAG+n/5w=")</f>
        <v>#VALUE!</v>
      </c>
      <c r="FB8" t="e">
        <f>AND(Шахм!Y53,"AAAAAG+n/50=")</f>
        <v>#VALUE!</v>
      </c>
      <c r="FC8" t="e">
        <f>AND(Шахм!Z53,"AAAAAG+n/54=")</f>
        <v>#VALUE!</v>
      </c>
      <c r="FD8" t="e">
        <f>AND(Шахм!AA53,"AAAAAG+n/58=")</f>
        <v>#VALUE!</v>
      </c>
      <c r="FE8" t="e">
        <f>AND(Шахм!AB53,"AAAAAG+n/6A=")</f>
        <v>#VALUE!</v>
      </c>
      <c r="FF8" t="e">
        <f>AND(Шахм!AC53,"AAAAAG+n/6E=")</f>
        <v>#VALUE!</v>
      </c>
      <c r="FG8" t="e">
        <f>AND(Шахм!AD53,"AAAAAG+n/6I=")</f>
        <v>#VALUE!</v>
      </c>
      <c r="FH8" t="e">
        <f>AND(Шахм!AE53,"AAAAAG+n/6M=")</f>
        <v>#VALUE!</v>
      </c>
      <c r="FI8" t="e">
        <f>AND(Шахм!AF53,"AAAAAG+n/6Q=")</f>
        <v>#VALUE!</v>
      </c>
      <c r="FJ8" t="e">
        <f>AND(Шахм!AG53,"AAAAAG+n/6U=")</f>
        <v>#VALUE!</v>
      </c>
      <c r="FK8" t="e">
        <f>AND(Шахм!AH53,"AAAAAG+n/6Y=")</f>
        <v>#VALUE!</v>
      </c>
      <c r="FL8" t="e">
        <f>AND(Шахм!AI53,"AAAAAG+n/6c=")</f>
        <v>#VALUE!</v>
      </c>
      <c r="FM8" t="e">
        <f>AND(Шахм!AJ53,"AAAAAG+n/6g=")</f>
        <v>#VALUE!</v>
      </c>
      <c r="FN8">
        <f>IF(Шахм!54:54,"AAAAAG+n/6k=",0)</f>
        <v>0</v>
      </c>
      <c r="FO8" t="e">
        <f>AND(Шахм!A54,"AAAAAG+n/6o=")</f>
        <v>#VALUE!</v>
      </c>
      <c r="FP8" t="e">
        <f>AND(Шахм!B54,"AAAAAG+n/6s=")</f>
        <v>#VALUE!</v>
      </c>
      <c r="FQ8" t="e">
        <f>AND(Шахм!C54,"AAAAAG+n/6w=")</f>
        <v>#VALUE!</v>
      </c>
      <c r="FR8" t="e">
        <f>AND(Шахм!D54,"AAAAAG+n/60=")</f>
        <v>#VALUE!</v>
      </c>
      <c r="FS8" t="e">
        <f>AND(Шахм!E54,"AAAAAG+n/64=")</f>
        <v>#VALUE!</v>
      </c>
      <c r="FT8" t="e">
        <f>AND(Шахм!F54,"AAAAAG+n/68=")</f>
        <v>#VALUE!</v>
      </c>
      <c r="FU8" t="e">
        <f>AND(Шахм!G54,"AAAAAG+n/7A=")</f>
        <v>#VALUE!</v>
      </c>
      <c r="FV8" t="e">
        <f>AND(Шахм!H54,"AAAAAG+n/7E=")</f>
        <v>#VALUE!</v>
      </c>
      <c r="FW8" t="e">
        <f>AND(Шахм!I54,"AAAAAG+n/7I=")</f>
        <v>#VALUE!</v>
      </c>
      <c r="FX8" t="e">
        <f>AND(Шахм!J54,"AAAAAG+n/7M=")</f>
        <v>#VALUE!</v>
      </c>
      <c r="FY8" t="e">
        <f>AND(Шахм!K54,"AAAAAG+n/7Q=")</f>
        <v>#VALUE!</v>
      </c>
      <c r="FZ8" t="e">
        <f>AND(Шахм!L54,"AAAAAG+n/7U=")</f>
        <v>#VALUE!</v>
      </c>
      <c r="GA8" t="e">
        <f>AND(Шахм!M54,"AAAAAG+n/7Y=")</f>
        <v>#VALUE!</v>
      </c>
      <c r="GB8" t="e">
        <f>AND(Шахм!N54,"AAAAAG+n/7c=")</f>
        <v>#VALUE!</v>
      </c>
      <c r="GC8" t="e">
        <f>AND(Шахм!O54,"AAAAAG+n/7g=")</f>
        <v>#VALUE!</v>
      </c>
      <c r="GD8" t="e">
        <f>AND(Шахм!P54,"AAAAAG+n/7k=")</f>
        <v>#VALUE!</v>
      </c>
      <c r="GE8" t="e">
        <f>AND(Шахм!Q54,"AAAAAG+n/7o=")</f>
        <v>#VALUE!</v>
      </c>
      <c r="GF8" t="e">
        <f>AND(Шахм!R54,"AAAAAG+n/7s=")</f>
        <v>#VALUE!</v>
      </c>
      <c r="GG8" t="e">
        <f>AND(Шахм!S54,"AAAAAG+n/7w=")</f>
        <v>#VALUE!</v>
      </c>
      <c r="GH8" t="e">
        <f>AND(Шахм!T54,"AAAAAG+n/70=")</f>
        <v>#VALUE!</v>
      </c>
      <c r="GI8" t="e">
        <f>AND(Шахм!U54,"AAAAAG+n/74=")</f>
        <v>#VALUE!</v>
      </c>
      <c r="GJ8" t="e">
        <f>AND(Шахм!V54,"AAAAAG+n/78=")</f>
        <v>#VALUE!</v>
      </c>
      <c r="GK8" t="e">
        <f>AND(Шахм!W54,"AAAAAG+n/8A=")</f>
        <v>#VALUE!</v>
      </c>
      <c r="GL8" t="e">
        <f>AND(Шахм!X54,"AAAAAG+n/8E=")</f>
        <v>#VALUE!</v>
      </c>
      <c r="GM8" t="e">
        <f>AND(Шахм!Y54,"AAAAAG+n/8I=")</f>
        <v>#VALUE!</v>
      </c>
      <c r="GN8" t="e">
        <f>AND(Шахм!Z54,"AAAAAG+n/8M=")</f>
        <v>#VALUE!</v>
      </c>
      <c r="GO8" t="e">
        <f>AND(Шахм!AA54,"AAAAAG+n/8Q=")</f>
        <v>#VALUE!</v>
      </c>
      <c r="GP8" t="e">
        <f>AND(Шахм!AB54,"AAAAAG+n/8U=")</f>
        <v>#VALUE!</v>
      </c>
      <c r="GQ8" t="e">
        <f>AND(Шахм!AC54,"AAAAAG+n/8Y=")</f>
        <v>#VALUE!</v>
      </c>
      <c r="GR8" t="e">
        <f>AND(Шахм!AD54,"AAAAAG+n/8c=")</f>
        <v>#VALUE!</v>
      </c>
      <c r="GS8" t="e">
        <f>AND(Шахм!AE54,"AAAAAG+n/8g=")</f>
        <v>#VALUE!</v>
      </c>
      <c r="GT8" t="e">
        <f>AND(Шахм!AF54,"AAAAAG+n/8k=")</f>
        <v>#VALUE!</v>
      </c>
      <c r="GU8" t="e">
        <f>AND(Шахм!AG54,"AAAAAG+n/8o=")</f>
        <v>#VALUE!</v>
      </c>
      <c r="GV8" t="e">
        <f>AND(Шахм!AH54,"AAAAAG+n/8s=")</f>
        <v>#VALUE!</v>
      </c>
      <c r="GW8" t="e">
        <f>AND(Шахм!AI54,"AAAAAG+n/8w=")</f>
        <v>#VALUE!</v>
      </c>
      <c r="GX8" t="e">
        <f>AND(Шахм!AJ54,"AAAAAG+n/80=")</f>
        <v>#VALUE!</v>
      </c>
      <c r="GY8">
        <f>IF(Шахм!55:55,"AAAAAG+n/84=",0)</f>
        <v>0</v>
      </c>
      <c r="GZ8" t="e">
        <f>AND(Шахм!A55,"AAAAAG+n/88=")</f>
        <v>#VALUE!</v>
      </c>
      <c r="HA8" t="e">
        <f>AND(Шахм!B55,"AAAAAG+n/9A=")</f>
        <v>#VALUE!</v>
      </c>
      <c r="HB8" t="e">
        <f>AND(Шахм!C55,"AAAAAG+n/9E=")</f>
        <v>#VALUE!</v>
      </c>
      <c r="HC8" t="e">
        <f>AND(Шахм!D55,"AAAAAG+n/9I=")</f>
        <v>#VALUE!</v>
      </c>
      <c r="HD8" t="e">
        <f>AND(Шахм!E55,"AAAAAG+n/9M=")</f>
        <v>#VALUE!</v>
      </c>
      <c r="HE8" t="e">
        <f>AND(Шахм!F55,"AAAAAG+n/9Q=")</f>
        <v>#VALUE!</v>
      </c>
      <c r="HF8" t="e">
        <f>AND(Шахм!G55,"AAAAAG+n/9U=")</f>
        <v>#VALUE!</v>
      </c>
      <c r="HG8" t="e">
        <f>AND(Шахм!H55,"AAAAAG+n/9Y=")</f>
        <v>#VALUE!</v>
      </c>
      <c r="HH8" t="e">
        <f>AND(Шахм!I55,"AAAAAG+n/9c=")</f>
        <v>#VALUE!</v>
      </c>
      <c r="HI8" t="e">
        <f>AND(Шахм!J55,"AAAAAG+n/9g=")</f>
        <v>#VALUE!</v>
      </c>
      <c r="HJ8" t="e">
        <f>AND(Шахм!K55,"AAAAAG+n/9k=")</f>
        <v>#VALUE!</v>
      </c>
      <c r="HK8" t="e">
        <f>AND(Шахм!L55,"AAAAAG+n/9o=")</f>
        <v>#VALUE!</v>
      </c>
      <c r="HL8" t="e">
        <f>AND(Шахм!M55,"AAAAAG+n/9s=")</f>
        <v>#VALUE!</v>
      </c>
      <c r="HM8" t="e">
        <f>AND(Шахм!N55,"AAAAAG+n/9w=")</f>
        <v>#VALUE!</v>
      </c>
      <c r="HN8" t="e">
        <f>AND(Шахм!O55,"AAAAAG+n/90=")</f>
        <v>#VALUE!</v>
      </c>
      <c r="HO8" t="e">
        <f>AND(Шахм!P55,"AAAAAG+n/94=")</f>
        <v>#VALUE!</v>
      </c>
      <c r="HP8" t="e">
        <f>AND(Шахм!Q55,"AAAAAG+n/98=")</f>
        <v>#VALUE!</v>
      </c>
      <c r="HQ8" t="e">
        <f>AND(Шахм!R55,"AAAAAG+n/+A=")</f>
        <v>#VALUE!</v>
      </c>
      <c r="HR8" t="e">
        <f>AND(Шахм!S55,"AAAAAG+n/+E=")</f>
        <v>#VALUE!</v>
      </c>
      <c r="HS8" t="e">
        <f>AND(Шахм!T55,"AAAAAG+n/+I=")</f>
        <v>#VALUE!</v>
      </c>
      <c r="HT8" t="e">
        <f>AND(Шахм!U55,"AAAAAG+n/+M=")</f>
        <v>#VALUE!</v>
      </c>
      <c r="HU8" t="e">
        <f>AND(Шахм!V55,"AAAAAG+n/+Q=")</f>
        <v>#VALUE!</v>
      </c>
      <c r="HV8" t="e">
        <f>AND(Шахм!W55,"AAAAAG+n/+U=")</f>
        <v>#VALUE!</v>
      </c>
      <c r="HW8" t="e">
        <f>AND(Шахм!X55,"AAAAAG+n/+Y=")</f>
        <v>#VALUE!</v>
      </c>
      <c r="HX8" t="e">
        <f>AND(Шахм!Y55,"AAAAAG+n/+c=")</f>
        <v>#VALUE!</v>
      </c>
      <c r="HY8" t="e">
        <f>AND(Шахм!Z55,"AAAAAG+n/+g=")</f>
        <v>#VALUE!</v>
      </c>
      <c r="HZ8" t="e">
        <f>AND(Шахм!AA55,"AAAAAG+n/+k=")</f>
        <v>#VALUE!</v>
      </c>
      <c r="IA8" t="e">
        <f>AND(Шахм!AB55,"AAAAAG+n/+o=")</f>
        <v>#VALUE!</v>
      </c>
      <c r="IB8" t="e">
        <f>AND(Шахм!AC55,"AAAAAG+n/+s=")</f>
        <v>#VALUE!</v>
      </c>
      <c r="IC8" t="e">
        <f>AND(Шахм!AD55,"AAAAAG+n/+w=")</f>
        <v>#VALUE!</v>
      </c>
      <c r="ID8" t="e">
        <f>AND(Шахм!AE55,"AAAAAG+n/+0=")</f>
        <v>#VALUE!</v>
      </c>
      <c r="IE8" t="e">
        <f>AND(Шахм!AF55,"AAAAAG+n/+4=")</f>
        <v>#VALUE!</v>
      </c>
      <c r="IF8" t="e">
        <f>AND(Шахм!AG55,"AAAAAG+n/+8=")</f>
        <v>#VALUE!</v>
      </c>
      <c r="IG8" t="e">
        <f>AND(Шахм!AH55,"AAAAAG+n//A=")</f>
        <v>#VALUE!</v>
      </c>
      <c r="IH8" t="e">
        <f>AND(Шахм!AI55,"AAAAAG+n//E=")</f>
        <v>#VALUE!</v>
      </c>
      <c r="II8" t="e">
        <f>AND(Шахм!AJ55,"AAAAAG+n//I=")</f>
        <v>#VALUE!</v>
      </c>
      <c r="IJ8">
        <f>IF(Шахм!56:56,"AAAAAG+n//M=",0)</f>
        <v>0</v>
      </c>
      <c r="IK8" t="e">
        <f>AND(Шахм!A56,"AAAAAG+n//Q=")</f>
        <v>#VALUE!</v>
      </c>
      <c r="IL8" t="e">
        <f>AND(Шахм!B56,"AAAAAG+n//U=")</f>
        <v>#VALUE!</v>
      </c>
      <c r="IM8" t="e">
        <f>AND(Шахм!C56,"AAAAAG+n//Y=")</f>
        <v>#VALUE!</v>
      </c>
      <c r="IN8" t="e">
        <f>AND(Шахм!D56,"AAAAAG+n//c=")</f>
        <v>#VALUE!</v>
      </c>
      <c r="IO8" t="e">
        <f>AND(Шахм!E56,"AAAAAG+n//g=")</f>
        <v>#VALUE!</v>
      </c>
      <c r="IP8" t="e">
        <f>AND(Шахм!F56,"AAAAAG+n//k=")</f>
        <v>#VALUE!</v>
      </c>
      <c r="IQ8" t="e">
        <f>AND(Шахм!G56,"AAAAAG+n//o=")</f>
        <v>#VALUE!</v>
      </c>
      <c r="IR8" t="e">
        <f>AND(Шахм!H56,"AAAAAG+n//s=")</f>
        <v>#VALUE!</v>
      </c>
      <c r="IS8" t="e">
        <f>AND(Шахм!I56,"AAAAAG+n//w=")</f>
        <v>#VALUE!</v>
      </c>
      <c r="IT8" t="e">
        <f>AND(Шахм!J56,"AAAAAG+n//0=")</f>
        <v>#VALUE!</v>
      </c>
      <c r="IU8" t="e">
        <f>AND(Шахм!K56,"AAAAAG+n//4=")</f>
        <v>#VALUE!</v>
      </c>
      <c r="IV8" t="e">
        <f>AND(Шахм!L56,"AAAAAG+n//8=")</f>
        <v>#VALUE!</v>
      </c>
    </row>
    <row r="9" spans="1:256">
      <c r="A9" t="e">
        <f>AND(Шахм!M56,"AAAAAG27+wA=")</f>
        <v>#VALUE!</v>
      </c>
      <c r="B9" t="e">
        <f>AND(Шахм!N56,"AAAAAG27+wE=")</f>
        <v>#VALUE!</v>
      </c>
      <c r="C9" t="e">
        <f>AND(Шахм!O56,"AAAAAG27+wI=")</f>
        <v>#VALUE!</v>
      </c>
      <c r="D9" t="e">
        <f>AND(Шахм!P56,"AAAAAG27+wM=")</f>
        <v>#VALUE!</v>
      </c>
      <c r="E9" t="e">
        <f>AND(Шахм!Q56,"AAAAAG27+wQ=")</f>
        <v>#VALUE!</v>
      </c>
      <c r="F9" t="e">
        <f>AND(Шахм!R56,"AAAAAG27+wU=")</f>
        <v>#VALUE!</v>
      </c>
      <c r="G9" t="e">
        <f>AND(Шахм!S56,"AAAAAG27+wY=")</f>
        <v>#VALUE!</v>
      </c>
      <c r="H9" t="e">
        <f>AND(Шахм!T56,"AAAAAG27+wc=")</f>
        <v>#VALUE!</v>
      </c>
      <c r="I9" t="e">
        <f>AND(Шахм!U56,"AAAAAG27+wg=")</f>
        <v>#VALUE!</v>
      </c>
      <c r="J9" t="e">
        <f>AND(Шахм!V56,"AAAAAG27+wk=")</f>
        <v>#VALUE!</v>
      </c>
      <c r="K9" t="e">
        <f>AND(Шахм!W56,"AAAAAG27+wo=")</f>
        <v>#VALUE!</v>
      </c>
      <c r="L9" t="e">
        <f>AND(Шахм!X56,"AAAAAG27+ws=")</f>
        <v>#VALUE!</v>
      </c>
      <c r="M9" t="e">
        <f>AND(Шахм!Y56,"AAAAAG27+ww=")</f>
        <v>#VALUE!</v>
      </c>
      <c r="N9" t="e">
        <f>AND(Шахм!Z56,"AAAAAG27+w0=")</f>
        <v>#VALUE!</v>
      </c>
      <c r="O9" t="e">
        <f>AND(Шахм!AA56,"AAAAAG27+w4=")</f>
        <v>#VALUE!</v>
      </c>
      <c r="P9" t="e">
        <f>AND(Шахм!AB56,"AAAAAG27+w8=")</f>
        <v>#VALUE!</v>
      </c>
      <c r="Q9" t="e">
        <f>AND(Шахм!AC56,"AAAAAG27+xA=")</f>
        <v>#VALUE!</v>
      </c>
      <c r="R9" t="e">
        <f>AND(Шахм!AD56,"AAAAAG27+xE=")</f>
        <v>#VALUE!</v>
      </c>
      <c r="S9" t="e">
        <f>AND(Шахм!AE56,"AAAAAG27+xI=")</f>
        <v>#VALUE!</v>
      </c>
      <c r="T9" t="e">
        <f>AND(Шахм!AF56,"AAAAAG27+xM=")</f>
        <v>#VALUE!</v>
      </c>
      <c r="U9" t="e">
        <f>AND(Шахм!AG56,"AAAAAG27+xQ=")</f>
        <v>#VALUE!</v>
      </c>
      <c r="V9" t="e">
        <f>AND(Шахм!AH56,"AAAAAG27+xU=")</f>
        <v>#VALUE!</v>
      </c>
      <c r="W9" t="e">
        <f>AND(Шахм!AI56,"AAAAAG27+xY=")</f>
        <v>#VALUE!</v>
      </c>
      <c r="X9" t="e">
        <f>AND(Шахм!AJ56,"AAAAAG27+xc=")</f>
        <v>#VALUE!</v>
      </c>
      <c r="Y9">
        <f>IF(Шахм!57:57,"AAAAAG27+xg=",0)</f>
        <v>0</v>
      </c>
      <c r="Z9" t="e">
        <f>AND(Шахм!A57,"AAAAAG27+xk=")</f>
        <v>#VALUE!</v>
      </c>
      <c r="AA9" t="e">
        <f>AND(Шахм!B57,"AAAAAG27+xo=")</f>
        <v>#VALUE!</v>
      </c>
      <c r="AB9" t="e">
        <f>AND(Шахм!C57,"AAAAAG27+xs=")</f>
        <v>#VALUE!</v>
      </c>
      <c r="AC9" t="e">
        <f>AND(Шахм!D57,"AAAAAG27+xw=")</f>
        <v>#VALUE!</v>
      </c>
      <c r="AD9" t="e">
        <f>AND(Шахм!E57,"AAAAAG27+x0=")</f>
        <v>#VALUE!</v>
      </c>
      <c r="AE9" t="e">
        <f>AND(Шахм!F57,"AAAAAG27+x4=")</f>
        <v>#VALUE!</v>
      </c>
      <c r="AF9" t="e">
        <f>AND(Шахм!G57,"AAAAAG27+x8=")</f>
        <v>#VALUE!</v>
      </c>
      <c r="AG9" t="e">
        <f>AND(Шахм!H57,"AAAAAG27+yA=")</f>
        <v>#VALUE!</v>
      </c>
      <c r="AH9" t="e">
        <f>AND(Шахм!I57,"AAAAAG27+yE=")</f>
        <v>#VALUE!</v>
      </c>
      <c r="AI9" t="e">
        <f>AND(Шахм!J57,"AAAAAG27+yI=")</f>
        <v>#VALUE!</v>
      </c>
      <c r="AJ9" t="e">
        <f>AND(Шахм!K57,"AAAAAG27+yM=")</f>
        <v>#VALUE!</v>
      </c>
      <c r="AK9" t="e">
        <f>AND(Шахм!L57,"AAAAAG27+yQ=")</f>
        <v>#VALUE!</v>
      </c>
      <c r="AL9" t="e">
        <f>AND(Шахм!M57,"AAAAAG27+yU=")</f>
        <v>#VALUE!</v>
      </c>
      <c r="AM9" t="e">
        <f>AND(Шахм!N57,"AAAAAG27+yY=")</f>
        <v>#VALUE!</v>
      </c>
      <c r="AN9" t="e">
        <f>AND(Шахм!O57,"AAAAAG27+yc=")</f>
        <v>#VALUE!</v>
      </c>
      <c r="AO9" t="e">
        <f>AND(Шахм!P57,"AAAAAG27+yg=")</f>
        <v>#VALUE!</v>
      </c>
      <c r="AP9" t="e">
        <f>AND(Шахм!Q57,"AAAAAG27+yk=")</f>
        <v>#VALUE!</v>
      </c>
      <c r="AQ9" t="e">
        <f>AND(Шахм!R57,"AAAAAG27+yo=")</f>
        <v>#VALUE!</v>
      </c>
      <c r="AR9" t="e">
        <f>AND(Шахм!S57,"AAAAAG27+ys=")</f>
        <v>#VALUE!</v>
      </c>
      <c r="AS9" t="e">
        <f>AND(Шахм!T57,"AAAAAG27+yw=")</f>
        <v>#VALUE!</v>
      </c>
      <c r="AT9" t="e">
        <f>AND(Шахм!U57,"AAAAAG27+y0=")</f>
        <v>#VALUE!</v>
      </c>
      <c r="AU9" t="e">
        <f>AND(Шахм!V57,"AAAAAG27+y4=")</f>
        <v>#VALUE!</v>
      </c>
      <c r="AV9" t="e">
        <f>AND(Шахм!W57,"AAAAAG27+y8=")</f>
        <v>#VALUE!</v>
      </c>
      <c r="AW9" t="e">
        <f>AND(Шахм!X57,"AAAAAG27+zA=")</f>
        <v>#VALUE!</v>
      </c>
      <c r="AX9" t="e">
        <f>AND(Шахм!Y57,"AAAAAG27+zE=")</f>
        <v>#VALUE!</v>
      </c>
      <c r="AY9" t="e">
        <f>AND(Шахм!Z57,"AAAAAG27+zI=")</f>
        <v>#VALUE!</v>
      </c>
      <c r="AZ9" t="e">
        <f>AND(Шахм!AA57,"AAAAAG27+zM=")</f>
        <v>#VALUE!</v>
      </c>
      <c r="BA9" t="e">
        <f>AND(Шахм!AB57,"AAAAAG27+zQ=")</f>
        <v>#VALUE!</v>
      </c>
      <c r="BB9" t="e">
        <f>AND(Шахм!AC57,"AAAAAG27+zU=")</f>
        <v>#VALUE!</v>
      </c>
      <c r="BC9" t="e">
        <f>AND(Шахм!AD57,"AAAAAG27+zY=")</f>
        <v>#VALUE!</v>
      </c>
      <c r="BD9" t="e">
        <f>AND(Шахм!AE57,"AAAAAG27+zc=")</f>
        <v>#VALUE!</v>
      </c>
      <c r="BE9" t="e">
        <f>AND(Шахм!AF57,"AAAAAG27+zg=")</f>
        <v>#VALUE!</v>
      </c>
      <c r="BF9" t="e">
        <f>AND(Шахм!AG57,"AAAAAG27+zk=")</f>
        <v>#VALUE!</v>
      </c>
      <c r="BG9" t="e">
        <f>AND(Шахм!AH57,"AAAAAG27+zo=")</f>
        <v>#VALUE!</v>
      </c>
      <c r="BH9" t="e">
        <f>AND(Шахм!AI57,"AAAAAG27+zs=")</f>
        <v>#VALUE!</v>
      </c>
      <c r="BI9" t="e">
        <f>AND(Шахм!AJ57,"AAAAAG27+zw=")</f>
        <v>#VALUE!</v>
      </c>
      <c r="BJ9">
        <f>IF(Шахм!58:58,"AAAAAG27+z0=",0)</f>
        <v>0</v>
      </c>
      <c r="BK9" t="e">
        <f>AND(Шахм!A58,"AAAAAG27+z4=")</f>
        <v>#VALUE!</v>
      </c>
      <c r="BL9" t="e">
        <f>AND(Шахм!B58,"AAAAAG27+z8=")</f>
        <v>#VALUE!</v>
      </c>
      <c r="BM9" t="e">
        <f>AND(Шахм!C58,"AAAAAG27+0A=")</f>
        <v>#VALUE!</v>
      </c>
      <c r="BN9" t="e">
        <f>AND(Шахм!D58,"AAAAAG27+0E=")</f>
        <v>#VALUE!</v>
      </c>
      <c r="BO9" t="e">
        <f>AND(Шахм!E58,"AAAAAG27+0I=")</f>
        <v>#VALUE!</v>
      </c>
      <c r="BP9" t="e">
        <f>AND(Шахм!F58,"AAAAAG27+0M=")</f>
        <v>#VALUE!</v>
      </c>
      <c r="BQ9" t="e">
        <f>AND(Шахм!G58,"AAAAAG27+0Q=")</f>
        <v>#VALUE!</v>
      </c>
      <c r="BR9" t="e">
        <f>AND(Шахм!H58,"AAAAAG27+0U=")</f>
        <v>#VALUE!</v>
      </c>
      <c r="BS9" t="e">
        <f>AND(Шахм!I58,"AAAAAG27+0Y=")</f>
        <v>#VALUE!</v>
      </c>
      <c r="BT9" t="e">
        <f>AND(Шахм!J58,"AAAAAG27+0c=")</f>
        <v>#VALUE!</v>
      </c>
      <c r="BU9" t="e">
        <f>AND(Шахм!K58,"AAAAAG27+0g=")</f>
        <v>#VALUE!</v>
      </c>
      <c r="BV9" t="e">
        <f>AND(Шахм!L58,"AAAAAG27+0k=")</f>
        <v>#VALUE!</v>
      </c>
      <c r="BW9" t="e">
        <f>AND(Шахм!M58,"AAAAAG27+0o=")</f>
        <v>#VALUE!</v>
      </c>
      <c r="BX9" t="e">
        <f>AND(Шахм!N58,"AAAAAG27+0s=")</f>
        <v>#VALUE!</v>
      </c>
      <c r="BY9" t="e">
        <f>AND(Шахм!O58,"AAAAAG27+0w=")</f>
        <v>#VALUE!</v>
      </c>
      <c r="BZ9" t="e">
        <f>AND(Шахм!P58,"AAAAAG27+00=")</f>
        <v>#VALUE!</v>
      </c>
      <c r="CA9" t="e">
        <f>AND(Шахм!Q58,"AAAAAG27+04=")</f>
        <v>#VALUE!</v>
      </c>
      <c r="CB9" t="e">
        <f>AND(Шахм!R58,"AAAAAG27+08=")</f>
        <v>#VALUE!</v>
      </c>
      <c r="CC9" t="e">
        <f>AND(Шахм!S58,"AAAAAG27+1A=")</f>
        <v>#VALUE!</v>
      </c>
      <c r="CD9" t="e">
        <f>AND(Шахм!T58,"AAAAAG27+1E=")</f>
        <v>#VALUE!</v>
      </c>
      <c r="CE9" t="e">
        <f>AND(Шахм!U58,"AAAAAG27+1I=")</f>
        <v>#VALUE!</v>
      </c>
      <c r="CF9" t="e">
        <f>AND(Шахм!V58,"AAAAAG27+1M=")</f>
        <v>#VALUE!</v>
      </c>
      <c r="CG9" t="e">
        <f>AND(Шахм!W58,"AAAAAG27+1Q=")</f>
        <v>#VALUE!</v>
      </c>
      <c r="CH9" t="e">
        <f>AND(Шахм!X58,"AAAAAG27+1U=")</f>
        <v>#VALUE!</v>
      </c>
      <c r="CI9" t="e">
        <f>AND(Шахм!Y58,"AAAAAG27+1Y=")</f>
        <v>#VALUE!</v>
      </c>
      <c r="CJ9" t="e">
        <f>AND(Шахм!Z58,"AAAAAG27+1c=")</f>
        <v>#VALUE!</v>
      </c>
      <c r="CK9" t="e">
        <f>AND(Шахм!AA58,"AAAAAG27+1g=")</f>
        <v>#VALUE!</v>
      </c>
      <c r="CL9" t="e">
        <f>AND(Шахм!AB58,"AAAAAG27+1k=")</f>
        <v>#VALUE!</v>
      </c>
      <c r="CM9" t="e">
        <f>AND(Шахм!AC58,"AAAAAG27+1o=")</f>
        <v>#VALUE!</v>
      </c>
      <c r="CN9" t="e">
        <f>AND(Шахм!AD58,"AAAAAG27+1s=")</f>
        <v>#VALUE!</v>
      </c>
      <c r="CO9" t="e">
        <f>AND(Шахм!AE58,"AAAAAG27+1w=")</f>
        <v>#VALUE!</v>
      </c>
      <c r="CP9" t="e">
        <f>AND(Шахм!AF58,"AAAAAG27+10=")</f>
        <v>#VALUE!</v>
      </c>
      <c r="CQ9" t="e">
        <f>AND(Шахм!AG58,"AAAAAG27+14=")</f>
        <v>#VALUE!</v>
      </c>
      <c r="CR9" t="e">
        <f>AND(Шахм!AH58,"AAAAAG27+18=")</f>
        <v>#VALUE!</v>
      </c>
      <c r="CS9" t="e">
        <f>AND(Шахм!AI58,"AAAAAG27+2A=")</f>
        <v>#VALUE!</v>
      </c>
      <c r="CT9" t="e">
        <f>AND(Шахм!AJ58,"AAAAAG27+2E=")</f>
        <v>#VALUE!</v>
      </c>
      <c r="CU9">
        <f>IF(Шахм!59:59,"AAAAAG27+2I=",0)</f>
        <v>0</v>
      </c>
      <c r="CV9" t="e">
        <f>AND(Шахм!A59,"AAAAAG27+2M=")</f>
        <v>#VALUE!</v>
      </c>
      <c r="CW9" t="e">
        <f>AND(Шахм!B59,"AAAAAG27+2Q=")</f>
        <v>#VALUE!</v>
      </c>
      <c r="CX9" t="e">
        <f>AND(Шахм!C59,"AAAAAG27+2U=")</f>
        <v>#VALUE!</v>
      </c>
      <c r="CY9" t="e">
        <f>AND(Шахм!D59,"AAAAAG27+2Y=")</f>
        <v>#VALUE!</v>
      </c>
      <c r="CZ9" t="e">
        <f>AND(Шахм!E59,"AAAAAG27+2c=")</f>
        <v>#VALUE!</v>
      </c>
      <c r="DA9" t="e">
        <f>AND(Шахм!F59,"AAAAAG27+2g=")</f>
        <v>#VALUE!</v>
      </c>
      <c r="DB9" t="e">
        <f>AND(Шахм!G59,"AAAAAG27+2k=")</f>
        <v>#VALUE!</v>
      </c>
      <c r="DC9" t="e">
        <f>AND(Шахм!H59,"AAAAAG27+2o=")</f>
        <v>#VALUE!</v>
      </c>
      <c r="DD9" t="e">
        <f>AND(Шахм!I59,"AAAAAG27+2s=")</f>
        <v>#VALUE!</v>
      </c>
      <c r="DE9" t="e">
        <f>AND(Шахм!J59,"AAAAAG27+2w=")</f>
        <v>#VALUE!</v>
      </c>
      <c r="DF9" t="e">
        <f>AND(Шахм!K59,"AAAAAG27+20=")</f>
        <v>#VALUE!</v>
      </c>
      <c r="DG9" t="e">
        <f>AND(Шахм!L59,"AAAAAG27+24=")</f>
        <v>#VALUE!</v>
      </c>
      <c r="DH9" t="e">
        <f>AND(Шахм!M59,"AAAAAG27+28=")</f>
        <v>#VALUE!</v>
      </c>
      <c r="DI9" t="e">
        <f>AND(Шахм!N59,"AAAAAG27+3A=")</f>
        <v>#VALUE!</v>
      </c>
      <c r="DJ9" t="e">
        <f>AND(Шахм!O59,"AAAAAG27+3E=")</f>
        <v>#VALUE!</v>
      </c>
      <c r="DK9" t="e">
        <f>AND(Шахм!P59,"AAAAAG27+3I=")</f>
        <v>#VALUE!</v>
      </c>
      <c r="DL9" t="e">
        <f>AND(Шахм!Q59,"AAAAAG27+3M=")</f>
        <v>#VALUE!</v>
      </c>
      <c r="DM9" t="e">
        <f>AND(Шахм!R59,"AAAAAG27+3Q=")</f>
        <v>#VALUE!</v>
      </c>
      <c r="DN9" t="e">
        <f>AND(Шахм!S59,"AAAAAG27+3U=")</f>
        <v>#VALUE!</v>
      </c>
      <c r="DO9" t="e">
        <f>AND(Шахм!T59,"AAAAAG27+3Y=")</f>
        <v>#VALUE!</v>
      </c>
      <c r="DP9" t="e">
        <f>AND(Шахм!U59,"AAAAAG27+3c=")</f>
        <v>#VALUE!</v>
      </c>
      <c r="DQ9" t="e">
        <f>AND(Шахм!V59,"AAAAAG27+3g=")</f>
        <v>#VALUE!</v>
      </c>
      <c r="DR9" t="e">
        <f>AND(Шахм!W59,"AAAAAG27+3k=")</f>
        <v>#VALUE!</v>
      </c>
      <c r="DS9" t="e">
        <f>AND(Шахм!X59,"AAAAAG27+3o=")</f>
        <v>#VALUE!</v>
      </c>
      <c r="DT9" t="e">
        <f>AND(Шахм!Y59,"AAAAAG27+3s=")</f>
        <v>#VALUE!</v>
      </c>
      <c r="DU9" t="e">
        <f>AND(Шахм!Z59,"AAAAAG27+3w=")</f>
        <v>#VALUE!</v>
      </c>
      <c r="DV9" t="e">
        <f>AND(Шахм!AA59,"AAAAAG27+30=")</f>
        <v>#VALUE!</v>
      </c>
      <c r="DW9" t="e">
        <f>AND(Шахм!AB59,"AAAAAG27+34=")</f>
        <v>#VALUE!</v>
      </c>
      <c r="DX9" t="e">
        <f>AND(Шахм!AC59,"AAAAAG27+38=")</f>
        <v>#VALUE!</v>
      </c>
      <c r="DY9" t="e">
        <f>AND(Шахм!AD59,"AAAAAG27+4A=")</f>
        <v>#VALUE!</v>
      </c>
      <c r="DZ9" t="e">
        <f>AND(Шахм!AE59,"AAAAAG27+4E=")</f>
        <v>#VALUE!</v>
      </c>
      <c r="EA9" t="e">
        <f>AND(Шахм!AF59,"AAAAAG27+4I=")</f>
        <v>#VALUE!</v>
      </c>
      <c r="EB9" t="e">
        <f>AND(Шахм!AG59,"AAAAAG27+4M=")</f>
        <v>#VALUE!</v>
      </c>
      <c r="EC9" t="e">
        <f>AND(Шахм!AH59,"AAAAAG27+4Q=")</f>
        <v>#VALUE!</v>
      </c>
      <c r="ED9" t="e">
        <f>AND(Шахм!AI59,"AAAAAG27+4U=")</f>
        <v>#VALUE!</v>
      </c>
      <c r="EE9" t="e">
        <f>AND(Шахм!AJ59,"AAAAAG27+4Y=")</f>
        <v>#VALUE!</v>
      </c>
      <c r="EF9">
        <f>IF(Шахм!60:60,"AAAAAG27+4c=",0)</f>
        <v>0</v>
      </c>
      <c r="EG9" t="e">
        <f>AND(Шахм!A60,"AAAAAG27+4g=")</f>
        <v>#VALUE!</v>
      </c>
      <c r="EH9" t="e">
        <f>AND(Шахм!B60,"AAAAAG27+4k=")</f>
        <v>#VALUE!</v>
      </c>
      <c r="EI9" t="e">
        <f>AND(Шахм!C60,"AAAAAG27+4o=")</f>
        <v>#VALUE!</v>
      </c>
      <c r="EJ9" t="e">
        <f>AND(Шахм!D60,"AAAAAG27+4s=")</f>
        <v>#VALUE!</v>
      </c>
      <c r="EK9" t="e">
        <f>AND(Шахм!E60,"AAAAAG27+4w=")</f>
        <v>#VALUE!</v>
      </c>
      <c r="EL9" t="e">
        <f>AND(Шахм!F60,"AAAAAG27+40=")</f>
        <v>#VALUE!</v>
      </c>
      <c r="EM9" t="e">
        <f>AND(Шахм!G60,"AAAAAG27+44=")</f>
        <v>#VALUE!</v>
      </c>
      <c r="EN9" t="e">
        <f>AND(Шахм!H60,"AAAAAG27+48=")</f>
        <v>#VALUE!</v>
      </c>
      <c r="EO9" t="e">
        <f>AND(Шахм!I60,"AAAAAG27+5A=")</f>
        <v>#VALUE!</v>
      </c>
      <c r="EP9" t="e">
        <f>AND(Шахм!J60,"AAAAAG27+5E=")</f>
        <v>#VALUE!</v>
      </c>
      <c r="EQ9" t="e">
        <f>AND(Шахм!K60,"AAAAAG27+5I=")</f>
        <v>#VALUE!</v>
      </c>
      <c r="ER9" t="e">
        <f>AND(Шахм!L60,"AAAAAG27+5M=")</f>
        <v>#VALUE!</v>
      </c>
      <c r="ES9" t="e">
        <f>AND(Шахм!M60,"AAAAAG27+5Q=")</f>
        <v>#VALUE!</v>
      </c>
      <c r="ET9" t="e">
        <f>AND(Шахм!N60,"AAAAAG27+5U=")</f>
        <v>#VALUE!</v>
      </c>
      <c r="EU9" t="e">
        <f>AND(Шахм!O60,"AAAAAG27+5Y=")</f>
        <v>#VALUE!</v>
      </c>
      <c r="EV9" t="e">
        <f>AND(Шахм!P60,"AAAAAG27+5c=")</f>
        <v>#VALUE!</v>
      </c>
      <c r="EW9" t="e">
        <f>AND(Шахм!Q60,"AAAAAG27+5g=")</f>
        <v>#VALUE!</v>
      </c>
      <c r="EX9" t="e">
        <f>AND(Шахм!R60,"AAAAAG27+5k=")</f>
        <v>#VALUE!</v>
      </c>
      <c r="EY9" t="e">
        <f>AND(Шахм!S60,"AAAAAG27+5o=")</f>
        <v>#VALUE!</v>
      </c>
      <c r="EZ9" t="e">
        <f>AND(Шахм!T60,"AAAAAG27+5s=")</f>
        <v>#VALUE!</v>
      </c>
      <c r="FA9" t="e">
        <f>AND(Шахм!U60,"AAAAAG27+5w=")</f>
        <v>#VALUE!</v>
      </c>
      <c r="FB9" t="e">
        <f>AND(Шахм!V60,"AAAAAG27+50=")</f>
        <v>#VALUE!</v>
      </c>
      <c r="FC9" t="e">
        <f>AND(Шахм!W60,"AAAAAG27+54=")</f>
        <v>#VALUE!</v>
      </c>
      <c r="FD9" t="e">
        <f>AND(Шахм!X60,"AAAAAG27+58=")</f>
        <v>#VALUE!</v>
      </c>
      <c r="FE9" t="e">
        <f>AND(Шахм!Y60,"AAAAAG27+6A=")</f>
        <v>#VALUE!</v>
      </c>
      <c r="FF9" t="e">
        <f>AND(Шахм!Z60,"AAAAAG27+6E=")</f>
        <v>#VALUE!</v>
      </c>
      <c r="FG9" t="e">
        <f>AND(Шахм!AA60,"AAAAAG27+6I=")</f>
        <v>#VALUE!</v>
      </c>
      <c r="FH9" t="e">
        <f>AND(Шахм!AB60,"AAAAAG27+6M=")</f>
        <v>#VALUE!</v>
      </c>
      <c r="FI9" t="e">
        <f>AND(Шахм!AC60,"AAAAAG27+6Q=")</f>
        <v>#VALUE!</v>
      </c>
      <c r="FJ9" t="e">
        <f>AND(Шахм!AD60,"AAAAAG27+6U=")</f>
        <v>#VALUE!</v>
      </c>
      <c r="FK9" t="e">
        <f>AND(Шахм!AE60,"AAAAAG27+6Y=")</f>
        <v>#VALUE!</v>
      </c>
      <c r="FL9" t="e">
        <f>AND(Шахм!AF60,"AAAAAG27+6c=")</f>
        <v>#VALUE!</v>
      </c>
      <c r="FM9" t="e">
        <f>AND(Шахм!AG60,"AAAAAG27+6g=")</f>
        <v>#VALUE!</v>
      </c>
      <c r="FN9" t="e">
        <f>AND(Шахм!AH60,"AAAAAG27+6k=")</f>
        <v>#VALUE!</v>
      </c>
      <c r="FO9" t="e">
        <f>AND(Шахм!AI60,"AAAAAG27+6o=")</f>
        <v>#VALUE!</v>
      </c>
      <c r="FP9" t="e">
        <f>AND(Шахм!AJ60,"AAAAAG27+6s=")</f>
        <v>#VALUE!</v>
      </c>
      <c r="FQ9">
        <f>IF(Шахм!61:61,"AAAAAG27+6w=",0)</f>
        <v>0</v>
      </c>
      <c r="FR9" t="e">
        <f>AND(Шахм!A61,"AAAAAG27+60=")</f>
        <v>#VALUE!</v>
      </c>
      <c r="FS9" t="e">
        <f>AND(Шахм!B61,"AAAAAG27+64=")</f>
        <v>#VALUE!</v>
      </c>
      <c r="FT9" t="e">
        <f>AND(Шахм!C61,"AAAAAG27+68=")</f>
        <v>#VALUE!</v>
      </c>
      <c r="FU9" t="e">
        <f>AND(Шахм!D61,"AAAAAG27+7A=")</f>
        <v>#VALUE!</v>
      </c>
      <c r="FV9" t="e">
        <f>AND(Шахм!E61,"AAAAAG27+7E=")</f>
        <v>#VALUE!</v>
      </c>
      <c r="FW9" t="e">
        <f>AND(Шахм!F61,"AAAAAG27+7I=")</f>
        <v>#VALUE!</v>
      </c>
      <c r="FX9" t="e">
        <f>AND(Шахм!G61,"AAAAAG27+7M=")</f>
        <v>#VALUE!</v>
      </c>
      <c r="FY9" t="e">
        <f>AND(Шахм!H61,"AAAAAG27+7Q=")</f>
        <v>#VALUE!</v>
      </c>
      <c r="FZ9" t="e">
        <f>AND(Шахм!I61,"AAAAAG27+7U=")</f>
        <v>#VALUE!</v>
      </c>
      <c r="GA9" t="e">
        <f>AND(Шахм!J61,"AAAAAG27+7Y=")</f>
        <v>#VALUE!</v>
      </c>
      <c r="GB9" t="e">
        <f>AND(Шахм!K61,"AAAAAG27+7c=")</f>
        <v>#VALUE!</v>
      </c>
      <c r="GC9" t="e">
        <f>AND(Шахм!L61,"AAAAAG27+7g=")</f>
        <v>#VALUE!</v>
      </c>
      <c r="GD9" t="e">
        <f>AND(Шахм!M61,"AAAAAG27+7k=")</f>
        <v>#VALUE!</v>
      </c>
      <c r="GE9" t="e">
        <f>AND(Шахм!N61,"AAAAAG27+7o=")</f>
        <v>#VALUE!</v>
      </c>
      <c r="GF9" t="e">
        <f>AND(Шахм!O61,"AAAAAG27+7s=")</f>
        <v>#VALUE!</v>
      </c>
      <c r="GG9" t="e">
        <f>AND(Шахм!P61,"AAAAAG27+7w=")</f>
        <v>#VALUE!</v>
      </c>
      <c r="GH9" t="e">
        <f>AND(Шахм!Q61,"AAAAAG27+70=")</f>
        <v>#VALUE!</v>
      </c>
      <c r="GI9" t="e">
        <f>AND(Шахм!R61,"AAAAAG27+74=")</f>
        <v>#VALUE!</v>
      </c>
      <c r="GJ9" t="e">
        <f>AND(Шахм!S61,"AAAAAG27+78=")</f>
        <v>#VALUE!</v>
      </c>
      <c r="GK9" t="e">
        <f>AND(Шахм!T61,"AAAAAG27+8A=")</f>
        <v>#VALUE!</v>
      </c>
      <c r="GL9" t="e">
        <f>AND(Шахм!U61,"AAAAAG27+8E=")</f>
        <v>#VALUE!</v>
      </c>
      <c r="GM9" t="e">
        <f>AND(Шахм!V61,"AAAAAG27+8I=")</f>
        <v>#VALUE!</v>
      </c>
      <c r="GN9" t="e">
        <f>AND(Шахм!W61,"AAAAAG27+8M=")</f>
        <v>#VALUE!</v>
      </c>
      <c r="GO9" t="e">
        <f>AND(Шахм!X61,"AAAAAG27+8Q=")</f>
        <v>#VALUE!</v>
      </c>
      <c r="GP9" t="e">
        <f>AND(Шахм!Y61,"AAAAAG27+8U=")</f>
        <v>#VALUE!</v>
      </c>
      <c r="GQ9" t="e">
        <f>AND(Шахм!Z61,"AAAAAG27+8Y=")</f>
        <v>#VALUE!</v>
      </c>
      <c r="GR9" t="e">
        <f>AND(Шахм!AA61,"AAAAAG27+8c=")</f>
        <v>#VALUE!</v>
      </c>
      <c r="GS9" t="e">
        <f>AND(Шахм!AB61,"AAAAAG27+8g=")</f>
        <v>#VALUE!</v>
      </c>
      <c r="GT9" t="e">
        <f>AND(Шахм!AC61,"AAAAAG27+8k=")</f>
        <v>#VALUE!</v>
      </c>
      <c r="GU9" t="e">
        <f>AND(Шахм!AD61,"AAAAAG27+8o=")</f>
        <v>#VALUE!</v>
      </c>
      <c r="GV9" t="e">
        <f>AND(Шахм!AE61,"AAAAAG27+8s=")</f>
        <v>#VALUE!</v>
      </c>
      <c r="GW9" t="e">
        <f>AND(Шахм!AF61,"AAAAAG27+8w=")</f>
        <v>#VALUE!</v>
      </c>
      <c r="GX9" t="e">
        <f>AND(Шахм!AG61,"AAAAAG27+80=")</f>
        <v>#VALUE!</v>
      </c>
      <c r="GY9" t="e">
        <f>AND(Шахм!AH61,"AAAAAG27+84=")</f>
        <v>#VALUE!</v>
      </c>
      <c r="GZ9" t="e">
        <f>AND(Шахм!AI61,"AAAAAG27+88=")</f>
        <v>#VALUE!</v>
      </c>
      <c r="HA9" t="e">
        <f>AND(Шахм!AJ61,"AAAAAG27+9A=")</f>
        <v>#VALUE!</v>
      </c>
      <c r="HB9">
        <f>IF(Шахм!62:62,"AAAAAG27+9E=",0)</f>
        <v>0</v>
      </c>
      <c r="HC9" t="e">
        <f>AND(Шахм!A62,"AAAAAG27+9I=")</f>
        <v>#VALUE!</v>
      </c>
      <c r="HD9" t="e">
        <f>AND(Шахм!B62,"AAAAAG27+9M=")</f>
        <v>#VALUE!</v>
      </c>
      <c r="HE9" t="e">
        <f>AND(Шахм!C62,"AAAAAG27+9Q=")</f>
        <v>#VALUE!</v>
      </c>
      <c r="HF9" t="e">
        <f>AND(Шахм!D62,"AAAAAG27+9U=")</f>
        <v>#VALUE!</v>
      </c>
      <c r="HG9" t="e">
        <f>AND(Шахм!E62,"AAAAAG27+9Y=")</f>
        <v>#VALUE!</v>
      </c>
      <c r="HH9" t="e">
        <f>AND(Шахм!F62,"AAAAAG27+9c=")</f>
        <v>#VALUE!</v>
      </c>
      <c r="HI9" t="e">
        <f>AND(Шахм!G62,"AAAAAG27+9g=")</f>
        <v>#VALUE!</v>
      </c>
      <c r="HJ9" t="e">
        <f>AND(Шахм!H62,"AAAAAG27+9k=")</f>
        <v>#VALUE!</v>
      </c>
      <c r="HK9" t="e">
        <f>AND(Шахм!I62,"AAAAAG27+9o=")</f>
        <v>#VALUE!</v>
      </c>
      <c r="HL9" t="e">
        <f>AND(Шахм!J62,"AAAAAG27+9s=")</f>
        <v>#VALUE!</v>
      </c>
      <c r="HM9" t="e">
        <f>AND(Шахм!K62,"AAAAAG27+9w=")</f>
        <v>#VALUE!</v>
      </c>
      <c r="HN9" t="e">
        <f>AND(Шахм!L62,"AAAAAG27+90=")</f>
        <v>#VALUE!</v>
      </c>
      <c r="HO9" t="e">
        <f>AND(Шахм!M62,"AAAAAG27+94=")</f>
        <v>#VALUE!</v>
      </c>
      <c r="HP9" t="e">
        <f>AND(Шахм!N62,"AAAAAG27+98=")</f>
        <v>#VALUE!</v>
      </c>
      <c r="HQ9" t="e">
        <f>AND(Шахм!O62,"AAAAAG27++A=")</f>
        <v>#VALUE!</v>
      </c>
      <c r="HR9" t="e">
        <f>AND(Шахм!P62,"AAAAAG27++E=")</f>
        <v>#VALUE!</v>
      </c>
      <c r="HS9" t="e">
        <f>AND(Шахм!Q62,"AAAAAG27++I=")</f>
        <v>#VALUE!</v>
      </c>
      <c r="HT9" t="e">
        <f>AND(Шахм!R62,"AAAAAG27++M=")</f>
        <v>#VALUE!</v>
      </c>
      <c r="HU9" t="e">
        <f>AND(Шахм!S62,"AAAAAG27++Q=")</f>
        <v>#VALUE!</v>
      </c>
      <c r="HV9" t="e">
        <f>AND(Шахм!T62,"AAAAAG27++U=")</f>
        <v>#VALUE!</v>
      </c>
      <c r="HW9" t="e">
        <f>AND(Шахм!U62,"AAAAAG27++Y=")</f>
        <v>#VALUE!</v>
      </c>
      <c r="HX9" t="e">
        <f>AND(Шахм!V62,"AAAAAG27++c=")</f>
        <v>#VALUE!</v>
      </c>
      <c r="HY9" t="e">
        <f>AND(Шахм!W62,"AAAAAG27++g=")</f>
        <v>#VALUE!</v>
      </c>
      <c r="HZ9" t="e">
        <f>AND(Шахм!X62,"AAAAAG27++k=")</f>
        <v>#VALUE!</v>
      </c>
      <c r="IA9" t="e">
        <f>AND(Шахм!Y62,"AAAAAG27++o=")</f>
        <v>#VALUE!</v>
      </c>
      <c r="IB9" t="e">
        <f>AND(Шахм!Z62,"AAAAAG27++s=")</f>
        <v>#VALUE!</v>
      </c>
      <c r="IC9" t="e">
        <f>AND(Шахм!AA62,"AAAAAG27++w=")</f>
        <v>#VALUE!</v>
      </c>
      <c r="ID9" t="e">
        <f>AND(Шахм!AB62,"AAAAAG27++0=")</f>
        <v>#VALUE!</v>
      </c>
      <c r="IE9" t="e">
        <f>AND(Шахм!AC62,"AAAAAG27++4=")</f>
        <v>#VALUE!</v>
      </c>
      <c r="IF9" t="e">
        <f>AND(Шахм!AD62,"AAAAAG27++8=")</f>
        <v>#VALUE!</v>
      </c>
      <c r="IG9" t="e">
        <f>AND(Шахм!AE62,"AAAAAG27+/A=")</f>
        <v>#VALUE!</v>
      </c>
      <c r="IH9" t="e">
        <f>AND(Шахм!AF62,"AAAAAG27+/E=")</f>
        <v>#VALUE!</v>
      </c>
      <c r="II9" t="e">
        <f>AND(Шахм!AG62,"AAAAAG27+/I=")</f>
        <v>#VALUE!</v>
      </c>
      <c r="IJ9" t="e">
        <f>AND(Шахм!AH62,"AAAAAG27+/M=")</f>
        <v>#VALUE!</v>
      </c>
      <c r="IK9" t="e">
        <f>AND(Шахм!AI62,"AAAAAG27+/Q=")</f>
        <v>#VALUE!</v>
      </c>
      <c r="IL9" t="e">
        <f>AND(Шахм!AJ62,"AAAAAG27+/U=")</f>
        <v>#VALUE!</v>
      </c>
      <c r="IM9">
        <f>IF(Шахм!63:63,"AAAAAG27+/Y=",0)</f>
        <v>0</v>
      </c>
      <c r="IN9" t="e">
        <f>AND(Шахм!A63,"AAAAAG27+/c=")</f>
        <v>#VALUE!</v>
      </c>
      <c r="IO9" t="e">
        <f>AND(Шахм!B63,"AAAAAG27+/g=")</f>
        <v>#VALUE!</v>
      </c>
      <c r="IP9" t="e">
        <f>AND(Шахм!C63,"AAAAAG27+/k=")</f>
        <v>#VALUE!</v>
      </c>
      <c r="IQ9" t="e">
        <f>AND(Шахм!D63,"AAAAAG27+/o=")</f>
        <v>#VALUE!</v>
      </c>
      <c r="IR9" t="e">
        <f>AND(Шахм!E63,"AAAAAG27+/s=")</f>
        <v>#VALUE!</v>
      </c>
      <c r="IS9" t="e">
        <f>AND(Шахм!F63,"AAAAAG27+/w=")</f>
        <v>#VALUE!</v>
      </c>
      <c r="IT9" t="e">
        <f>AND(Шахм!G63,"AAAAAG27+/0=")</f>
        <v>#VALUE!</v>
      </c>
      <c r="IU9" t="e">
        <f>AND(Шахм!H63,"AAAAAG27+/4=")</f>
        <v>#VALUE!</v>
      </c>
      <c r="IV9" t="e">
        <f>AND(Шахм!I63,"AAAAAG27+/8=")</f>
        <v>#VALUE!</v>
      </c>
    </row>
    <row r="10" spans="1:256">
      <c r="A10" t="e">
        <f>AND(Шахм!J63,"AAAAAGf2+gA=")</f>
        <v>#VALUE!</v>
      </c>
      <c r="B10" t="e">
        <f>AND(Шахм!K63,"AAAAAGf2+gE=")</f>
        <v>#VALUE!</v>
      </c>
      <c r="C10" t="e">
        <f>AND(Шахм!L63,"AAAAAGf2+gI=")</f>
        <v>#VALUE!</v>
      </c>
      <c r="D10" t="e">
        <f>AND(Шахм!M63,"AAAAAGf2+gM=")</f>
        <v>#VALUE!</v>
      </c>
      <c r="E10" t="e">
        <f>AND(Шахм!N63,"AAAAAGf2+gQ=")</f>
        <v>#VALUE!</v>
      </c>
      <c r="F10" t="e">
        <f>AND(Шахм!O63,"AAAAAGf2+gU=")</f>
        <v>#VALUE!</v>
      </c>
      <c r="G10" t="e">
        <f>AND(Шахм!P63,"AAAAAGf2+gY=")</f>
        <v>#VALUE!</v>
      </c>
      <c r="H10" t="e">
        <f>AND(Шахм!Q63,"AAAAAGf2+gc=")</f>
        <v>#VALUE!</v>
      </c>
      <c r="I10" t="e">
        <f>AND(Шахм!R63,"AAAAAGf2+gg=")</f>
        <v>#VALUE!</v>
      </c>
      <c r="J10" t="e">
        <f>AND(Шахм!S63,"AAAAAGf2+gk=")</f>
        <v>#VALUE!</v>
      </c>
      <c r="K10" t="e">
        <f>AND(Шахм!T63,"AAAAAGf2+go=")</f>
        <v>#VALUE!</v>
      </c>
      <c r="L10" t="e">
        <f>AND(Шахм!U63,"AAAAAGf2+gs=")</f>
        <v>#VALUE!</v>
      </c>
      <c r="M10" t="e">
        <f>AND(Шахм!V63,"AAAAAGf2+gw=")</f>
        <v>#VALUE!</v>
      </c>
      <c r="N10" t="e">
        <f>AND(Шахм!W63,"AAAAAGf2+g0=")</f>
        <v>#VALUE!</v>
      </c>
      <c r="O10" t="e">
        <f>AND(Шахм!X63,"AAAAAGf2+g4=")</f>
        <v>#VALUE!</v>
      </c>
      <c r="P10" t="e">
        <f>AND(Шахм!Y63,"AAAAAGf2+g8=")</f>
        <v>#VALUE!</v>
      </c>
      <c r="Q10" t="e">
        <f>AND(Шахм!Z63,"AAAAAGf2+hA=")</f>
        <v>#VALUE!</v>
      </c>
      <c r="R10" t="e">
        <f>AND(Шахм!AA63,"AAAAAGf2+hE=")</f>
        <v>#VALUE!</v>
      </c>
      <c r="S10" t="e">
        <f>AND(Шахм!AB63,"AAAAAGf2+hI=")</f>
        <v>#VALUE!</v>
      </c>
      <c r="T10" t="e">
        <f>AND(Шахм!AC63,"AAAAAGf2+hM=")</f>
        <v>#VALUE!</v>
      </c>
      <c r="U10" t="e">
        <f>AND(Шахм!AD63,"AAAAAGf2+hQ=")</f>
        <v>#VALUE!</v>
      </c>
      <c r="V10" t="e">
        <f>AND(Шахм!AE63,"AAAAAGf2+hU=")</f>
        <v>#VALUE!</v>
      </c>
      <c r="W10" t="e">
        <f>AND(Шахм!AF63,"AAAAAGf2+hY=")</f>
        <v>#VALUE!</v>
      </c>
      <c r="X10" t="e">
        <f>AND(Шахм!AG63,"AAAAAGf2+hc=")</f>
        <v>#VALUE!</v>
      </c>
      <c r="Y10" t="e">
        <f>AND(Шахм!AH63,"AAAAAGf2+hg=")</f>
        <v>#VALUE!</v>
      </c>
      <c r="Z10" t="e">
        <f>AND(Шахм!AI63,"AAAAAGf2+hk=")</f>
        <v>#VALUE!</v>
      </c>
      <c r="AA10" t="e">
        <f>AND(Шахм!AJ63,"AAAAAGf2+ho=")</f>
        <v>#VALUE!</v>
      </c>
      <c r="AB10" t="e">
        <f>IF(Шахм!64:64,"AAAAAGf2+hs=",0)</f>
        <v>#VALUE!</v>
      </c>
      <c r="AC10" t="e">
        <f>AND(Шахм!A64,"AAAAAGf2+hw=")</f>
        <v>#VALUE!</v>
      </c>
      <c r="AD10" t="e">
        <f>AND(Шахм!B64,"AAAAAGf2+h0=")</f>
        <v>#VALUE!</v>
      </c>
      <c r="AE10" t="e">
        <f>AND(Шахм!C64,"AAAAAGf2+h4=")</f>
        <v>#VALUE!</v>
      </c>
      <c r="AF10" t="e">
        <f>AND(Шахм!D64,"AAAAAGf2+h8=")</f>
        <v>#VALUE!</v>
      </c>
      <c r="AG10" t="e">
        <f>AND(Шахм!E64,"AAAAAGf2+iA=")</f>
        <v>#VALUE!</v>
      </c>
      <c r="AH10" t="e">
        <f>AND(Шахм!F64,"AAAAAGf2+iE=")</f>
        <v>#VALUE!</v>
      </c>
      <c r="AI10" t="e">
        <f>AND(Шахм!G64,"AAAAAGf2+iI=")</f>
        <v>#VALUE!</v>
      </c>
      <c r="AJ10" t="e">
        <f>AND(Шахм!H64,"AAAAAGf2+iM=")</f>
        <v>#VALUE!</v>
      </c>
      <c r="AK10" t="e">
        <f>AND(Шахм!I64,"AAAAAGf2+iQ=")</f>
        <v>#VALUE!</v>
      </c>
      <c r="AL10" t="e">
        <f>AND(Шахм!J64,"AAAAAGf2+iU=")</f>
        <v>#VALUE!</v>
      </c>
      <c r="AM10" t="e">
        <f>AND(Шахм!K64,"AAAAAGf2+iY=")</f>
        <v>#VALUE!</v>
      </c>
      <c r="AN10" t="e">
        <f>AND(Шахм!L64,"AAAAAGf2+ic=")</f>
        <v>#VALUE!</v>
      </c>
      <c r="AO10" t="e">
        <f>AND(Шахм!M64,"AAAAAGf2+ig=")</f>
        <v>#VALUE!</v>
      </c>
      <c r="AP10" t="e">
        <f>AND(Шахм!N64,"AAAAAGf2+ik=")</f>
        <v>#VALUE!</v>
      </c>
      <c r="AQ10" t="e">
        <f>AND(Шахм!O64,"AAAAAGf2+io=")</f>
        <v>#VALUE!</v>
      </c>
      <c r="AR10" t="e">
        <f>AND(Шахм!P64,"AAAAAGf2+is=")</f>
        <v>#VALUE!</v>
      </c>
      <c r="AS10" t="e">
        <f>AND(Шахм!Q64,"AAAAAGf2+iw=")</f>
        <v>#VALUE!</v>
      </c>
      <c r="AT10" t="e">
        <f>AND(Шахм!R64,"AAAAAGf2+i0=")</f>
        <v>#VALUE!</v>
      </c>
      <c r="AU10" t="e">
        <f>AND(Шахм!S64,"AAAAAGf2+i4=")</f>
        <v>#VALUE!</v>
      </c>
      <c r="AV10" t="e">
        <f>AND(Шахм!T64,"AAAAAGf2+i8=")</f>
        <v>#VALUE!</v>
      </c>
      <c r="AW10" t="e">
        <f>AND(Шахм!U64,"AAAAAGf2+jA=")</f>
        <v>#VALUE!</v>
      </c>
      <c r="AX10" t="e">
        <f>AND(Шахм!V64,"AAAAAGf2+jE=")</f>
        <v>#VALUE!</v>
      </c>
      <c r="AY10" t="e">
        <f>AND(Шахм!W64,"AAAAAGf2+jI=")</f>
        <v>#VALUE!</v>
      </c>
      <c r="AZ10" t="e">
        <f>AND(Шахм!X64,"AAAAAGf2+jM=")</f>
        <v>#VALUE!</v>
      </c>
      <c r="BA10" t="e">
        <f>AND(Шахм!Y64,"AAAAAGf2+jQ=")</f>
        <v>#VALUE!</v>
      </c>
      <c r="BB10" t="e">
        <f>AND(Шахм!Z64,"AAAAAGf2+jU=")</f>
        <v>#VALUE!</v>
      </c>
      <c r="BC10" t="e">
        <f>AND(Шахм!AA64,"AAAAAGf2+jY=")</f>
        <v>#VALUE!</v>
      </c>
      <c r="BD10" t="e">
        <f>AND(Шахм!AB64,"AAAAAGf2+jc=")</f>
        <v>#VALUE!</v>
      </c>
      <c r="BE10" t="e">
        <f>AND(Шахм!AC64,"AAAAAGf2+jg=")</f>
        <v>#VALUE!</v>
      </c>
      <c r="BF10" t="e">
        <f>AND(Шахм!AD64,"AAAAAGf2+jk=")</f>
        <v>#VALUE!</v>
      </c>
      <c r="BG10" t="e">
        <f>AND(Шахм!AE64,"AAAAAGf2+jo=")</f>
        <v>#VALUE!</v>
      </c>
      <c r="BH10" t="e">
        <f>AND(Шахм!AF64,"AAAAAGf2+js=")</f>
        <v>#VALUE!</v>
      </c>
      <c r="BI10" t="e">
        <f>AND(Шахм!AG64,"AAAAAGf2+jw=")</f>
        <v>#VALUE!</v>
      </c>
      <c r="BJ10" t="e">
        <f>AND(Шахм!AH64,"AAAAAGf2+j0=")</f>
        <v>#VALUE!</v>
      </c>
      <c r="BK10" t="e">
        <f>AND(Шахм!AI64,"AAAAAGf2+j4=")</f>
        <v>#VALUE!</v>
      </c>
      <c r="BL10" t="e">
        <f>AND(Шахм!AJ64,"AAAAAGf2+j8=")</f>
        <v>#VALUE!</v>
      </c>
      <c r="BM10">
        <f>IF(Шахм!65:65,"AAAAAGf2+kA=",0)</f>
        <v>0</v>
      </c>
      <c r="BN10" t="e">
        <f>AND(Шахм!A65,"AAAAAGf2+kE=")</f>
        <v>#VALUE!</v>
      </c>
      <c r="BO10" t="e">
        <f>AND(Шахм!B65,"AAAAAGf2+kI=")</f>
        <v>#VALUE!</v>
      </c>
      <c r="BP10" t="e">
        <f>AND(Шахм!C65,"AAAAAGf2+kM=")</f>
        <v>#VALUE!</v>
      </c>
      <c r="BQ10" t="e">
        <f>AND(Шахм!D65,"AAAAAGf2+kQ=")</f>
        <v>#VALUE!</v>
      </c>
      <c r="BR10" t="e">
        <f>AND(Шахм!E65,"AAAAAGf2+kU=")</f>
        <v>#VALUE!</v>
      </c>
      <c r="BS10" t="e">
        <f>AND(Шахм!F65,"AAAAAGf2+kY=")</f>
        <v>#VALUE!</v>
      </c>
      <c r="BT10" t="e">
        <f>AND(Шахм!G65,"AAAAAGf2+kc=")</f>
        <v>#VALUE!</v>
      </c>
      <c r="BU10" t="e">
        <f>AND(Шахм!H65,"AAAAAGf2+kg=")</f>
        <v>#VALUE!</v>
      </c>
      <c r="BV10" t="e">
        <f>AND(Шахм!I65,"AAAAAGf2+kk=")</f>
        <v>#VALUE!</v>
      </c>
      <c r="BW10" t="e">
        <f>AND(Шахм!J65,"AAAAAGf2+ko=")</f>
        <v>#VALUE!</v>
      </c>
      <c r="BX10" t="e">
        <f>AND(Шахм!K65,"AAAAAGf2+ks=")</f>
        <v>#VALUE!</v>
      </c>
      <c r="BY10" t="e">
        <f>AND(Шахм!L65,"AAAAAGf2+kw=")</f>
        <v>#VALUE!</v>
      </c>
      <c r="BZ10" t="e">
        <f>AND(Шахм!M65,"AAAAAGf2+k0=")</f>
        <v>#VALUE!</v>
      </c>
      <c r="CA10" t="e">
        <f>AND(Шахм!N65,"AAAAAGf2+k4=")</f>
        <v>#VALUE!</v>
      </c>
      <c r="CB10" t="e">
        <f>AND(Шахм!O65,"AAAAAGf2+k8=")</f>
        <v>#VALUE!</v>
      </c>
      <c r="CC10" t="e">
        <f>AND(Шахм!P65,"AAAAAGf2+lA=")</f>
        <v>#VALUE!</v>
      </c>
      <c r="CD10" t="e">
        <f>AND(Шахм!Q65,"AAAAAGf2+lE=")</f>
        <v>#VALUE!</v>
      </c>
      <c r="CE10" t="e">
        <f>AND(Шахм!R65,"AAAAAGf2+lI=")</f>
        <v>#VALUE!</v>
      </c>
      <c r="CF10" t="e">
        <f>AND(Шахм!S65,"AAAAAGf2+lM=")</f>
        <v>#VALUE!</v>
      </c>
      <c r="CG10" t="e">
        <f>AND(Шахм!T65,"AAAAAGf2+lQ=")</f>
        <v>#VALUE!</v>
      </c>
      <c r="CH10" t="e">
        <f>AND(Шахм!U65,"AAAAAGf2+lU=")</f>
        <v>#VALUE!</v>
      </c>
      <c r="CI10" t="e">
        <f>AND(Шахм!V65,"AAAAAGf2+lY=")</f>
        <v>#VALUE!</v>
      </c>
      <c r="CJ10" t="e">
        <f>AND(Шахм!W65,"AAAAAGf2+lc=")</f>
        <v>#VALUE!</v>
      </c>
      <c r="CK10" t="e">
        <f>AND(Шахм!X65,"AAAAAGf2+lg=")</f>
        <v>#VALUE!</v>
      </c>
      <c r="CL10" t="e">
        <f>AND(Шахм!Y65,"AAAAAGf2+lk=")</f>
        <v>#VALUE!</v>
      </c>
      <c r="CM10" t="e">
        <f>AND(Шахм!Z65,"AAAAAGf2+lo=")</f>
        <v>#VALUE!</v>
      </c>
      <c r="CN10" t="e">
        <f>AND(Шахм!AA65,"AAAAAGf2+ls=")</f>
        <v>#VALUE!</v>
      </c>
      <c r="CO10" t="e">
        <f>AND(Шахм!AB65,"AAAAAGf2+lw=")</f>
        <v>#VALUE!</v>
      </c>
      <c r="CP10" t="e">
        <f>AND(Шахм!AC65,"AAAAAGf2+l0=")</f>
        <v>#VALUE!</v>
      </c>
      <c r="CQ10" t="e">
        <f>AND(Шахм!AD65,"AAAAAGf2+l4=")</f>
        <v>#VALUE!</v>
      </c>
      <c r="CR10" t="e">
        <f>AND(Шахм!AE65,"AAAAAGf2+l8=")</f>
        <v>#VALUE!</v>
      </c>
      <c r="CS10" t="e">
        <f>AND(Шахм!AF65,"AAAAAGf2+mA=")</f>
        <v>#VALUE!</v>
      </c>
      <c r="CT10" t="e">
        <f>AND(Шахм!AG65,"AAAAAGf2+mE=")</f>
        <v>#VALUE!</v>
      </c>
      <c r="CU10" t="e">
        <f>AND(Шахм!AH65,"AAAAAGf2+mI=")</f>
        <v>#VALUE!</v>
      </c>
      <c r="CV10" t="e">
        <f>AND(Шахм!AI65,"AAAAAGf2+mM=")</f>
        <v>#VALUE!</v>
      </c>
      <c r="CW10" t="e">
        <f>AND(Шахм!AJ65,"AAAAAGf2+mQ=")</f>
        <v>#VALUE!</v>
      </c>
      <c r="CX10">
        <f>IF(Шахм!66:66,"AAAAAGf2+mU=",0)</f>
        <v>0</v>
      </c>
      <c r="CY10" t="e">
        <f>AND(Шахм!A66,"AAAAAGf2+mY=")</f>
        <v>#VALUE!</v>
      </c>
      <c r="CZ10" t="e">
        <f>AND(Шахм!B66,"AAAAAGf2+mc=")</f>
        <v>#VALUE!</v>
      </c>
      <c r="DA10" t="e">
        <f>AND(Шахм!C66,"AAAAAGf2+mg=")</f>
        <v>#VALUE!</v>
      </c>
      <c r="DB10" t="e">
        <f>AND(Шахм!D66,"AAAAAGf2+mk=")</f>
        <v>#VALUE!</v>
      </c>
      <c r="DC10" t="e">
        <f>AND(Шахм!E66,"AAAAAGf2+mo=")</f>
        <v>#VALUE!</v>
      </c>
      <c r="DD10" t="e">
        <f>AND(Шахм!F66,"AAAAAGf2+ms=")</f>
        <v>#VALUE!</v>
      </c>
      <c r="DE10" t="e">
        <f>AND(Шахм!G66,"AAAAAGf2+mw=")</f>
        <v>#VALUE!</v>
      </c>
      <c r="DF10" t="e">
        <f>AND(Шахм!H66,"AAAAAGf2+m0=")</f>
        <v>#VALUE!</v>
      </c>
      <c r="DG10" t="e">
        <f>AND(Шахм!I66,"AAAAAGf2+m4=")</f>
        <v>#VALUE!</v>
      </c>
      <c r="DH10" t="e">
        <f>AND(Шахм!J66,"AAAAAGf2+m8=")</f>
        <v>#VALUE!</v>
      </c>
      <c r="DI10" t="e">
        <f>AND(Шахм!K66,"AAAAAGf2+nA=")</f>
        <v>#VALUE!</v>
      </c>
      <c r="DJ10" t="e">
        <f>AND(Шахм!L66,"AAAAAGf2+nE=")</f>
        <v>#VALUE!</v>
      </c>
      <c r="DK10" t="e">
        <f>AND(Шахм!M66,"AAAAAGf2+nI=")</f>
        <v>#VALUE!</v>
      </c>
      <c r="DL10" t="e">
        <f>AND(Шахм!N66,"AAAAAGf2+nM=")</f>
        <v>#VALUE!</v>
      </c>
      <c r="DM10" t="e">
        <f>AND(Шахм!O66,"AAAAAGf2+nQ=")</f>
        <v>#VALUE!</v>
      </c>
      <c r="DN10" t="e">
        <f>AND(Шахм!P66,"AAAAAGf2+nU=")</f>
        <v>#VALUE!</v>
      </c>
      <c r="DO10" t="e">
        <f>AND(Шахм!Q66,"AAAAAGf2+nY=")</f>
        <v>#VALUE!</v>
      </c>
      <c r="DP10" t="e">
        <f>AND(Шахм!R66,"AAAAAGf2+nc=")</f>
        <v>#VALUE!</v>
      </c>
      <c r="DQ10" t="e">
        <f>AND(Шахм!S66,"AAAAAGf2+ng=")</f>
        <v>#VALUE!</v>
      </c>
      <c r="DR10" t="e">
        <f>AND(Шахм!T66,"AAAAAGf2+nk=")</f>
        <v>#VALUE!</v>
      </c>
      <c r="DS10" t="e">
        <f>AND(Шахм!U66,"AAAAAGf2+no=")</f>
        <v>#VALUE!</v>
      </c>
      <c r="DT10" t="e">
        <f>AND(Шахм!V66,"AAAAAGf2+ns=")</f>
        <v>#VALUE!</v>
      </c>
      <c r="DU10" t="e">
        <f>AND(Шахм!W66,"AAAAAGf2+nw=")</f>
        <v>#VALUE!</v>
      </c>
      <c r="DV10" t="e">
        <f>AND(Шахм!X66,"AAAAAGf2+n0=")</f>
        <v>#VALUE!</v>
      </c>
      <c r="DW10" t="e">
        <f>AND(Шахм!Y66,"AAAAAGf2+n4=")</f>
        <v>#VALUE!</v>
      </c>
      <c r="DX10" t="e">
        <f>AND(Шахм!Z66,"AAAAAGf2+n8=")</f>
        <v>#VALUE!</v>
      </c>
      <c r="DY10" t="e">
        <f>AND(Шахм!AA66,"AAAAAGf2+oA=")</f>
        <v>#VALUE!</v>
      </c>
      <c r="DZ10" t="e">
        <f>AND(Шахм!AB66,"AAAAAGf2+oE=")</f>
        <v>#VALUE!</v>
      </c>
      <c r="EA10" t="e">
        <f>AND(Шахм!AC66,"AAAAAGf2+oI=")</f>
        <v>#VALUE!</v>
      </c>
      <c r="EB10" t="e">
        <f>AND(Шахм!AD66,"AAAAAGf2+oM=")</f>
        <v>#VALUE!</v>
      </c>
      <c r="EC10" t="e">
        <f>AND(Шахм!AE66,"AAAAAGf2+oQ=")</f>
        <v>#VALUE!</v>
      </c>
      <c r="ED10" t="e">
        <f>AND(Шахм!AF66,"AAAAAGf2+oU=")</f>
        <v>#VALUE!</v>
      </c>
      <c r="EE10" t="e">
        <f>AND(Шахм!AG66,"AAAAAGf2+oY=")</f>
        <v>#VALUE!</v>
      </c>
      <c r="EF10" t="e">
        <f>AND(Шахм!AH66,"AAAAAGf2+oc=")</f>
        <v>#VALUE!</v>
      </c>
      <c r="EG10" t="e">
        <f>AND(Шахм!AI66,"AAAAAGf2+og=")</f>
        <v>#VALUE!</v>
      </c>
      <c r="EH10" t="e">
        <f>AND(Шахм!AJ66,"AAAAAGf2+ok=")</f>
        <v>#VALUE!</v>
      </c>
      <c r="EI10">
        <f>IF(Шахм!67:67,"AAAAAGf2+oo=",0)</f>
        <v>0</v>
      </c>
      <c r="EJ10" t="e">
        <f>AND(Шахм!A67,"AAAAAGf2+os=")</f>
        <v>#VALUE!</v>
      </c>
      <c r="EK10" t="e">
        <f>AND(Шахм!B67,"AAAAAGf2+ow=")</f>
        <v>#VALUE!</v>
      </c>
      <c r="EL10" t="e">
        <f>AND(Шахм!C67,"AAAAAGf2+o0=")</f>
        <v>#VALUE!</v>
      </c>
      <c r="EM10" t="e">
        <f>AND(Шахм!D67,"AAAAAGf2+o4=")</f>
        <v>#VALUE!</v>
      </c>
      <c r="EN10" t="e">
        <f>AND(Шахм!E67,"AAAAAGf2+o8=")</f>
        <v>#VALUE!</v>
      </c>
      <c r="EO10" t="e">
        <f>AND(Шахм!F67,"AAAAAGf2+pA=")</f>
        <v>#VALUE!</v>
      </c>
      <c r="EP10" t="e">
        <f>AND(Шахм!G67,"AAAAAGf2+pE=")</f>
        <v>#VALUE!</v>
      </c>
      <c r="EQ10" t="e">
        <f>AND(Шахм!H67,"AAAAAGf2+pI=")</f>
        <v>#VALUE!</v>
      </c>
      <c r="ER10" t="e">
        <f>AND(Шахм!I67,"AAAAAGf2+pM=")</f>
        <v>#VALUE!</v>
      </c>
      <c r="ES10" t="e">
        <f>AND(Шахм!J67,"AAAAAGf2+pQ=")</f>
        <v>#VALUE!</v>
      </c>
      <c r="ET10" t="e">
        <f>AND(Шахм!K67,"AAAAAGf2+pU=")</f>
        <v>#VALUE!</v>
      </c>
      <c r="EU10" t="e">
        <f>AND(Шахм!L67,"AAAAAGf2+pY=")</f>
        <v>#VALUE!</v>
      </c>
      <c r="EV10" t="e">
        <f>AND(Шахм!M67,"AAAAAGf2+pc=")</f>
        <v>#VALUE!</v>
      </c>
      <c r="EW10" t="e">
        <f>AND(Шахм!N67,"AAAAAGf2+pg=")</f>
        <v>#VALUE!</v>
      </c>
      <c r="EX10" t="e">
        <f>AND(Шахм!O67,"AAAAAGf2+pk=")</f>
        <v>#VALUE!</v>
      </c>
      <c r="EY10" t="e">
        <f>AND(Шахм!P67,"AAAAAGf2+po=")</f>
        <v>#VALUE!</v>
      </c>
      <c r="EZ10" t="e">
        <f>AND(Шахм!Q67,"AAAAAGf2+ps=")</f>
        <v>#VALUE!</v>
      </c>
      <c r="FA10" t="e">
        <f>AND(Шахм!R67,"AAAAAGf2+pw=")</f>
        <v>#VALUE!</v>
      </c>
      <c r="FB10" t="e">
        <f>AND(Шахм!S67,"AAAAAGf2+p0=")</f>
        <v>#VALUE!</v>
      </c>
      <c r="FC10" t="e">
        <f>AND(Шахм!T67,"AAAAAGf2+p4=")</f>
        <v>#VALUE!</v>
      </c>
      <c r="FD10" t="e">
        <f>AND(Шахм!U67,"AAAAAGf2+p8=")</f>
        <v>#VALUE!</v>
      </c>
      <c r="FE10" t="e">
        <f>AND(Шахм!V67,"AAAAAGf2+qA=")</f>
        <v>#VALUE!</v>
      </c>
      <c r="FF10" t="e">
        <f>AND(Шахм!W67,"AAAAAGf2+qE=")</f>
        <v>#VALUE!</v>
      </c>
      <c r="FG10" t="e">
        <f>AND(Шахм!X67,"AAAAAGf2+qI=")</f>
        <v>#VALUE!</v>
      </c>
      <c r="FH10" t="e">
        <f>AND(Шахм!Y67,"AAAAAGf2+qM=")</f>
        <v>#VALUE!</v>
      </c>
      <c r="FI10" t="e">
        <f>AND(Шахм!Z67,"AAAAAGf2+qQ=")</f>
        <v>#VALUE!</v>
      </c>
      <c r="FJ10" t="e">
        <f>AND(Шахм!AA67,"AAAAAGf2+qU=")</f>
        <v>#VALUE!</v>
      </c>
      <c r="FK10" t="e">
        <f>AND(Шахм!AB67,"AAAAAGf2+qY=")</f>
        <v>#VALUE!</v>
      </c>
      <c r="FL10" t="e">
        <f>AND(Шахм!AC67,"AAAAAGf2+qc=")</f>
        <v>#VALUE!</v>
      </c>
      <c r="FM10" t="e">
        <f>AND(Шахм!AD67,"AAAAAGf2+qg=")</f>
        <v>#VALUE!</v>
      </c>
      <c r="FN10" t="e">
        <f>AND(Шахм!AE67,"AAAAAGf2+qk=")</f>
        <v>#VALUE!</v>
      </c>
      <c r="FO10" t="e">
        <f>AND(Шахм!AF67,"AAAAAGf2+qo=")</f>
        <v>#VALUE!</v>
      </c>
      <c r="FP10" t="e">
        <f>AND(Шахм!AG67,"AAAAAGf2+qs=")</f>
        <v>#VALUE!</v>
      </c>
      <c r="FQ10" t="e">
        <f>AND(Шахм!AH67,"AAAAAGf2+qw=")</f>
        <v>#VALUE!</v>
      </c>
      <c r="FR10" t="e">
        <f>AND(Шахм!AI67,"AAAAAGf2+q0=")</f>
        <v>#VALUE!</v>
      </c>
      <c r="FS10" t="e">
        <f>AND(Шахм!AJ67,"AAAAAGf2+q4=")</f>
        <v>#VALUE!</v>
      </c>
      <c r="FT10">
        <f>IF(Шахм!68:68,"AAAAAGf2+q8=",0)</f>
        <v>0</v>
      </c>
      <c r="FU10" t="e">
        <f>AND(Шахм!A68,"AAAAAGf2+rA=")</f>
        <v>#VALUE!</v>
      </c>
      <c r="FV10" t="e">
        <f>AND(Шахм!B68,"AAAAAGf2+rE=")</f>
        <v>#VALUE!</v>
      </c>
      <c r="FW10" t="e">
        <f>AND(Шахм!C68,"AAAAAGf2+rI=")</f>
        <v>#VALUE!</v>
      </c>
      <c r="FX10" t="e">
        <f>AND(Шахм!D68,"AAAAAGf2+rM=")</f>
        <v>#VALUE!</v>
      </c>
      <c r="FY10" t="e">
        <f>AND(Шахм!E68,"AAAAAGf2+rQ=")</f>
        <v>#VALUE!</v>
      </c>
      <c r="FZ10" t="e">
        <f>AND(Шахм!F68,"AAAAAGf2+rU=")</f>
        <v>#VALUE!</v>
      </c>
      <c r="GA10" t="e">
        <f>AND(Шахм!G68,"AAAAAGf2+rY=")</f>
        <v>#VALUE!</v>
      </c>
      <c r="GB10" t="e">
        <f>AND(Шахм!H68,"AAAAAGf2+rc=")</f>
        <v>#VALUE!</v>
      </c>
      <c r="GC10" t="e">
        <f>AND(Шахм!I68,"AAAAAGf2+rg=")</f>
        <v>#VALUE!</v>
      </c>
      <c r="GD10" t="e">
        <f>AND(Шахм!J68,"AAAAAGf2+rk=")</f>
        <v>#VALUE!</v>
      </c>
      <c r="GE10" t="e">
        <f>AND(Шахм!K68,"AAAAAGf2+ro=")</f>
        <v>#VALUE!</v>
      </c>
      <c r="GF10" t="e">
        <f>AND(Шахм!L68,"AAAAAGf2+rs=")</f>
        <v>#VALUE!</v>
      </c>
      <c r="GG10" t="e">
        <f>AND(Шахм!M68,"AAAAAGf2+rw=")</f>
        <v>#VALUE!</v>
      </c>
      <c r="GH10" t="e">
        <f>AND(Шахм!N68,"AAAAAGf2+r0=")</f>
        <v>#VALUE!</v>
      </c>
      <c r="GI10" t="e">
        <f>AND(Шахм!O68,"AAAAAGf2+r4=")</f>
        <v>#VALUE!</v>
      </c>
      <c r="GJ10" t="e">
        <f>AND(Шахм!P68,"AAAAAGf2+r8=")</f>
        <v>#VALUE!</v>
      </c>
      <c r="GK10" t="e">
        <f>AND(Шахм!Q68,"AAAAAGf2+sA=")</f>
        <v>#VALUE!</v>
      </c>
      <c r="GL10" t="e">
        <f>AND(Шахм!R68,"AAAAAGf2+sE=")</f>
        <v>#VALUE!</v>
      </c>
      <c r="GM10" t="e">
        <f>AND(Шахм!S68,"AAAAAGf2+sI=")</f>
        <v>#VALUE!</v>
      </c>
      <c r="GN10" t="e">
        <f>AND(Шахм!T68,"AAAAAGf2+sM=")</f>
        <v>#VALUE!</v>
      </c>
      <c r="GO10" t="e">
        <f>AND(Шахм!U68,"AAAAAGf2+sQ=")</f>
        <v>#VALUE!</v>
      </c>
      <c r="GP10" t="e">
        <f>AND(Шахм!V68,"AAAAAGf2+sU=")</f>
        <v>#VALUE!</v>
      </c>
      <c r="GQ10" t="e">
        <f>AND(Шахм!W68,"AAAAAGf2+sY=")</f>
        <v>#VALUE!</v>
      </c>
      <c r="GR10" t="e">
        <f>AND(Шахм!X68,"AAAAAGf2+sc=")</f>
        <v>#VALUE!</v>
      </c>
      <c r="GS10" t="e">
        <f>AND(Шахм!Y68,"AAAAAGf2+sg=")</f>
        <v>#VALUE!</v>
      </c>
      <c r="GT10" t="e">
        <f>AND(Шахм!Z68,"AAAAAGf2+sk=")</f>
        <v>#VALUE!</v>
      </c>
      <c r="GU10" t="e">
        <f>AND(Шахм!AA68,"AAAAAGf2+so=")</f>
        <v>#VALUE!</v>
      </c>
      <c r="GV10" t="e">
        <f>AND(Шахм!AB68,"AAAAAGf2+ss=")</f>
        <v>#VALUE!</v>
      </c>
      <c r="GW10" t="e">
        <f>AND(Шахм!AC68,"AAAAAGf2+sw=")</f>
        <v>#VALUE!</v>
      </c>
      <c r="GX10" t="e">
        <f>AND(Шахм!AD68,"AAAAAGf2+s0=")</f>
        <v>#VALUE!</v>
      </c>
      <c r="GY10" t="e">
        <f>AND(Шахм!AE68,"AAAAAGf2+s4=")</f>
        <v>#VALUE!</v>
      </c>
      <c r="GZ10" t="e">
        <f>AND(Шахм!AF68,"AAAAAGf2+s8=")</f>
        <v>#VALUE!</v>
      </c>
      <c r="HA10" t="e">
        <f>AND(Шахм!AG68,"AAAAAGf2+tA=")</f>
        <v>#VALUE!</v>
      </c>
      <c r="HB10" t="e">
        <f>AND(Шахм!AH68,"AAAAAGf2+tE=")</f>
        <v>#VALUE!</v>
      </c>
      <c r="HC10" t="e">
        <f>AND(Шахм!AI68,"AAAAAGf2+tI=")</f>
        <v>#VALUE!</v>
      </c>
      <c r="HD10" t="e">
        <f>AND(Шахм!AJ68,"AAAAAGf2+tM=")</f>
        <v>#VALUE!</v>
      </c>
      <c r="HE10">
        <f>IF(Шахм!69:69,"AAAAAGf2+tQ=",0)</f>
        <v>0</v>
      </c>
      <c r="HF10" t="e">
        <f>AND(Шахм!A69,"AAAAAGf2+tU=")</f>
        <v>#VALUE!</v>
      </c>
      <c r="HG10" t="e">
        <f>AND(Шахм!B69,"AAAAAGf2+tY=")</f>
        <v>#VALUE!</v>
      </c>
      <c r="HH10" t="e">
        <f>AND(Шахм!C69,"AAAAAGf2+tc=")</f>
        <v>#VALUE!</v>
      </c>
      <c r="HI10" t="e">
        <f>AND(Шахм!D69,"AAAAAGf2+tg=")</f>
        <v>#VALUE!</v>
      </c>
      <c r="HJ10" t="e">
        <f>AND(Шахм!E69,"AAAAAGf2+tk=")</f>
        <v>#VALUE!</v>
      </c>
      <c r="HK10" t="e">
        <f>AND(Шахм!F69,"AAAAAGf2+to=")</f>
        <v>#VALUE!</v>
      </c>
      <c r="HL10" t="e">
        <f>AND(Шахм!G69,"AAAAAGf2+ts=")</f>
        <v>#VALUE!</v>
      </c>
      <c r="HM10" t="e">
        <f>AND(Шахм!H69,"AAAAAGf2+tw=")</f>
        <v>#VALUE!</v>
      </c>
      <c r="HN10" t="e">
        <f>AND(Шахм!I69,"AAAAAGf2+t0=")</f>
        <v>#VALUE!</v>
      </c>
      <c r="HO10" t="e">
        <f>AND(Шахм!J69,"AAAAAGf2+t4=")</f>
        <v>#VALUE!</v>
      </c>
      <c r="HP10" t="e">
        <f>AND(Шахм!K69,"AAAAAGf2+t8=")</f>
        <v>#VALUE!</v>
      </c>
      <c r="HQ10" t="e">
        <f>AND(Шахм!L69,"AAAAAGf2+uA=")</f>
        <v>#VALUE!</v>
      </c>
      <c r="HR10" t="e">
        <f>AND(Шахм!M69,"AAAAAGf2+uE=")</f>
        <v>#VALUE!</v>
      </c>
      <c r="HS10" t="e">
        <f>AND(Шахм!N69,"AAAAAGf2+uI=")</f>
        <v>#VALUE!</v>
      </c>
      <c r="HT10" t="e">
        <f>AND(Шахм!O69,"AAAAAGf2+uM=")</f>
        <v>#VALUE!</v>
      </c>
      <c r="HU10" t="e">
        <f>AND(Шахм!P69,"AAAAAGf2+uQ=")</f>
        <v>#VALUE!</v>
      </c>
      <c r="HV10" t="e">
        <f>AND(Шахм!Q69,"AAAAAGf2+uU=")</f>
        <v>#VALUE!</v>
      </c>
      <c r="HW10" t="e">
        <f>AND(Шахм!R69,"AAAAAGf2+uY=")</f>
        <v>#VALUE!</v>
      </c>
      <c r="HX10" t="e">
        <f>AND(Шахм!S69,"AAAAAGf2+uc=")</f>
        <v>#VALUE!</v>
      </c>
      <c r="HY10" t="e">
        <f>AND(Шахм!T69,"AAAAAGf2+ug=")</f>
        <v>#VALUE!</v>
      </c>
      <c r="HZ10" t="e">
        <f>AND(Шахм!U69,"AAAAAGf2+uk=")</f>
        <v>#VALUE!</v>
      </c>
      <c r="IA10" t="e">
        <f>AND(Шахм!V69,"AAAAAGf2+uo=")</f>
        <v>#VALUE!</v>
      </c>
      <c r="IB10" t="e">
        <f>AND(Шахм!W69,"AAAAAGf2+us=")</f>
        <v>#VALUE!</v>
      </c>
      <c r="IC10" t="e">
        <f>AND(Шахм!X69,"AAAAAGf2+uw=")</f>
        <v>#VALUE!</v>
      </c>
      <c r="ID10" t="e">
        <f>AND(Шахм!Y69,"AAAAAGf2+u0=")</f>
        <v>#VALUE!</v>
      </c>
      <c r="IE10" t="e">
        <f>AND(Шахм!Z69,"AAAAAGf2+u4=")</f>
        <v>#VALUE!</v>
      </c>
      <c r="IF10" t="e">
        <f>AND(Шахм!AA69,"AAAAAGf2+u8=")</f>
        <v>#VALUE!</v>
      </c>
      <c r="IG10" t="e">
        <f>AND(Шахм!AB69,"AAAAAGf2+vA=")</f>
        <v>#VALUE!</v>
      </c>
      <c r="IH10" t="e">
        <f>AND(Шахм!AC69,"AAAAAGf2+vE=")</f>
        <v>#VALUE!</v>
      </c>
      <c r="II10" t="e">
        <f>AND(Шахм!AD69,"AAAAAGf2+vI=")</f>
        <v>#VALUE!</v>
      </c>
      <c r="IJ10" t="e">
        <f>AND(Шахм!AE69,"AAAAAGf2+vM=")</f>
        <v>#VALUE!</v>
      </c>
      <c r="IK10" t="e">
        <f>AND(Шахм!AF69,"AAAAAGf2+vQ=")</f>
        <v>#VALUE!</v>
      </c>
      <c r="IL10" t="e">
        <f>AND(Шахм!AG69,"AAAAAGf2+vU=")</f>
        <v>#VALUE!</v>
      </c>
      <c r="IM10" t="e">
        <f>AND(Шахм!AH69,"AAAAAGf2+vY=")</f>
        <v>#VALUE!</v>
      </c>
      <c r="IN10" t="e">
        <f>AND(Шахм!AI69,"AAAAAGf2+vc=")</f>
        <v>#VALUE!</v>
      </c>
      <c r="IO10" t="e">
        <f>AND(Шахм!AJ69,"AAAAAGf2+vg=")</f>
        <v>#VALUE!</v>
      </c>
      <c r="IP10">
        <f>IF(Шахм!70:70,"AAAAAGf2+vk=",0)</f>
        <v>0</v>
      </c>
      <c r="IQ10" t="e">
        <f>AND(Шахм!A70,"AAAAAGf2+vo=")</f>
        <v>#VALUE!</v>
      </c>
      <c r="IR10" t="e">
        <f>AND(Шахм!B70,"AAAAAGf2+vs=")</f>
        <v>#VALUE!</v>
      </c>
      <c r="IS10" t="e">
        <f>AND(Шахм!C70,"AAAAAGf2+vw=")</f>
        <v>#VALUE!</v>
      </c>
      <c r="IT10" t="e">
        <f>AND(Шахм!D70,"AAAAAGf2+v0=")</f>
        <v>#VALUE!</v>
      </c>
      <c r="IU10" t="e">
        <f>AND(Шахм!E70,"AAAAAGf2+v4=")</f>
        <v>#VALUE!</v>
      </c>
      <c r="IV10" t="e">
        <f>AND(Шахм!F70,"AAAAAGf2+v8=")</f>
        <v>#VALUE!</v>
      </c>
    </row>
    <row r="11" spans="1:256">
      <c r="A11" t="e">
        <f>AND(Шахм!G70,"AAAAAFdllwA=")</f>
        <v>#VALUE!</v>
      </c>
      <c r="B11" t="e">
        <f>AND(Шахм!H70,"AAAAAFdllwE=")</f>
        <v>#VALUE!</v>
      </c>
      <c r="C11" t="e">
        <f>AND(Шахм!I70,"AAAAAFdllwI=")</f>
        <v>#VALUE!</v>
      </c>
      <c r="D11" t="e">
        <f>AND(Шахм!J70,"AAAAAFdllwM=")</f>
        <v>#VALUE!</v>
      </c>
      <c r="E11" t="e">
        <f>AND(Шахм!K70,"AAAAAFdllwQ=")</f>
        <v>#VALUE!</v>
      </c>
      <c r="F11" t="e">
        <f>AND(Шахм!L70,"AAAAAFdllwU=")</f>
        <v>#VALUE!</v>
      </c>
      <c r="G11" t="e">
        <f>AND(Шахм!M70,"AAAAAFdllwY=")</f>
        <v>#VALUE!</v>
      </c>
      <c r="H11" t="e">
        <f>AND(Шахм!N70,"AAAAAFdllwc=")</f>
        <v>#VALUE!</v>
      </c>
      <c r="I11" t="e">
        <f>AND(Шахм!O70,"AAAAAFdllwg=")</f>
        <v>#VALUE!</v>
      </c>
      <c r="J11" t="e">
        <f>AND(Шахм!P70,"AAAAAFdllwk=")</f>
        <v>#VALUE!</v>
      </c>
      <c r="K11" t="e">
        <f>AND(Шахм!Q70,"AAAAAFdllwo=")</f>
        <v>#VALUE!</v>
      </c>
      <c r="L11" t="e">
        <f>AND(Шахм!R70,"AAAAAFdllws=")</f>
        <v>#VALUE!</v>
      </c>
      <c r="M11" t="e">
        <f>AND(Шахм!S70,"AAAAAFdllww=")</f>
        <v>#VALUE!</v>
      </c>
      <c r="N11" t="e">
        <f>AND(Шахм!T70,"AAAAAFdllw0=")</f>
        <v>#VALUE!</v>
      </c>
      <c r="O11" t="e">
        <f>AND(Шахм!U70,"AAAAAFdllw4=")</f>
        <v>#VALUE!</v>
      </c>
      <c r="P11" t="e">
        <f>AND(Шахм!V70,"AAAAAFdllw8=")</f>
        <v>#VALUE!</v>
      </c>
      <c r="Q11" t="e">
        <f>AND(Шахм!W70,"AAAAAFdllxA=")</f>
        <v>#VALUE!</v>
      </c>
      <c r="R11" t="e">
        <f>AND(Шахм!X70,"AAAAAFdllxE=")</f>
        <v>#VALUE!</v>
      </c>
      <c r="S11" t="e">
        <f>AND(Шахм!Y70,"AAAAAFdllxI=")</f>
        <v>#VALUE!</v>
      </c>
      <c r="T11" t="e">
        <f>AND(Шахм!Z70,"AAAAAFdllxM=")</f>
        <v>#VALUE!</v>
      </c>
      <c r="U11" t="e">
        <f>AND(Шахм!AA70,"AAAAAFdllxQ=")</f>
        <v>#VALUE!</v>
      </c>
      <c r="V11" t="e">
        <f>AND(Шахм!AB70,"AAAAAFdllxU=")</f>
        <v>#VALUE!</v>
      </c>
      <c r="W11" t="e">
        <f>AND(Шахм!AC70,"AAAAAFdllxY=")</f>
        <v>#VALUE!</v>
      </c>
      <c r="X11" t="e">
        <f>AND(Шахм!AD70,"AAAAAFdllxc=")</f>
        <v>#VALUE!</v>
      </c>
      <c r="Y11" t="e">
        <f>AND(Шахм!AE70,"AAAAAFdllxg=")</f>
        <v>#VALUE!</v>
      </c>
      <c r="Z11" t="e">
        <f>AND(Шахм!AF70,"AAAAAFdllxk=")</f>
        <v>#VALUE!</v>
      </c>
      <c r="AA11" t="e">
        <f>AND(Шахм!AG70,"AAAAAFdllxo=")</f>
        <v>#VALUE!</v>
      </c>
      <c r="AB11" t="e">
        <f>AND(Шахм!AH70,"AAAAAFdllxs=")</f>
        <v>#VALUE!</v>
      </c>
      <c r="AC11" t="e">
        <f>AND(Шахм!AI70,"AAAAAFdllxw=")</f>
        <v>#VALUE!</v>
      </c>
      <c r="AD11" t="e">
        <f>AND(Шахм!AJ70,"AAAAAFdllx0=")</f>
        <v>#VALUE!</v>
      </c>
      <c r="AE11">
        <f>IF(Шахм!71:71,"AAAAAFdllx4=",0)</f>
        <v>0</v>
      </c>
      <c r="AF11" t="e">
        <f>AND(Шахм!A71,"AAAAAFdllx8=")</f>
        <v>#VALUE!</v>
      </c>
      <c r="AG11" t="e">
        <f>AND(Шахм!B71,"AAAAAFdllyA=")</f>
        <v>#VALUE!</v>
      </c>
      <c r="AH11" t="e">
        <f>AND(Шахм!C71,"AAAAAFdllyE=")</f>
        <v>#VALUE!</v>
      </c>
      <c r="AI11" t="e">
        <f>AND(Шахм!D71,"AAAAAFdllyI=")</f>
        <v>#VALUE!</v>
      </c>
      <c r="AJ11" t="e">
        <f>AND(Шахм!E71,"AAAAAFdllyM=")</f>
        <v>#VALUE!</v>
      </c>
      <c r="AK11" t="e">
        <f>AND(Шахм!F71,"AAAAAFdllyQ=")</f>
        <v>#VALUE!</v>
      </c>
      <c r="AL11" t="e">
        <f>AND(Шахм!G71,"AAAAAFdllyU=")</f>
        <v>#VALUE!</v>
      </c>
      <c r="AM11" t="e">
        <f>AND(Шахм!H71,"AAAAAFdllyY=")</f>
        <v>#VALUE!</v>
      </c>
      <c r="AN11" t="e">
        <f>AND(Шахм!I71,"AAAAAFdllyc=")</f>
        <v>#VALUE!</v>
      </c>
      <c r="AO11" t="e">
        <f>AND(Шахм!J71,"AAAAAFdllyg=")</f>
        <v>#VALUE!</v>
      </c>
      <c r="AP11" t="e">
        <f>AND(Шахм!K71,"AAAAAFdllyk=")</f>
        <v>#VALUE!</v>
      </c>
      <c r="AQ11" t="e">
        <f>AND(Шахм!L71,"AAAAAFdllyo=")</f>
        <v>#VALUE!</v>
      </c>
      <c r="AR11" t="e">
        <f>AND(Шахм!M71,"AAAAAFdllys=")</f>
        <v>#VALUE!</v>
      </c>
      <c r="AS11" t="e">
        <f>AND(Шахм!N71,"AAAAAFdllyw=")</f>
        <v>#VALUE!</v>
      </c>
      <c r="AT11" t="e">
        <f>AND(Шахм!O71,"AAAAAFdlly0=")</f>
        <v>#VALUE!</v>
      </c>
      <c r="AU11" t="e">
        <f>AND(Шахм!P71,"AAAAAFdlly4=")</f>
        <v>#VALUE!</v>
      </c>
      <c r="AV11" t="e">
        <f>AND(Шахм!Q71,"AAAAAFdlly8=")</f>
        <v>#VALUE!</v>
      </c>
      <c r="AW11" t="e">
        <f>AND(Шахм!R71,"AAAAAFdllzA=")</f>
        <v>#VALUE!</v>
      </c>
      <c r="AX11" t="e">
        <f>AND(Шахм!S71,"AAAAAFdllzE=")</f>
        <v>#VALUE!</v>
      </c>
      <c r="AY11" t="e">
        <f>AND(Шахм!T71,"AAAAAFdllzI=")</f>
        <v>#VALUE!</v>
      </c>
      <c r="AZ11" t="e">
        <f>AND(Шахм!U71,"AAAAAFdllzM=")</f>
        <v>#VALUE!</v>
      </c>
      <c r="BA11" t="e">
        <f>AND(Шахм!V71,"AAAAAFdllzQ=")</f>
        <v>#VALUE!</v>
      </c>
      <c r="BB11" t="e">
        <f>AND(Шахм!W71,"AAAAAFdllzU=")</f>
        <v>#VALUE!</v>
      </c>
      <c r="BC11" t="e">
        <f>AND(Шахм!X71,"AAAAAFdllzY=")</f>
        <v>#VALUE!</v>
      </c>
      <c r="BD11" t="e">
        <f>AND(Шахм!Y71,"AAAAAFdllzc=")</f>
        <v>#VALUE!</v>
      </c>
      <c r="BE11" t="e">
        <f>AND(Шахм!Z71,"AAAAAFdllzg=")</f>
        <v>#VALUE!</v>
      </c>
      <c r="BF11" t="e">
        <f>AND(Шахм!AA71,"AAAAAFdllzk=")</f>
        <v>#VALUE!</v>
      </c>
      <c r="BG11" t="e">
        <f>AND(Шахм!AB71,"AAAAAFdllzo=")</f>
        <v>#VALUE!</v>
      </c>
      <c r="BH11" t="e">
        <f>AND(Шахм!AC71,"AAAAAFdllzs=")</f>
        <v>#VALUE!</v>
      </c>
      <c r="BI11" t="e">
        <f>AND(Шахм!AD71,"AAAAAFdllzw=")</f>
        <v>#VALUE!</v>
      </c>
      <c r="BJ11" t="e">
        <f>AND(Шахм!AE71,"AAAAAFdllz0=")</f>
        <v>#VALUE!</v>
      </c>
      <c r="BK11" t="e">
        <f>AND(Шахм!AF71,"AAAAAFdllz4=")</f>
        <v>#VALUE!</v>
      </c>
      <c r="BL11" t="e">
        <f>AND(Шахм!AG71,"AAAAAFdllz8=")</f>
        <v>#VALUE!</v>
      </c>
      <c r="BM11" t="e">
        <f>AND(Шахм!AH71,"AAAAAFdll0A=")</f>
        <v>#VALUE!</v>
      </c>
      <c r="BN11" t="e">
        <f>AND(Шахм!AI71,"AAAAAFdll0E=")</f>
        <v>#VALUE!</v>
      </c>
      <c r="BO11" t="e">
        <f>AND(Шахм!AJ71,"AAAAAFdll0I=")</f>
        <v>#VALUE!</v>
      </c>
      <c r="BP11">
        <f>IF(Шахм!72:72,"AAAAAFdll0M=",0)</f>
        <v>0</v>
      </c>
      <c r="BQ11" t="e">
        <f>AND(Шахм!A72,"AAAAAFdll0Q=")</f>
        <v>#VALUE!</v>
      </c>
      <c r="BR11" t="e">
        <f>AND(Шахм!B72,"AAAAAFdll0U=")</f>
        <v>#VALUE!</v>
      </c>
      <c r="BS11" t="e">
        <f>AND(Шахм!C72,"AAAAAFdll0Y=")</f>
        <v>#VALUE!</v>
      </c>
      <c r="BT11" t="e">
        <f>AND(Шахм!D72,"AAAAAFdll0c=")</f>
        <v>#VALUE!</v>
      </c>
      <c r="BU11" t="e">
        <f>AND(Шахм!E72,"AAAAAFdll0g=")</f>
        <v>#VALUE!</v>
      </c>
      <c r="BV11" t="e">
        <f>AND(Шахм!F72,"AAAAAFdll0k=")</f>
        <v>#VALUE!</v>
      </c>
      <c r="BW11" t="e">
        <f>AND(Шахм!G72,"AAAAAFdll0o=")</f>
        <v>#VALUE!</v>
      </c>
      <c r="BX11" t="e">
        <f>AND(Шахм!H72,"AAAAAFdll0s=")</f>
        <v>#VALUE!</v>
      </c>
      <c r="BY11" t="e">
        <f>AND(Шахм!I72,"AAAAAFdll0w=")</f>
        <v>#VALUE!</v>
      </c>
      <c r="BZ11" t="e">
        <f>AND(Шахм!J72,"AAAAAFdll00=")</f>
        <v>#VALUE!</v>
      </c>
      <c r="CA11" t="e">
        <f>AND(Шахм!K72,"AAAAAFdll04=")</f>
        <v>#VALUE!</v>
      </c>
      <c r="CB11" t="e">
        <f>AND(Шахм!L72,"AAAAAFdll08=")</f>
        <v>#VALUE!</v>
      </c>
      <c r="CC11" t="e">
        <f>AND(Шахм!M72,"AAAAAFdll1A=")</f>
        <v>#VALUE!</v>
      </c>
      <c r="CD11" t="e">
        <f>AND(Шахм!N72,"AAAAAFdll1E=")</f>
        <v>#VALUE!</v>
      </c>
      <c r="CE11" t="e">
        <f>AND(Шахм!O72,"AAAAAFdll1I=")</f>
        <v>#VALUE!</v>
      </c>
      <c r="CF11" t="e">
        <f>AND(Шахм!P72,"AAAAAFdll1M=")</f>
        <v>#VALUE!</v>
      </c>
      <c r="CG11" t="e">
        <f>AND(Шахм!Q72,"AAAAAFdll1Q=")</f>
        <v>#VALUE!</v>
      </c>
      <c r="CH11" t="e">
        <f>AND(Шахм!R72,"AAAAAFdll1U=")</f>
        <v>#VALUE!</v>
      </c>
      <c r="CI11" t="e">
        <f>AND(Шахм!S72,"AAAAAFdll1Y=")</f>
        <v>#VALUE!</v>
      </c>
      <c r="CJ11" t="e">
        <f>AND(Шахм!T72,"AAAAAFdll1c=")</f>
        <v>#VALUE!</v>
      </c>
      <c r="CK11" t="e">
        <f>AND(Шахм!U72,"AAAAAFdll1g=")</f>
        <v>#VALUE!</v>
      </c>
      <c r="CL11" t="e">
        <f>AND(Шахм!V72,"AAAAAFdll1k=")</f>
        <v>#VALUE!</v>
      </c>
      <c r="CM11" t="e">
        <f>AND(Шахм!W72,"AAAAAFdll1o=")</f>
        <v>#VALUE!</v>
      </c>
      <c r="CN11" t="e">
        <f>AND(Шахм!X72,"AAAAAFdll1s=")</f>
        <v>#VALUE!</v>
      </c>
      <c r="CO11" t="e">
        <f>AND(Шахм!Y72,"AAAAAFdll1w=")</f>
        <v>#VALUE!</v>
      </c>
      <c r="CP11" t="e">
        <f>AND(Шахм!Z72,"AAAAAFdll10=")</f>
        <v>#VALUE!</v>
      </c>
      <c r="CQ11" t="e">
        <f>AND(Шахм!AA72,"AAAAAFdll14=")</f>
        <v>#VALUE!</v>
      </c>
      <c r="CR11" t="e">
        <f>AND(Шахм!AB72,"AAAAAFdll18=")</f>
        <v>#VALUE!</v>
      </c>
      <c r="CS11" t="e">
        <f>AND(Шахм!AC72,"AAAAAFdll2A=")</f>
        <v>#VALUE!</v>
      </c>
      <c r="CT11" t="e">
        <f>AND(Шахм!AD72,"AAAAAFdll2E=")</f>
        <v>#VALUE!</v>
      </c>
      <c r="CU11" t="e">
        <f>AND(Шахм!AE72,"AAAAAFdll2I=")</f>
        <v>#VALUE!</v>
      </c>
      <c r="CV11" t="e">
        <f>AND(Шахм!AF72,"AAAAAFdll2M=")</f>
        <v>#VALUE!</v>
      </c>
      <c r="CW11" t="e">
        <f>AND(Шахм!AG72,"AAAAAFdll2Q=")</f>
        <v>#VALUE!</v>
      </c>
      <c r="CX11" t="e">
        <f>AND(Шахм!AH72,"AAAAAFdll2U=")</f>
        <v>#VALUE!</v>
      </c>
      <c r="CY11" t="e">
        <f>AND(Шахм!AI72,"AAAAAFdll2Y=")</f>
        <v>#VALUE!</v>
      </c>
      <c r="CZ11" t="e">
        <f>AND(Шахм!AJ72,"AAAAAFdll2c=")</f>
        <v>#VALUE!</v>
      </c>
      <c r="DA11">
        <f>IF(Шахм!73:73,"AAAAAFdll2g=",0)</f>
        <v>0</v>
      </c>
      <c r="DB11" t="e">
        <f>AND(Шахм!A73,"AAAAAFdll2k=")</f>
        <v>#VALUE!</v>
      </c>
      <c r="DC11" t="e">
        <f>AND(Шахм!B73,"AAAAAFdll2o=")</f>
        <v>#VALUE!</v>
      </c>
      <c r="DD11" t="e">
        <f>AND(Шахм!C73,"AAAAAFdll2s=")</f>
        <v>#VALUE!</v>
      </c>
      <c r="DE11" t="e">
        <f>AND(Шахм!D73,"AAAAAFdll2w=")</f>
        <v>#VALUE!</v>
      </c>
      <c r="DF11" t="e">
        <f>AND(Шахм!E73,"AAAAAFdll20=")</f>
        <v>#VALUE!</v>
      </c>
      <c r="DG11" t="e">
        <f>AND(Шахм!F73,"AAAAAFdll24=")</f>
        <v>#VALUE!</v>
      </c>
      <c r="DH11" t="e">
        <f>AND(Шахм!G73,"AAAAAFdll28=")</f>
        <v>#VALUE!</v>
      </c>
      <c r="DI11" t="e">
        <f>AND(Шахм!H73,"AAAAAFdll3A=")</f>
        <v>#VALUE!</v>
      </c>
      <c r="DJ11" t="e">
        <f>AND(Шахм!I73,"AAAAAFdll3E=")</f>
        <v>#VALUE!</v>
      </c>
      <c r="DK11" t="e">
        <f>AND(Шахм!J73,"AAAAAFdll3I=")</f>
        <v>#VALUE!</v>
      </c>
      <c r="DL11" t="e">
        <f>AND(Шахм!K73,"AAAAAFdll3M=")</f>
        <v>#VALUE!</v>
      </c>
      <c r="DM11" t="e">
        <f>AND(Шахм!L73,"AAAAAFdll3Q=")</f>
        <v>#VALUE!</v>
      </c>
      <c r="DN11" t="e">
        <f>AND(Шахм!M73,"AAAAAFdll3U=")</f>
        <v>#VALUE!</v>
      </c>
      <c r="DO11" t="e">
        <f>AND(Шахм!N73,"AAAAAFdll3Y=")</f>
        <v>#VALUE!</v>
      </c>
      <c r="DP11" t="e">
        <f>AND(Шахм!O73,"AAAAAFdll3c=")</f>
        <v>#VALUE!</v>
      </c>
      <c r="DQ11" t="e">
        <f>AND(Шахм!P73,"AAAAAFdll3g=")</f>
        <v>#VALUE!</v>
      </c>
      <c r="DR11" t="e">
        <f>AND(Шахм!Q73,"AAAAAFdll3k=")</f>
        <v>#VALUE!</v>
      </c>
      <c r="DS11" t="e">
        <f>AND(Шахм!R73,"AAAAAFdll3o=")</f>
        <v>#VALUE!</v>
      </c>
      <c r="DT11" t="e">
        <f>AND(Шахм!S73,"AAAAAFdll3s=")</f>
        <v>#VALUE!</v>
      </c>
      <c r="DU11" t="e">
        <f>AND(Шахм!T73,"AAAAAFdll3w=")</f>
        <v>#VALUE!</v>
      </c>
      <c r="DV11" t="e">
        <f>AND(Шахм!U73,"AAAAAFdll30=")</f>
        <v>#VALUE!</v>
      </c>
      <c r="DW11" t="e">
        <f>AND(Шахм!V73,"AAAAAFdll34=")</f>
        <v>#VALUE!</v>
      </c>
      <c r="DX11" t="e">
        <f>AND(Шахм!W73,"AAAAAFdll38=")</f>
        <v>#VALUE!</v>
      </c>
      <c r="DY11" t="e">
        <f>AND(Шахм!X73,"AAAAAFdll4A=")</f>
        <v>#VALUE!</v>
      </c>
      <c r="DZ11" t="e">
        <f>AND(Шахм!Y73,"AAAAAFdll4E=")</f>
        <v>#VALUE!</v>
      </c>
      <c r="EA11" t="e">
        <f>AND(Шахм!Z73,"AAAAAFdll4I=")</f>
        <v>#VALUE!</v>
      </c>
      <c r="EB11" t="e">
        <f>AND(Шахм!AA73,"AAAAAFdll4M=")</f>
        <v>#VALUE!</v>
      </c>
      <c r="EC11" t="e">
        <f>AND(Шахм!AB73,"AAAAAFdll4Q=")</f>
        <v>#VALUE!</v>
      </c>
      <c r="ED11" t="e">
        <f>AND(Шахм!AC73,"AAAAAFdll4U=")</f>
        <v>#VALUE!</v>
      </c>
      <c r="EE11" t="e">
        <f>AND(Шахм!AD73,"AAAAAFdll4Y=")</f>
        <v>#VALUE!</v>
      </c>
      <c r="EF11" t="e">
        <f>AND(Шахм!AE73,"AAAAAFdll4c=")</f>
        <v>#VALUE!</v>
      </c>
      <c r="EG11" t="e">
        <f>AND(Шахм!AF73,"AAAAAFdll4g=")</f>
        <v>#VALUE!</v>
      </c>
      <c r="EH11" t="e">
        <f>AND(Шахм!AG73,"AAAAAFdll4k=")</f>
        <v>#VALUE!</v>
      </c>
      <c r="EI11" t="e">
        <f>AND(Шахм!AH73,"AAAAAFdll4o=")</f>
        <v>#VALUE!</v>
      </c>
      <c r="EJ11" t="e">
        <f>AND(Шахм!AI73,"AAAAAFdll4s=")</f>
        <v>#VALUE!</v>
      </c>
      <c r="EK11" t="e">
        <f>AND(Шахм!AJ73,"AAAAAFdll4w=")</f>
        <v>#VALUE!</v>
      </c>
      <c r="EL11">
        <f>IF(Шахм!74:74,"AAAAAFdll40=",0)</f>
        <v>0</v>
      </c>
      <c r="EM11" t="e">
        <f>AND(Шахм!A74,"AAAAAFdll44=")</f>
        <v>#VALUE!</v>
      </c>
      <c r="EN11" t="e">
        <f>AND(Шахм!B74,"AAAAAFdll48=")</f>
        <v>#VALUE!</v>
      </c>
      <c r="EO11" t="e">
        <f>AND(Шахм!C74,"AAAAAFdll5A=")</f>
        <v>#VALUE!</v>
      </c>
      <c r="EP11" t="e">
        <f>AND(Шахм!D74,"AAAAAFdll5E=")</f>
        <v>#VALUE!</v>
      </c>
      <c r="EQ11" t="e">
        <f>AND(Шахм!E74,"AAAAAFdll5I=")</f>
        <v>#VALUE!</v>
      </c>
      <c r="ER11" t="e">
        <f>AND(Шахм!F74,"AAAAAFdll5M=")</f>
        <v>#VALUE!</v>
      </c>
      <c r="ES11" t="e">
        <f>AND(Шахм!G74,"AAAAAFdll5Q=")</f>
        <v>#VALUE!</v>
      </c>
      <c r="ET11" t="e">
        <f>AND(Шахм!H74,"AAAAAFdll5U=")</f>
        <v>#VALUE!</v>
      </c>
      <c r="EU11" t="e">
        <f>AND(Шахм!I74,"AAAAAFdll5Y=")</f>
        <v>#VALUE!</v>
      </c>
      <c r="EV11" t="e">
        <f>AND(Шахм!J74,"AAAAAFdll5c=")</f>
        <v>#VALUE!</v>
      </c>
      <c r="EW11" t="e">
        <f>AND(Шахм!K74,"AAAAAFdll5g=")</f>
        <v>#VALUE!</v>
      </c>
      <c r="EX11" t="e">
        <f>AND(Шахм!L74,"AAAAAFdll5k=")</f>
        <v>#VALUE!</v>
      </c>
      <c r="EY11" t="e">
        <f>AND(Шахм!M74,"AAAAAFdll5o=")</f>
        <v>#VALUE!</v>
      </c>
      <c r="EZ11" t="e">
        <f>AND(Шахм!N74,"AAAAAFdll5s=")</f>
        <v>#VALUE!</v>
      </c>
      <c r="FA11" t="e">
        <f>AND(Шахм!O74,"AAAAAFdll5w=")</f>
        <v>#VALUE!</v>
      </c>
      <c r="FB11" t="e">
        <f>AND(Шахм!P74,"AAAAAFdll50=")</f>
        <v>#VALUE!</v>
      </c>
      <c r="FC11" t="e">
        <f>AND(Шахм!Q74,"AAAAAFdll54=")</f>
        <v>#VALUE!</v>
      </c>
      <c r="FD11" t="e">
        <f>AND(Шахм!R74,"AAAAAFdll58=")</f>
        <v>#VALUE!</v>
      </c>
      <c r="FE11" t="e">
        <f>AND(Шахм!S74,"AAAAAFdll6A=")</f>
        <v>#VALUE!</v>
      </c>
      <c r="FF11" t="e">
        <f>AND(Шахм!T74,"AAAAAFdll6E=")</f>
        <v>#VALUE!</v>
      </c>
      <c r="FG11" t="e">
        <f>AND(Шахм!U74,"AAAAAFdll6I=")</f>
        <v>#VALUE!</v>
      </c>
      <c r="FH11" t="e">
        <f>AND(Шахм!V74,"AAAAAFdll6M=")</f>
        <v>#VALUE!</v>
      </c>
      <c r="FI11" t="e">
        <f>AND(Шахм!W74,"AAAAAFdll6Q=")</f>
        <v>#VALUE!</v>
      </c>
      <c r="FJ11" t="e">
        <f>AND(Шахм!X74,"AAAAAFdll6U=")</f>
        <v>#VALUE!</v>
      </c>
      <c r="FK11" t="e">
        <f>AND(Шахм!Y74,"AAAAAFdll6Y=")</f>
        <v>#VALUE!</v>
      </c>
      <c r="FL11" t="e">
        <f>AND(Шахм!Z74,"AAAAAFdll6c=")</f>
        <v>#VALUE!</v>
      </c>
      <c r="FM11" t="e">
        <f>AND(Шахм!AA74,"AAAAAFdll6g=")</f>
        <v>#VALUE!</v>
      </c>
      <c r="FN11" t="e">
        <f>AND(Шахм!AB74,"AAAAAFdll6k=")</f>
        <v>#VALUE!</v>
      </c>
      <c r="FO11" t="e">
        <f>AND(Шахм!AC74,"AAAAAFdll6o=")</f>
        <v>#VALUE!</v>
      </c>
      <c r="FP11" t="e">
        <f>AND(Шахм!AD74,"AAAAAFdll6s=")</f>
        <v>#VALUE!</v>
      </c>
      <c r="FQ11" t="e">
        <f>AND(Шахм!AE74,"AAAAAFdll6w=")</f>
        <v>#VALUE!</v>
      </c>
      <c r="FR11" t="e">
        <f>AND(Шахм!AF74,"AAAAAFdll60=")</f>
        <v>#VALUE!</v>
      </c>
      <c r="FS11" t="e">
        <f>AND(Шахм!AG74,"AAAAAFdll64=")</f>
        <v>#VALUE!</v>
      </c>
      <c r="FT11" t="e">
        <f>AND(Шахм!AH74,"AAAAAFdll68=")</f>
        <v>#VALUE!</v>
      </c>
      <c r="FU11" t="e">
        <f>AND(Шахм!AI74,"AAAAAFdll7A=")</f>
        <v>#VALUE!</v>
      </c>
      <c r="FV11" t="e">
        <f>AND(Шахм!AJ74,"AAAAAFdll7E=")</f>
        <v>#VALUE!</v>
      </c>
      <c r="FW11">
        <f>IF(Шахм!75:75,"AAAAAFdll7I=",0)</f>
        <v>0</v>
      </c>
      <c r="FX11" t="e">
        <f>AND(Шахм!A75,"AAAAAFdll7M=")</f>
        <v>#VALUE!</v>
      </c>
      <c r="FY11" t="e">
        <f>AND(Шахм!B75,"AAAAAFdll7Q=")</f>
        <v>#VALUE!</v>
      </c>
      <c r="FZ11" t="e">
        <f>AND(Шахм!C75,"AAAAAFdll7U=")</f>
        <v>#VALUE!</v>
      </c>
      <c r="GA11" t="e">
        <f>AND(Шахм!D75,"AAAAAFdll7Y=")</f>
        <v>#VALUE!</v>
      </c>
      <c r="GB11" t="e">
        <f>AND(Шахм!E75,"AAAAAFdll7c=")</f>
        <v>#VALUE!</v>
      </c>
      <c r="GC11" t="e">
        <f>AND(Шахм!F75,"AAAAAFdll7g=")</f>
        <v>#VALUE!</v>
      </c>
      <c r="GD11" t="e">
        <f>AND(Шахм!G75,"AAAAAFdll7k=")</f>
        <v>#VALUE!</v>
      </c>
      <c r="GE11" t="e">
        <f>AND(Шахм!H75,"AAAAAFdll7o=")</f>
        <v>#VALUE!</v>
      </c>
      <c r="GF11" t="e">
        <f>AND(Шахм!I75,"AAAAAFdll7s=")</f>
        <v>#VALUE!</v>
      </c>
      <c r="GG11" t="e">
        <f>AND(Шахм!J75,"AAAAAFdll7w=")</f>
        <v>#VALUE!</v>
      </c>
      <c r="GH11" t="e">
        <f>AND(Шахм!K75,"AAAAAFdll70=")</f>
        <v>#VALUE!</v>
      </c>
      <c r="GI11" t="e">
        <f>AND(Шахм!L75,"AAAAAFdll74=")</f>
        <v>#VALUE!</v>
      </c>
      <c r="GJ11" t="e">
        <f>AND(Шахм!M75,"AAAAAFdll78=")</f>
        <v>#VALUE!</v>
      </c>
      <c r="GK11" t="e">
        <f>AND(Шахм!N75,"AAAAAFdll8A=")</f>
        <v>#VALUE!</v>
      </c>
      <c r="GL11" t="e">
        <f>AND(Шахм!O75,"AAAAAFdll8E=")</f>
        <v>#VALUE!</v>
      </c>
      <c r="GM11" t="e">
        <f>AND(Шахм!P75,"AAAAAFdll8I=")</f>
        <v>#VALUE!</v>
      </c>
      <c r="GN11" t="e">
        <f>AND(Шахм!Q75,"AAAAAFdll8M=")</f>
        <v>#VALUE!</v>
      </c>
      <c r="GO11" t="e">
        <f>AND(Шахм!R75,"AAAAAFdll8Q=")</f>
        <v>#VALUE!</v>
      </c>
      <c r="GP11" t="e">
        <f>AND(Шахм!S75,"AAAAAFdll8U=")</f>
        <v>#VALUE!</v>
      </c>
      <c r="GQ11" t="e">
        <f>AND(Шахм!T75,"AAAAAFdll8Y=")</f>
        <v>#VALUE!</v>
      </c>
      <c r="GR11" t="e">
        <f>AND(Шахм!U75,"AAAAAFdll8c=")</f>
        <v>#VALUE!</v>
      </c>
      <c r="GS11" t="e">
        <f>AND(Шахм!V75,"AAAAAFdll8g=")</f>
        <v>#VALUE!</v>
      </c>
      <c r="GT11" t="e">
        <f>AND(Шахм!W75,"AAAAAFdll8k=")</f>
        <v>#VALUE!</v>
      </c>
      <c r="GU11" t="e">
        <f>AND(Шахм!X75,"AAAAAFdll8o=")</f>
        <v>#VALUE!</v>
      </c>
      <c r="GV11" t="e">
        <f>AND(Шахм!Y75,"AAAAAFdll8s=")</f>
        <v>#VALUE!</v>
      </c>
      <c r="GW11" t="e">
        <f>AND(Шахм!Z75,"AAAAAFdll8w=")</f>
        <v>#VALUE!</v>
      </c>
      <c r="GX11" t="e">
        <f>AND(Шахм!AA75,"AAAAAFdll80=")</f>
        <v>#VALUE!</v>
      </c>
      <c r="GY11" t="e">
        <f>AND(Шахм!AB75,"AAAAAFdll84=")</f>
        <v>#VALUE!</v>
      </c>
      <c r="GZ11" t="e">
        <f>AND(Шахм!AC75,"AAAAAFdll88=")</f>
        <v>#VALUE!</v>
      </c>
      <c r="HA11" t="e">
        <f>AND(Шахм!AD75,"AAAAAFdll9A=")</f>
        <v>#VALUE!</v>
      </c>
      <c r="HB11" t="e">
        <f>AND(Шахм!AE75,"AAAAAFdll9E=")</f>
        <v>#VALUE!</v>
      </c>
      <c r="HC11" t="e">
        <f>AND(Шахм!AF75,"AAAAAFdll9I=")</f>
        <v>#VALUE!</v>
      </c>
      <c r="HD11" t="e">
        <f>AND(Шахм!AG75,"AAAAAFdll9M=")</f>
        <v>#VALUE!</v>
      </c>
      <c r="HE11" t="e">
        <f>AND(Шахм!AH75,"AAAAAFdll9Q=")</f>
        <v>#VALUE!</v>
      </c>
      <c r="HF11" t="e">
        <f>AND(Шахм!AI75,"AAAAAFdll9U=")</f>
        <v>#VALUE!</v>
      </c>
      <c r="HG11" t="e">
        <f>AND(Шахм!AJ75,"AAAAAFdll9Y=")</f>
        <v>#VALUE!</v>
      </c>
      <c r="HH11">
        <f>IF(Шахм!76:76,"AAAAAFdll9c=",0)</f>
        <v>0</v>
      </c>
      <c r="HI11" t="e">
        <f>AND(Шахм!A76,"AAAAAFdll9g=")</f>
        <v>#VALUE!</v>
      </c>
      <c r="HJ11" t="e">
        <f>AND(Шахм!B76,"AAAAAFdll9k=")</f>
        <v>#VALUE!</v>
      </c>
      <c r="HK11" t="e">
        <f>AND(Шахм!C76,"AAAAAFdll9o=")</f>
        <v>#VALUE!</v>
      </c>
      <c r="HL11" t="e">
        <f>AND(Шахм!D76,"AAAAAFdll9s=")</f>
        <v>#VALUE!</v>
      </c>
      <c r="HM11" t="e">
        <f>AND(Шахм!E76,"AAAAAFdll9w=")</f>
        <v>#VALUE!</v>
      </c>
      <c r="HN11" t="e">
        <f>AND(Шахм!F76,"AAAAAFdll90=")</f>
        <v>#VALUE!</v>
      </c>
      <c r="HO11" t="e">
        <f>AND(Шахм!G76,"AAAAAFdll94=")</f>
        <v>#VALUE!</v>
      </c>
      <c r="HP11" t="e">
        <f>AND(Шахм!H76,"AAAAAFdll98=")</f>
        <v>#VALUE!</v>
      </c>
      <c r="HQ11" t="e">
        <f>AND(Шахм!I76,"AAAAAFdll+A=")</f>
        <v>#VALUE!</v>
      </c>
      <c r="HR11" t="e">
        <f>AND(Шахм!J76,"AAAAAFdll+E=")</f>
        <v>#VALUE!</v>
      </c>
      <c r="HS11" t="e">
        <f>AND(Шахм!K76,"AAAAAFdll+I=")</f>
        <v>#VALUE!</v>
      </c>
      <c r="HT11" t="e">
        <f>AND(Шахм!L76,"AAAAAFdll+M=")</f>
        <v>#VALUE!</v>
      </c>
      <c r="HU11" t="e">
        <f>AND(Шахм!M76,"AAAAAFdll+Q=")</f>
        <v>#VALUE!</v>
      </c>
      <c r="HV11" t="e">
        <f>AND(Шахм!N76,"AAAAAFdll+U=")</f>
        <v>#VALUE!</v>
      </c>
      <c r="HW11" t="e">
        <f>AND(Шахм!O76,"AAAAAFdll+Y=")</f>
        <v>#VALUE!</v>
      </c>
      <c r="HX11" t="e">
        <f>AND(Шахм!P76,"AAAAAFdll+c=")</f>
        <v>#VALUE!</v>
      </c>
      <c r="HY11" t="e">
        <f>AND(Шахм!Q76,"AAAAAFdll+g=")</f>
        <v>#VALUE!</v>
      </c>
      <c r="HZ11" t="e">
        <f>AND(Шахм!R76,"AAAAAFdll+k=")</f>
        <v>#VALUE!</v>
      </c>
      <c r="IA11" t="e">
        <f>AND(Шахм!S76,"AAAAAFdll+o=")</f>
        <v>#VALUE!</v>
      </c>
      <c r="IB11" t="e">
        <f>AND(Шахм!T76,"AAAAAFdll+s=")</f>
        <v>#VALUE!</v>
      </c>
      <c r="IC11" t="e">
        <f>AND(Шахм!U76,"AAAAAFdll+w=")</f>
        <v>#VALUE!</v>
      </c>
      <c r="ID11" t="e">
        <f>AND(Шахм!V76,"AAAAAFdll+0=")</f>
        <v>#VALUE!</v>
      </c>
      <c r="IE11" t="e">
        <f>AND(Шахм!W76,"AAAAAFdll+4=")</f>
        <v>#VALUE!</v>
      </c>
      <c r="IF11" t="e">
        <f>AND(Шахм!X76,"AAAAAFdll+8=")</f>
        <v>#VALUE!</v>
      </c>
      <c r="IG11" t="e">
        <f>AND(Шахм!Y76,"AAAAAFdll/A=")</f>
        <v>#VALUE!</v>
      </c>
      <c r="IH11" t="e">
        <f>AND(Шахм!Z76,"AAAAAFdll/E=")</f>
        <v>#VALUE!</v>
      </c>
      <c r="II11" t="e">
        <f>AND(Шахм!AA76,"AAAAAFdll/I=")</f>
        <v>#VALUE!</v>
      </c>
      <c r="IJ11" t="e">
        <f>AND(Шахм!AB76,"AAAAAFdll/M=")</f>
        <v>#VALUE!</v>
      </c>
      <c r="IK11" t="e">
        <f>AND(Шахм!AC76,"AAAAAFdll/Q=")</f>
        <v>#VALUE!</v>
      </c>
      <c r="IL11" t="e">
        <f>AND(Шахм!AD76,"AAAAAFdll/U=")</f>
        <v>#VALUE!</v>
      </c>
      <c r="IM11" t="e">
        <f>AND(Шахм!AE76,"AAAAAFdll/Y=")</f>
        <v>#VALUE!</v>
      </c>
      <c r="IN11" t="e">
        <f>AND(Шахм!AF76,"AAAAAFdll/c=")</f>
        <v>#VALUE!</v>
      </c>
      <c r="IO11" t="e">
        <f>AND(Шахм!AG76,"AAAAAFdll/g=")</f>
        <v>#VALUE!</v>
      </c>
      <c r="IP11" t="e">
        <f>AND(Шахм!AH76,"AAAAAFdll/k=")</f>
        <v>#VALUE!</v>
      </c>
      <c r="IQ11" t="e">
        <f>AND(Шахм!AI76,"AAAAAFdll/o=")</f>
        <v>#VALUE!</v>
      </c>
      <c r="IR11" t="e">
        <f>AND(Шахм!AJ76,"AAAAAFdll/s=")</f>
        <v>#VALUE!</v>
      </c>
      <c r="IS11">
        <f>IF(Шахм!77:77,"AAAAAFdll/w=",0)</f>
        <v>0</v>
      </c>
      <c r="IT11" t="e">
        <f>AND(Шахм!A77,"AAAAAFdll/0=")</f>
        <v>#VALUE!</v>
      </c>
      <c r="IU11" t="e">
        <f>AND(Шахм!B77,"AAAAAFdll/4=")</f>
        <v>#VALUE!</v>
      </c>
      <c r="IV11" t="e">
        <f>AND(Шахм!C77,"AAAAAFdll/8=")</f>
        <v>#VALUE!</v>
      </c>
    </row>
    <row r="12" spans="1:256">
      <c r="A12" t="e">
        <f>AND(Шахм!D77,"AAAAAHdz/wA=")</f>
        <v>#VALUE!</v>
      </c>
      <c r="B12" t="e">
        <f>AND(Шахм!E77,"AAAAAHdz/wE=")</f>
        <v>#VALUE!</v>
      </c>
      <c r="C12" t="e">
        <f>AND(Шахм!F77,"AAAAAHdz/wI=")</f>
        <v>#VALUE!</v>
      </c>
      <c r="D12" t="e">
        <f>AND(Шахм!G77,"AAAAAHdz/wM=")</f>
        <v>#VALUE!</v>
      </c>
      <c r="E12" t="e">
        <f>AND(Шахм!H77,"AAAAAHdz/wQ=")</f>
        <v>#VALUE!</v>
      </c>
      <c r="F12" t="e">
        <f>AND(Шахм!I77,"AAAAAHdz/wU=")</f>
        <v>#VALUE!</v>
      </c>
      <c r="G12" t="e">
        <f>AND(Шахм!J77,"AAAAAHdz/wY=")</f>
        <v>#VALUE!</v>
      </c>
      <c r="H12" t="e">
        <f>AND(Шахм!K77,"AAAAAHdz/wc=")</f>
        <v>#VALUE!</v>
      </c>
      <c r="I12" t="e">
        <f>AND(Шахм!L77,"AAAAAHdz/wg=")</f>
        <v>#VALUE!</v>
      </c>
      <c r="J12" t="e">
        <f>AND(Шахм!M77,"AAAAAHdz/wk=")</f>
        <v>#VALUE!</v>
      </c>
      <c r="K12" t="e">
        <f>AND(Шахм!N77,"AAAAAHdz/wo=")</f>
        <v>#VALUE!</v>
      </c>
      <c r="L12" t="e">
        <f>AND(Шахм!O77,"AAAAAHdz/ws=")</f>
        <v>#VALUE!</v>
      </c>
      <c r="M12" t="e">
        <f>AND(Шахм!P77,"AAAAAHdz/ww=")</f>
        <v>#VALUE!</v>
      </c>
      <c r="N12" t="e">
        <f>AND(Шахм!Q77,"AAAAAHdz/w0=")</f>
        <v>#VALUE!</v>
      </c>
      <c r="O12" t="e">
        <f>AND(Шахм!R77,"AAAAAHdz/w4=")</f>
        <v>#VALUE!</v>
      </c>
      <c r="P12" t="e">
        <f>AND(Шахм!S77,"AAAAAHdz/w8=")</f>
        <v>#VALUE!</v>
      </c>
      <c r="Q12" t="e">
        <f>AND(Шахм!T77,"AAAAAHdz/xA=")</f>
        <v>#VALUE!</v>
      </c>
      <c r="R12" t="e">
        <f>AND(Шахм!U77,"AAAAAHdz/xE=")</f>
        <v>#VALUE!</v>
      </c>
      <c r="S12" t="e">
        <f>AND(Шахм!V77,"AAAAAHdz/xI=")</f>
        <v>#VALUE!</v>
      </c>
      <c r="T12" t="e">
        <f>AND(Шахм!W77,"AAAAAHdz/xM=")</f>
        <v>#VALUE!</v>
      </c>
      <c r="U12" t="e">
        <f>AND(Шахм!X77,"AAAAAHdz/xQ=")</f>
        <v>#VALUE!</v>
      </c>
      <c r="V12" t="e">
        <f>AND(Шахм!Y77,"AAAAAHdz/xU=")</f>
        <v>#VALUE!</v>
      </c>
      <c r="W12" t="e">
        <f>AND(Шахм!Z77,"AAAAAHdz/xY=")</f>
        <v>#VALUE!</v>
      </c>
      <c r="X12" t="e">
        <f>AND(Шахм!AA77,"AAAAAHdz/xc=")</f>
        <v>#VALUE!</v>
      </c>
      <c r="Y12" t="e">
        <f>AND(Шахм!AB77,"AAAAAHdz/xg=")</f>
        <v>#VALUE!</v>
      </c>
      <c r="Z12" t="e">
        <f>AND(Шахм!AC77,"AAAAAHdz/xk=")</f>
        <v>#VALUE!</v>
      </c>
      <c r="AA12" t="e">
        <f>AND(Шахм!AD77,"AAAAAHdz/xo=")</f>
        <v>#VALUE!</v>
      </c>
      <c r="AB12" t="e">
        <f>AND(Шахм!AE77,"AAAAAHdz/xs=")</f>
        <v>#VALUE!</v>
      </c>
      <c r="AC12" t="e">
        <f>AND(Шахм!AF77,"AAAAAHdz/xw=")</f>
        <v>#VALUE!</v>
      </c>
      <c r="AD12" t="e">
        <f>AND(Шахм!AG77,"AAAAAHdz/x0=")</f>
        <v>#VALUE!</v>
      </c>
      <c r="AE12" t="e">
        <f>AND(Шахм!AH77,"AAAAAHdz/x4=")</f>
        <v>#VALUE!</v>
      </c>
      <c r="AF12" t="e">
        <f>AND(Шахм!AI77,"AAAAAHdz/x8=")</f>
        <v>#VALUE!</v>
      </c>
      <c r="AG12" t="e">
        <f>AND(Шахм!AJ77,"AAAAAHdz/yA=")</f>
        <v>#VALUE!</v>
      </c>
      <c r="AH12">
        <f>IF(Шахм!78:78,"AAAAAHdz/yE=",0)</f>
        <v>0</v>
      </c>
      <c r="AI12" t="e">
        <f>AND(Шахм!A78,"AAAAAHdz/yI=")</f>
        <v>#VALUE!</v>
      </c>
      <c r="AJ12" t="e">
        <f>AND(Шахм!B78,"AAAAAHdz/yM=")</f>
        <v>#VALUE!</v>
      </c>
      <c r="AK12" t="e">
        <f>AND(Шахм!C78,"AAAAAHdz/yQ=")</f>
        <v>#VALUE!</v>
      </c>
      <c r="AL12" t="e">
        <f>AND(Шахм!D78,"AAAAAHdz/yU=")</f>
        <v>#VALUE!</v>
      </c>
      <c r="AM12" t="e">
        <f>AND(Шахм!E78,"AAAAAHdz/yY=")</f>
        <v>#VALUE!</v>
      </c>
      <c r="AN12" t="e">
        <f>AND(Шахм!F78,"AAAAAHdz/yc=")</f>
        <v>#VALUE!</v>
      </c>
      <c r="AO12" t="e">
        <f>AND(Шахм!G78,"AAAAAHdz/yg=")</f>
        <v>#VALUE!</v>
      </c>
      <c r="AP12" t="e">
        <f>AND(Шахм!H78,"AAAAAHdz/yk=")</f>
        <v>#VALUE!</v>
      </c>
      <c r="AQ12" t="e">
        <f>AND(Шахм!I78,"AAAAAHdz/yo=")</f>
        <v>#VALUE!</v>
      </c>
      <c r="AR12" t="e">
        <f>AND(Шахм!J78,"AAAAAHdz/ys=")</f>
        <v>#VALUE!</v>
      </c>
      <c r="AS12" t="e">
        <f>AND(Шахм!K78,"AAAAAHdz/yw=")</f>
        <v>#VALUE!</v>
      </c>
      <c r="AT12" t="e">
        <f>AND(Шахм!L78,"AAAAAHdz/y0=")</f>
        <v>#VALUE!</v>
      </c>
      <c r="AU12" t="e">
        <f>AND(Шахм!M78,"AAAAAHdz/y4=")</f>
        <v>#VALUE!</v>
      </c>
      <c r="AV12" t="e">
        <f>AND(Шахм!N78,"AAAAAHdz/y8=")</f>
        <v>#VALUE!</v>
      </c>
      <c r="AW12" t="e">
        <f>AND(Шахм!O78,"AAAAAHdz/zA=")</f>
        <v>#VALUE!</v>
      </c>
      <c r="AX12" t="e">
        <f>AND(Шахм!P78,"AAAAAHdz/zE=")</f>
        <v>#VALUE!</v>
      </c>
      <c r="AY12" t="e">
        <f>AND(Шахм!Q78,"AAAAAHdz/zI=")</f>
        <v>#VALUE!</v>
      </c>
      <c r="AZ12" t="e">
        <f>AND(Шахм!R78,"AAAAAHdz/zM=")</f>
        <v>#VALUE!</v>
      </c>
      <c r="BA12" t="e">
        <f>AND(Шахм!S78,"AAAAAHdz/zQ=")</f>
        <v>#VALUE!</v>
      </c>
      <c r="BB12" t="e">
        <f>AND(Шахм!T78,"AAAAAHdz/zU=")</f>
        <v>#VALUE!</v>
      </c>
      <c r="BC12" t="e">
        <f>AND(Шахм!U78,"AAAAAHdz/zY=")</f>
        <v>#VALUE!</v>
      </c>
      <c r="BD12" t="e">
        <f>AND(Шахм!V78,"AAAAAHdz/zc=")</f>
        <v>#VALUE!</v>
      </c>
      <c r="BE12" t="e">
        <f>AND(Шахм!W78,"AAAAAHdz/zg=")</f>
        <v>#VALUE!</v>
      </c>
      <c r="BF12" t="e">
        <f>AND(Шахм!X78,"AAAAAHdz/zk=")</f>
        <v>#VALUE!</v>
      </c>
      <c r="BG12" t="e">
        <f>AND(Шахм!Y78,"AAAAAHdz/zo=")</f>
        <v>#VALUE!</v>
      </c>
      <c r="BH12" t="e">
        <f>AND(Шахм!Z78,"AAAAAHdz/zs=")</f>
        <v>#VALUE!</v>
      </c>
      <c r="BI12" t="e">
        <f>AND(Шахм!AA78,"AAAAAHdz/zw=")</f>
        <v>#VALUE!</v>
      </c>
      <c r="BJ12" t="e">
        <f>AND(Шахм!AB78,"AAAAAHdz/z0=")</f>
        <v>#VALUE!</v>
      </c>
      <c r="BK12" t="e">
        <f>AND(Шахм!AC78,"AAAAAHdz/z4=")</f>
        <v>#VALUE!</v>
      </c>
      <c r="BL12" t="e">
        <f>AND(Шахм!AD78,"AAAAAHdz/z8=")</f>
        <v>#VALUE!</v>
      </c>
      <c r="BM12" t="e">
        <f>AND(Шахм!AE78,"AAAAAHdz/0A=")</f>
        <v>#VALUE!</v>
      </c>
      <c r="BN12" t="e">
        <f>AND(Шахм!AF78,"AAAAAHdz/0E=")</f>
        <v>#VALUE!</v>
      </c>
      <c r="BO12" t="e">
        <f>AND(Шахм!AG78,"AAAAAHdz/0I=")</f>
        <v>#VALUE!</v>
      </c>
      <c r="BP12" t="e">
        <f>AND(Шахм!AH78,"AAAAAHdz/0M=")</f>
        <v>#VALUE!</v>
      </c>
      <c r="BQ12" t="e">
        <f>AND(Шахм!AI78,"AAAAAHdz/0Q=")</f>
        <v>#VALUE!</v>
      </c>
      <c r="BR12" t="e">
        <f>AND(Шахм!AJ78,"AAAAAHdz/0U=")</f>
        <v>#VALUE!</v>
      </c>
      <c r="BS12">
        <f>IF(Шахм!79:79,"AAAAAHdz/0Y=",0)</f>
        <v>0</v>
      </c>
      <c r="BT12" t="e">
        <f>AND(Шахм!A79,"AAAAAHdz/0c=")</f>
        <v>#VALUE!</v>
      </c>
      <c r="BU12" t="e">
        <f>AND(Шахм!B79,"AAAAAHdz/0g=")</f>
        <v>#VALUE!</v>
      </c>
      <c r="BV12" t="e">
        <f>AND(Шахм!C79,"AAAAAHdz/0k=")</f>
        <v>#VALUE!</v>
      </c>
      <c r="BW12" t="e">
        <f>AND(Шахм!D79,"AAAAAHdz/0o=")</f>
        <v>#VALUE!</v>
      </c>
      <c r="BX12" t="e">
        <f>AND(Шахм!E79,"AAAAAHdz/0s=")</f>
        <v>#VALUE!</v>
      </c>
      <c r="BY12" t="e">
        <f>AND(Шахм!F79,"AAAAAHdz/0w=")</f>
        <v>#VALUE!</v>
      </c>
      <c r="BZ12" t="e">
        <f>AND(Шахм!G79,"AAAAAHdz/00=")</f>
        <v>#VALUE!</v>
      </c>
      <c r="CA12" t="e">
        <f>AND(Шахм!H79,"AAAAAHdz/04=")</f>
        <v>#VALUE!</v>
      </c>
      <c r="CB12" t="e">
        <f>AND(Шахм!I79,"AAAAAHdz/08=")</f>
        <v>#VALUE!</v>
      </c>
      <c r="CC12" t="e">
        <f>AND(Шахм!J79,"AAAAAHdz/1A=")</f>
        <v>#VALUE!</v>
      </c>
      <c r="CD12" t="e">
        <f>AND(Шахм!K79,"AAAAAHdz/1E=")</f>
        <v>#VALUE!</v>
      </c>
      <c r="CE12" t="e">
        <f>AND(Шахм!L79,"AAAAAHdz/1I=")</f>
        <v>#VALUE!</v>
      </c>
      <c r="CF12" t="e">
        <f>AND(Шахм!M79,"AAAAAHdz/1M=")</f>
        <v>#VALUE!</v>
      </c>
      <c r="CG12" t="e">
        <f>AND(Шахм!N79,"AAAAAHdz/1Q=")</f>
        <v>#VALUE!</v>
      </c>
      <c r="CH12" t="e">
        <f>AND(Шахм!O79,"AAAAAHdz/1U=")</f>
        <v>#VALUE!</v>
      </c>
      <c r="CI12" t="e">
        <f>AND(Шахм!P79,"AAAAAHdz/1Y=")</f>
        <v>#VALUE!</v>
      </c>
      <c r="CJ12" t="e">
        <f>AND(Шахм!Q79,"AAAAAHdz/1c=")</f>
        <v>#VALUE!</v>
      </c>
      <c r="CK12" t="e">
        <f>AND(Шахм!R79,"AAAAAHdz/1g=")</f>
        <v>#VALUE!</v>
      </c>
      <c r="CL12" t="e">
        <f>AND(Шахм!S79,"AAAAAHdz/1k=")</f>
        <v>#VALUE!</v>
      </c>
      <c r="CM12" t="e">
        <f>AND(Шахм!T79,"AAAAAHdz/1o=")</f>
        <v>#VALUE!</v>
      </c>
      <c r="CN12" t="e">
        <f>AND(Шахм!U79,"AAAAAHdz/1s=")</f>
        <v>#VALUE!</v>
      </c>
      <c r="CO12" t="e">
        <f>AND(Шахм!V79,"AAAAAHdz/1w=")</f>
        <v>#VALUE!</v>
      </c>
      <c r="CP12" t="e">
        <f>AND(Шахм!W79,"AAAAAHdz/10=")</f>
        <v>#VALUE!</v>
      </c>
      <c r="CQ12" t="e">
        <f>AND(Шахм!X79,"AAAAAHdz/14=")</f>
        <v>#VALUE!</v>
      </c>
      <c r="CR12" t="e">
        <f>AND(Шахм!Y79,"AAAAAHdz/18=")</f>
        <v>#VALUE!</v>
      </c>
      <c r="CS12" t="e">
        <f>AND(Шахм!Z79,"AAAAAHdz/2A=")</f>
        <v>#VALUE!</v>
      </c>
      <c r="CT12" t="e">
        <f>AND(Шахм!AA79,"AAAAAHdz/2E=")</f>
        <v>#VALUE!</v>
      </c>
      <c r="CU12" t="e">
        <f>AND(Шахм!AB79,"AAAAAHdz/2I=")</f>
        <v>#VALUE!</v>
      </c>
      <c r="CV12" t="e">
        <f>AND(Шахм!AC79,"AAAAAHdz/2M=")</f>
        <v>#VALUE!</v>
      </c>
      <c r="CW12" t="e">
        <f>AND(Шахм!AD79,"AAAAAHdz/2Q=")</f>
        <v>#VALUE!</v>
      </c>
      <c r="CX12" t="e">
        <f>AND(Шахм!AE79,"AAAAAHdz/2U=")</f>
        <v>#VALUE!</v>
      </c>
      <c r="CY12" t="e">
        <f>AND(Шахм!AF79,"AAAAAHdz/2Y=")</f>
        <v>#VALUE!</v>
      </c>
      <c r="CZ12" t="e">
        <f>AND(Шахм!AG79,"AAAAAHdz/2c=")</f>
        <v>#VALUE!</v>
      </c>
      <c r="DA12" t="e">
        <f>AND(Шахм!AH79,"AAAAAHdz/2g=")</f>
        <v>#VALUE!</v>
      </c>
      <c r="DB12" t="e">
        <f>AND(Шахм!AI79,"AAAAAHdz/2k=")</f>
        <v>#VALUE!</v>
      </c>
      <c r="DC12" t="e">
        <f>AND(Шахм!AJ79,"AAAAAHdz/2o=")</f>
        <v>#VALUE!</v>
      </c>
      <c r="DD12">
        <f>IF(Шахм!80:80,"AAAAAHdz/2s=",0)</f>
        <v>0</v>
      </c>
      <c r="DE12" t="e">
        <f>AND(Шахм!A80,"AAAAAHdz/2w=")</f>
        <v>#VALUE!</v>
      </c>
      <c r="DF12" t="e">
        <f>AND(Шахм!B80,"AAAAAHdz/20=")</f>
        <v>#VALUE!</v>
      </c>
      <c r="DG12" t="e">
        <f>AND(Шахм!C80,"AAAAAHdz/24=")</f>
        <v>#VALUE!</v>
      </c>
      <c r="DH12" t="e">
        <f>AND(Шахм!D80,"AAAAAHdz/28=")</f>
        <v>#VALUE!</v>
      </c>
      <c r="DI12" t="e">
        <f>AND(Шахм!E80,"AAAAAHdz/3A=")</f>
        <v>#VALUE!</v>
      </c>
      <c r="DJ12" t="e">
        <f>AND(Шахм!F80,"AAAAAHdz/3E=")</f>
        <v>#VALUE!</v>
      </c>
      <c r="DK12" t="e">
        <f>AND(Шахм!G80,"AAAAAHdz/3I=")</f>
        <v>#VALUE!</v>
      </c>
      <c r="DL12" t="e">
        <f>AND(Шахм!H80,"AAAAAHdz/3M=")</f>
        <v>#VALUE!</v>
      </c>
      <c r="DM12" t="e">
        <f>AND(Шахм!I80,"AAAAAHdz/3Q=")</f>
        <v>#VALUE!</v>
      </c>
      <c r="DN12" t="e">
        <f>AND(Шахм!J80,"AAAAAHdz/3U=")</f>
        <v>#VALUE!</v>
      </c>
      <c r="DO12" t="e">
        <f>AND(Шахм!K80,"AAAAAHdz/3Y=")</f>
        <v>#VALUE!</v>
      </c>
      <c r="DP12" t="e">
        <f>AND(Шахм!L80,"AAAAAHdz/3c=")</f>
        <v>#VALUE!</v>
      </c>
      <c r="DQ12" t="e">
        <f>AND(Шахм!M80,"AAAAAHdz/3g=")</f>
        <v>#VALUE!</v>
      </c>
      <c r="DR12" t="e">
        <f>AND(Шахм!N80,"AAAAAHdz/3k=")</f>
        <v>#VALUE!</v>
      </c>
      <c r="DS12" t="e">
        <f>AND(Шахм!O80,"AAAAAHdz/3o=")</f>
        <v>#VALUE!</v>
      </c>
      <c r="DT12" t="e">
        <f>AND(Шахм!P80,"AAAAAHdz/3s=")</f>
        <v>#VALUE!</v>
      </c>
      <c r="DU12" t="e">
        <f>AND(Шахм!Q80,"AAAAAHdz/3w=")</f>
        <v>#VALUE!</v>
      </c>
      <c r="DV12" t="e">
        <f>AND(Шахм!R80,"AAAAAHdz/30=")</f>
        <v>#VALUE!</v>
      </c>
      <c r="DW12" t="e">
        <f>AND(Шахм!S80,"AAAAAHdz/34=")</f>
        <v>#VALUE!</v>
      </c>
      <c r="DX12" t="e">
        <f>AND(Шахм!T80,"AAAAAHdz/38=")</f>
        <v>#VALUE!</v>
      </c>
      <c r="DY12" t="e">
        <f>AND(Шахм!U80,"AAAAAHdz/4A=")</f>
        <v>#VALUE!</v>
      </c>
      <c r="DZ12" t="e">
        <f>AND(Шахм!V80,"AAAAAHdz/4E=")</f>
        <v>#VALUE!</v>
      </c>
      <c r="EA12" t="e">
        <f>AND(Шахм!W80,"AAAAAHdz/4I=")</f>
        <v>#VALUE!</v>
      </c>
      <c r="EB12" t="e">
        <f>AND(Шахм!X80,"AAAAAHdz/4M=")</f>
        <v>#VALUE!</v>
      </c>
      <c r="EC12" t="e">
        <f>AND(Шахм!Y80,"AAAAAHdz/4Q=")</f>
        <v>#VALUE!</v>
      </c>
      <c r="ED12" t="e">
        <f>AND(Шахм!Z80,"AAAAAHdz/4U=")</f>
        <v>#VALUE!</v>
      </c>
      <c r="EE12" t="e">
        <f>AND(Шахм!AA80,"AAAAAHdz/4Y=")</f>
        <v>#VALUE!</v>
      </c>
      <c r="EF12" t="e">
        <f>AND(Шахм!AB80,"AAAAAHdz/4c=")</f>
        <v>#VALUE!</v>
      </c>
      <c r="EG12" t="e">
        <f>AND(Шахм!AC80,"AAAAAHdz/4g=")</f>
        <v>#VALUE!</v>
      </c>
      <c r="EH12" t="e">
        <f>AND(Шахм!AD80,"AAAAAHdz/4k=")</f>
        <v>#VALUE!</v>
      </c>
      <c r="EI12" t="e">
        <f>AND(Шахм!AE80,"AAAAAHdz/4o=")</f>
        <v>#VALUE!</v>
      </c>
      <c r="EJ12" t="e">
        <f>AND(Шахм!AF80,"AAAAAHdz/4s=")</f>
        <v>#VALUE!</v>
      </c>
      <c r="EK12" t="e">
        <f>AND(Шахм!AG80,"AAAAAHdz/4w=")</f>
        <v>#VALUE!</v>
      </c>
      <c r="EL12" t="e">
        <f>AND(Шахм!AH80,"AAAAAHdz/40=")</f>
        <v>#VALUE!</v>
      </c>
      <c r="EM12" t="e">
        <f>AND(Шахм!AI80,"AAAAAHdz/44=")</f>
        <v>#VALUE!</v>
      </c>
      <c r="EN12" t="e">
        <f>AND(Шахм!AJ80,"AAAAAHdz/48=")</f>
        <v>#VALUE!</v>
      </c>
      <c r="EO12">
        <f>IF(Шахм!81:81,"AAAAAHdz/5A=",0)</f>
        <v>0</v>
      </c>
      <c r="EP12" t="e">
        <f>AND(Шахм!A81,"AAAAAHdz/5E=")</f>
        <v>#VALUE!</v>
      </c>
      <c r="EQ12" t="e">
        <f>AND(Шахм!B81,"AAAAAHdz/5I=")</f>
        <v>#VALUE!</v>
      </c>
      <c r="ER12" t="e">
        <f>AND(Шахм!C81,"AAAAAHdz/5M=")</f>
        <v>#VALUE!</v>
      </c>
      <c r="ES12" t="e">
        <f>AND(Шахм!D81,"AAAAAHdz/5Q=")</f>
        <v>#VALUE!</v>
      </c>
      <c r="ET12" t="e">
        <f>AND(Шахм!E81,"AAAAAHdz/5U=")</f>
        <v>#VALUE!</v>
      </c>
      <c r="EU12" t="e">
        <f>AND(Шахм!F81,"AAAAAHdz/5Y=")</f>
        <v>#VALUE!</v>
      </c>
      <c r="EV12" t="e">
        <f>AND(Шахм!G81,"AAAAAHdz/5c=")</f>
        <v>#VALUE!</v>
      </c>
      <c r="EW12" t="e">
        <f>AND(Шахм!H81,"AAAAAHdz/5g=")</f>
        <v>#VALUE!</v>
      </c>
      <c r="EX12" t="e">
        <f>AND(Шахм!I81,"AAAAAHdz/5k=")</f>
        <v>#VALUE!</v>
      </c>
      <c r="EY12" t="e">
        <f>AND(Шахм!J81,"AAAAAHdz/5o=")</f>
        <v>#VALUE!</v>
      </c>
      <c r="EZ12" t="e">
        <f>AND(Шахм!K81,"AAAAAHdz/5s=")</f>
        <v>#VALUE!</v>
      </c>
      <c r="FA12" t="e">
        <f>AND(Шахм!L81,"AAAAAHdz/5w=")</f>
        <v>#VALUE!</v>
      </c>
      <c r="FB12" t="e">
        <f>AND(Шахм!M81,"AAAAAHdz/50=")</f>
        <v>#VALUE!</v>
      </c>
      <c r="FC12" t="e">
        <f>AND(Шахм!N81,"AAAAAHdz/54=")</f>
        <v>#VALUE!</v>
      </c>
      <c r="FD12" t="e">
        <f>AND(Шахм!O81,"AAAAAHdz/58=")</f>
        <v>#VALUE!</v>
      </c>
      <c r="FE12" t="e">
        <f>AND(Шахм!P81,"AAAAAHdz/6A=")</f>
        <v>#VALUE!</v>
      </c>
      <c r="FF12" t="e">
        <f>AND(Шахм!Q81,"AAAAAHdz/6E=")</f>
        <v>#VALUE!</v>
      </c>
      <c r="FG12" t="e">
        <f>AND(Шахм!R81,"AAAAAHdz/6I=")</f>
        <v>#VALUE!</v>
      </c>
      <c r="FH12" t="e">
        <f>AND(Шахм!S81,"AAAAAHdz/6M=")</f>
        <v>#VALUE!</v>
      </c>
      <c r="FI12" t="e">
        <f>AND(Шахм!T81,"AAAAAHdz/6Q=")</f>
        <v>#VALUE!</v>
      </c>
      <c r="FJ12" t="e">
        <f>AND(Шахм!U81,"AAAAAHdz/6U=")</f>
        <v>#VALUE!</v>
      </c>
      <c r="FK12" t="e">
        <f>AND(Шахм!V81,"AAAAAHdz/6Y=")</f>
        <v>#VALUE!</v>
      </c>
      <c r="FL12" t="e">
        <f>AND(Шахм!W81,"AAAAAHdz/6c=")</f>
        <v>#VALUE!</v>
      </c>
      <c r="FM12" t="e">
        <f>AND(Шахм!X81,"AAAAAHdz/6g=")</f>
        <v>#VALUE!</v>
      </c>
      <c r="FN12" t="e">
        <f>AND(Шахм!Y81,"AAAAAHdz/6k=")</f>
        <v>#VALUE!</v>
      </c>
      <c r="FO12" t="e">
        <f>AND(Шахм!Z81,"AAAAAHdz/6o=")</f>
        <v>#VALUE!</v>
      </c>
      <c r="FP12" t="e">
        <f>AND(Шахм!AA81,"AAAAAHdz/6s=")</f>
        <v>#VALUE!</v>
      </c>
      <c r="FQ12" t="e">
        <f>AND(Шахм!AB81,"AAAAAHdz/6w=")</f>
        <v>#VALUE!</v>
      </c>
      <c r="FR12" t="e">
        <f>AND(Шахм!AC81,"AAAAAHdz/60=")</f>
        <v>#VALUE!</v>
      </c>
      <c r="FS12" t="e">
        <f>AND(Шахм!AD81,"AAAAAHdz/64=")</f>
        <v>#VALUE!</v>
      </c>
      <c r="FT12" t="e">
        <f>AND(Шахм!AE81,"AAAAAHdz/68=")</f>
        <v>#VALUE!</v>
      </c>
      <c r="FU12" t="e">
        <f>AND(Шахм!AF81,"AAAAAHdz/7A=")</f>
        <v>#VALUE!</v>
      </c>
      <c r="FV12" t="e">
        <f>AND(Шахм!AG81,"AAAAAHdz/7E=")</f>
        <v>#VALUE!</v>
      </c>
      <c r="FW12" t="e">
        <f>AND(Шахм!AH81,"AAAAAHdz/7I=")</f>
        <v>#VALUE!</v>
      </c>
      <c r="FX12" t="e">
        <f>AND(Шахм!AI81,"AAAAAHdz/7M=")</f>
        <v>#VALUE!</v>
      </c>
      <c r="FY12" t="e">
        <f>AND(Шахм!AJ81,"AAAAAHdz/7Q=")</f>
        <v>#VALUE!</v>
      </c>
      <c r="FZ12">
        <f>IF(Шахм!82:82,"AAAAAHdz/7U=",0)</f>
        <v>0</v>
      </c>
      <c r="GA12" t="e">
        <f>AND(Шахм!A82,"AAAAAHdz/7Y=")</f>
        <v>#VALUE!</v>
      </c>
      <c r="GB12" t="e">
        <f>AND(Шахм!B82,"AAAAAHdz/7c=")</f>
        <v>#VALUE!</v>
      </c>
      <c r="GC12" t="e">
        <f>AND(Шахм!C82,"AAAAAHdz/7g=")</f>
        <v>#VALUE!</v>
      </c>
      <c r="GD12" t="e">
        <f>AND(Шахм!D82,"AAAAAHdz/7k=")</f>
        <v>#VALUE!</v>
      </c>
      <c r="GE12" t="e">
        <f>AND(Шахм!E82,"AAAAAHdz/7o=")</f>
        <v>#VALUE!</v>
      </c>
      <c r="GF12" t="e">
        <f>AND(Шахм!F82,"AAAAAHdz/7s=")</f>
        <v>#VALUE!</v>
      </c>
      <c r="GG12" t="e">
        <f>AND(Шахм!G82,"AAAAAHdz/7w=")</f>
        <v>#VALUE!</v>
      </c>
      <c r="GH12" t="e">
        <f>AND(Шахм!H82,"AAAAAHdz/70=")</f>
        <v>#VALUE!</v>
      </c>
      <c r="GI12" t="e">
        <f>AND(Шахм!I82,"AAAAAHdz/74=")</f>
        <v>#VALUE!</v>
      </c>
      <c r="GJ12" t="e">
        <f>AND(Шахм!J82,"AAAAAHdz/78=")</f>
        <v>#VALUE!</v>
      </c>
      <c r="GK12" t="e">
        <f>AND(Шахм!K82,"AAAAAHdz/8A=")</f>
        <v>#VALUE!</v>
      </c>
      <c r="GL12" t="e">
        <f>AND(Шахм!L82,"AAAAAHdz/8E=")</f>
        <v>#VALUE!</v>
      </c>
      <c r="GM12" t="e">
        <f>AND(Шахм!M82,"AAAAAHdz/8I=")</f>
        <v>#VALUE!</v>
      </c>
      <c r="GN12" t="e">
        <f>AND(Шахм!N82,"AAAAAHdz/8M=")</f>
        <v>#VALUE!</v>
      </c>
      <c r="GO12" t="e">
        <f>AND(Шахм!O82,"AAAAAHdz/8Q=")</f>
        <v>#VALUE!</v>
      </c>
      <c r="GP12" t="e">
        <f>AND(Шахм!P82,"AAAAAHdz/8U=")</f>
        <v>#VALUE!</v>
      </c>
      <c r="GQ12" t="e">
        <f>AND(Шахм!Q82,"AAAAAHdz/8Y=")</f>
        <v>#VALUE!</v>
      </c>
      <c r="GR12" t="e">
        <f>AND(Шахм!R82,"AAAAAHdz/8c=")</f>
        <v>#VALUE!</v>
      </c>
      <c r="GS12" t="e">
        <f>AND(Шахм!S82,"AAAAAHdz/8g=")</f>
        <v>#VALUE!</v>
      </c>
      <c r="GT12" t="e">
        <f>AND(Шахм!T82,"AAAAAHdz/8k=")</f>
        <v>#VALUE!</v>
      </c>
      <c r="GU12" t="e">
        <f>AND(Шахм!U82,"AAAAAHdz/8o=")</f>
        <v>#VALUE!</v>
      </c>
      <c r="GV12" t="e">
        <f>AND(Шахм!V82,"AAAAAHdz/8s=")</f>
        <v>#VALUE!</v>
      </c>
      <c r="GW12" t="e">
        <f>AND(Шахм!W82,"AAAAAHdz/8w=")</f>
        <v>#VALUE!</v>
      </c>
      <c r="GX12" t="e">
        <f>AND(Шахм!X82,"AAAAAHdz/80=")</f>
        <v>#VALUE!</v>
      </c>
      <c r="GY12" t="e">
        <f>AND(Шахм!Y82,"AAAAAHdz/84=")</f>
        <v>#VALUE!</v>
      </c>
      <c r="GZ12" t="e">
        <f>AND(Шахм!Z82,"AAAAAHdz/88=")</f>
        <v>#VALUE!</v>
      </c>
      <c r="HA12" t="e">
        <f>AND(Шахм!AA82,"AAAAAHdz/9A=")</f>
        <v>#VALUE!</v>
      </c>
      <c r="HB12" t="e">
        <f>AND(Шахм!AB82,"AAAAAHdz/9E=")</f>
        <v>#VALUE!</v>
      </c>
      <c r="HC12" t="e">
        <f>AND(Шахм!AC82,"AAAAAHdz/9I=")</f>
        <v>#VALUE!</v>
      </c>
      <c r="HD12" t="e">
        <f>AND(Шахм!AD82,"AAAAAHdz/9M=")</f>
        <v>#VALUE!</v>
      </c>
      <c r="HE12" t="e">
        <f>AND(Шахм!AE82,"AAAAAHdz/9Q=")</f>
        <v>#VALUE!</v>
      </c>
      <c r="HF12" t="e">
        <f>AND(Шахм!AF82,"AAAAAHdz/9U=")</f>
        <v>#VALUE!</v>
      </c>
      <c r="HG12" t="e">
        <f>AND(Шахм!AG82,"AAAAAHdz/9Y=")</f>
        <v>#VALUE!</v>
      </c>
      <c r="HH12" t="e">
        <f>AND(Шахм!AH82,"AAAAAHdz/9c=")</f>
        <v>#VALUE!</v>
      </c>
      <c r="HI12" t="e">
        <f>AND(Шахм!AI82,"AAAAAHdz/9g=")</f>
        <v>#VALUE!</v>
      </c>
      <c r="HJ12" t="e">
        <f>AND(Шахм!AJ82,"AAAAAHdz/9k=")</f>
        <v>#VALUE!</v>
      </c>
      <c r="HK12">
        <f>IF(Шахм!83:83,"AAAAAHdz/9o=",0)</f>
        <v>0</v>
      </c>
      <c r="HL12" t="e">
        <f>AND(Шахм!A83,"AAAAAHdz/9s=")</f>
        <v>#VALUE!</v>
      </c>
      <c r="HM12" t="e">
        <f>AND(Шахм!B83,"AAAAAHdz/9w=")</f>
        <v>#VALUE!</v>
      </c>
      <c r="HN12" t="e">
        <f>AND(Шахм!C83,"AAAAAHdz/90=")</f>
        <v>#VALUE!</v>
      </c>
      <c r="HO12" t="e">
        <f>AND(Шахм!D83,"AAAAAHdz/94=")</f>
        <v>#VALUE!</v>
      </c>
      <c r="HP12" t="e">
        <f>AND(Шахм!E83,"AAAAAHdz/98=")</f>
        <v>#VALUE!</v>
      </c>
      <c r="HQ12" t="e">
        <f>AND(Шахм!F83,"AAAAAHdz/+A=")</f>
        <v>#VALUE!</v>
      </c>
      <c r="HR12" t="e">
        <f>AND(Шахм!G83,"AAAAAHdz/+E=")</f>
        <v>#VALUE!</v>
      </c>
      <c r="HS12" t="e">
        <f>AND(Шахм!H83,"AAAAAHdz/+I=")</f>
        <v>#VALUE!</v>
      </c>
      <c r="HT12" t="e">
        <f>AND(Шахм!I83,"AAAAAHdz/+M=")</f>
        <v>#VALUE!</v>
      </c>
      <c r="HU12" t="e">
        <f>AND(Шахм!J83,"AAAAAHdz/+Q=")</f>
        <v>#VALUE!</v>
      </c>
      <c r="HV12" t="e">
        <f>AND(Шахм!K83,"AAAAAHdz/+U=")</f>
        <v>#VALUE!</v>
      </c>
      <c r="HW12" t="e">
        <f>AND(Шахм!L83,"AAAAAHdz/+Y=")</f>
        <v>#VALUE!</v>
      </c>
      <c r="HX12" t="e">
        <f>AND(Шахм!M83,"AAAAAHdz/+c=")</f>
        <v>#VALUE!</v>
      </c>
      <c r="HY12" t="e">
        <f>AND(Шахм!N83,"AAAAAHdz/+g=")</f>
        <v>#VALUE!</v>
      </c>
      <c r="HZ12" t="e">
        <f>AND(Шахм!O83,"AAAAAHdz/+k=")</f>
        <v>#VALUE!</v>
      </c>
      <c r="IA12" t="e">
        <f>AND(Шахм!P83,"AAAAAHdz/+o=")</f>
        <v>#VALUE!</v>
      </c>
      <c r="IB12" t="e">
        <f>AND(Шахм!Q83,"AAAAAHdz/+s=")</f>
        <v>#VALUE!</v>
      </c>
      <c r="IC12" t="e">
        <f>AND(Шахм!R83,"AAAAAHdz/+w=")</f>
        <v>#VALUE!</v>
      </c>
      <c r="ID12" t="e">
        <f>AND(Шахм!S83,"AAAAAHdz/+0=")</f>
        <v>#VALUE!</v>
      </c>
      <c r="IE12" t="e">
        <f>AND(Шахм!T83,"AAAAAHdz/+4=")</f>
        <v>#VALUE!</v>
      </c>
      <c r="IF12" t="e">
        <f>AND(Шахм!U83,"AAAAAHdz/+8=")</f>
        <v>#VALUE!</v>
      </c>
      <c r="IG12" t="e">
        <f>AND(Шахм!V83,"AAAAAHdz//A=")</f>
        <v>#VALUE!</v>
      </c>
      <c r="IH12" t="e">
        <f>AND(Шахм!W83,"AAAAAHdz//E=")</f>
        <v>#VALUE!</v>
      </c>
      <c r="II12" t="e">
        <f>AND(Шахм!X83,"AAAAAHdz//I=")</f>
        <v>#VALUE!</v>
      </c>
      <c r="IJ12" t="e">
        <f>AND(Шахм!Y83,"AAAAAHdz//M=")</f>
        <v>#VALUE!</v>
      </c>
      <c r="IK12" t="e">
        <f>AND(Шахм!Z83,"AAAAAHdz//Q=")</f>
        <v>#VALUE!</v>
      </c>
      <c r="IL12" t="e">
        <f>AND(Шахм!AA83,"AAAAAHdz//U=")</f>
        <v>#VALUE!</v>
      </c>
      <c r="IM12" t="e">
        <f>AND(Шахм!AB83,"AAAAAHdz//Y=")</f>
        <v>#VALUE!</v>
      </c>
      <c r="IN12" t="e">
        <f>AND(Шахм!AC83,"AAAAAHdz//c=")</f>
        <v>#VALUE!</v>
      </c>
      <c r="IO12" t="e">
        <f>AND(Шахм!AD83,"AAAAAHdz//g=")</f>
        <v>#VALUE!</v>
      </c>
      <c r="IP12" t="e">
        <f>AND(Шахм!AE83,"AAAAAHdz//k=")</f>
        <v>#VALUE!</v>
      </c>
      <c r="IQ12" t="e">
        <f>AND(Шахм!AF83,"AAAAAHdz//o=")</f>
        <v>#VALUE!</v>
      </c>
      <c r="IR12" t="e">
        <f>AND(Шахм!AG83,"AAAAAHdz//s=")</f>
        <v>#VALUE!</v>
      </c>
      <c r="IS12" t="e">
        <f>AND(Шахм!AH83,"AAAAAHdz//w=")</f>
        <v>#VALUE!</v>
      </c>
      <c r="IT12" t="e">
        <f>AND(Шахм!AI83,"AAAAAHdz//0=")</f>
        <v>#VALUE!</v>
      </c>
      <c r="IU12" t="e">
        <f>AND(Шахм!AJ83,"AAAAAHdz//4=")</f>
        <v>#VALUE!</v>
      </c>
      <c r="IV12">
        <f>IF(Шахм!84:84,"AAAAAHdz//8=",0)</f>
        <v>0</v>
      </c>
    </row>
    <row r="13" spans="1:256">
      <c r="A13" t="e">
        <f>AND(Шахм!A84,"AAAAAG2++wA=")</f>
        <v>#VALUE!</v>
      </c>
      <c r="B13" t="e">
        <f>AND(Шахм!B84,"AAAAAG2++wE=")</f>
        <v>#VALUE!</v>
      </c>
      <c r="C13" t="e">
        <f>AND(Шахм!C84,"AAAAAG2++wI=")</f>
        <v>#VALUE!</v>
      </c>
      <c r="D13" t="e">
        <f>AND(Шахм!D84,"AAAAAG2++wM=")</f>
        <v>#VALUE!</v>
      </c>
      <c r="E13" t="e">
        <f>AND(Шахм!E84,"AAAAAG2++wQ=")</f>
        <v>#VALUE!</v>
      </c>
      <c r="F13" t="e">
        <f>AND(Шахм!F84,"AAAAAG2++wU=")</f>
        <v>#VALUE!</v>
      </c>
      <c r="G13" t="e">
        <f>AND(Шахм!G84,"AAAAAG2++wY=")</f>
        <v>#VALUE!</v>
      </c>
      <c r="H13" t="e">
        <f>AND(Шахм!H84,"AAAAAG2++wc=")</f>
        <v>#VALUE!</v>
      </c>
      <c r="I13" t="e">
        <f>AND(Шахм!I84,"AAAAAG2++wg=")</f>
        <v>#VALUE!</v>
      </c>
      <c r="J13" t="e">
        <f>AND(Шахм!J84,"AAAAAG2++wk=")</f>
        <v>#VALUE!</v>
      </c>
      <c r="K13" t="e">
        <f>AND(Шахм!K84,"AAAAAG2++wo=")</f>
        <v>#VALUE!</v>
      </c>
      <c r="L13" t="e">
        <f>AND(Шахм!L84,"AAAAAG2++ws=")</f>
        <v>#VALUE!</v>
      </c>
      <c r="M13" t="e">
        <f>AND(Шахм!M84,"AAAAAG2++ww=")</f>
        <v>#VALUE!</v>
      </c>
      <c r="N13" t="e">
        <f>AND(Шахм!N84,"AAAAAG2++w0=")</f>
        <v>#VALUE!</v>
      </c>
      <c r="O13" t="e">
        <f>AND(Шахм!O84,"AAAAAG2++w4=")</f>
        <v>#VALUE!</v>
      </c>
      <c r="P13" t="e">
        <f>AND(Шахм!P84,"AAAAAG2++w8=")</f>
        <v>#VALUE!</v>
      </c>
      <c r="Q13" t="e">
        <f>AND(Шахм!Q84,"AAAAAG2++xA=")</f>
        <v>#VALUE!</v>
      </c>
      <c r="R13" t="e">
        <f>AND(Шахм!R84,"AAAAAG2++xE=")</f>
        <v>#VALUE!</v>
      </c>
      <c r="S13" t="e">
        <f>AND(Шахм!S84,"AAAAAG2++xI=")</f>
        <v>#VALUE!</v>
      </c>
      <c r="T13" t="e">
        <f>AND(Шахм!T84,"AAAAAG2++xM=")</f>
        <v>#VALUE!</v>
      </c>
      <c r="U13" t="e">
        <f>AND(Шахм!U84,"AAAAAG2++xQ=")</f>
        <v>#VALUE!</v>
      </c>
      <c r="V13" t="e">
        <f>AND(Шахм!V84,"AAAAAG2++xU=")</f>
        <v>#VALUE!</v>
      </c>
      <c r="W13" t="e">
        <f>AND(Шахм!W84,"AAAAAG2++xY=")</f>
        <v>#VALUE!</v>
      </c>
      <c r="X13" t="e">
        <f>AND(Шахм!X84,"AAAAAG2++xc=")</f>
        <v>#VALUE!</v>
      </c>
      <c r="Y13" t="e">
        <f>AND(Шахм!Y84,"AAAAAG2++xg=")</f>
        <v>#VALUE!</v>
      </c>
      <c r="Z13" t="e">
        <f>AND(Шахм!Z84,"AAAAAG2++xk=")</f>
        <v>#VALUE!</v>
      </c>
      <c r="AA13" t="e">
        <f>AND(Шахм!AA84,"AAAAAG2++xo=")</f>
        <v>#VALUE!</v>
      </c>
      <c r="AB13" t="e">
        <f>AND(Шахм!AB84,"AAAAAG2++xs=")</f>
        <v>#VALUE!</v>
      </c>
      <c r="AC13" t="e">
        <f>AND(Шахм!AC84,"AAAAAG2++xw=")</f>
        <v>#VALUE!</v>
      </c>
      <c r="AD13" t="e">
        <f>AND(Шахм!AD84,"AAAAAG2++x0=")</f>
        <v>#VALUE!</v>
      </c>
      <c r="AE13" t="e">
        <f>AND(Шахм!AE84,"AAAAAG2++x4=")</f>
        <v>#VALUE!</v>
      </c>
      <c r="AF13" t="e">
        <f>AND(Шахм!AF84,"AAAAAG2++x8=")</f>
        <v>#VALUE!</v>
      </c>
      <c r="AG13" t="e">
        <f>AND(Шахм!AG84,"AAAAAG2++yA=")</f>
        <v>#VALUE!</v>
      </c>
      <c r="AH13" t="e">
        <f>AND(Шахм!AH84,"AAAAAG2++yE=")</f>
        <v>#VALUE!</v>
      </c>
      <c r="AI13" t="e">
        <f>AND(Шахм!AI84,"AAAAAG2++yI=")</f>
        <v>#VALUE!</v>
      </c>
      <c r="AJ13" t="e">
        <f>AND(Шахм!AJ84,"AAAAAG2++yM=")</f>
        <v>#VALUE!</v>
      </c>
      <c r="AK13">
        <f>IF(Шахм!85:85,"AAAAAG2++yQ=",0)</f>
        <v>0</v>
      </c>
      <c r="AL13" t="e">
        <f>AND(Шахм!A85,"AAAAAG2++yU=")</f>
        <v>#VALUE!</v>
      </c>
      <c r="AM13" t="e">
        <f>AND(Шахм!B85,"AAAAAG2++yY=")</f>
        <v>#VALUE!</v>
      </c>
      <c r="AN13" t="e">
        <f>AND(Шахм!C85,"AAAAAG2++yc=")</f>
        <v>#VALUE!</v>
      </c>
      <c r="AO13" t="e">
        <f>AND(Шахм!D85,"AAAAAG2++yg=")</f>
        <v>#VALUE!</v>
      </c>
      <c r="AP13" t="e">
        <f>AND(Шахм!E85,"AAAAAG2++yk=")</f>
        <v>#VALUE!</v>
      </c>
      <c r="AQ13" t="e">
        <f>AND(Шахм!F85,"AAAAAG2++yo=")</f>
        <v>#VALUE!</v>
      </c>
      <c r="AR13" t="e">
        <f>AND(Шахм!G85,"AAAAAG2++ys=")</f>
        <v>#VALUE!</v>
      </c>
      <c r="AS13" t="e">
        <f>AND(Шахм!H85,"AAAAAG2++yw=")</f>
        <v>#VALUE!</v>
      </c>
      <c r="AT13" t="e">
        <f>AND(Шахм!I85,"AAAAAG2++y0=")</f>
        <v>#VALUE!</v>
      </c>
      <c r="AU13" t="e">
        <f>AND(Шахм!J85,"AAAAAG2++y4=")</f>
        <v>#VALUE!</v>
      </c>
      <c r="AV13" t="e">
        <f>AND(Шахм!K85,"AAAAAG2++y8=")</f>
        <v>#VALUE!</v>
      </c>
      <c r="AW13" t="e">
        <f>AND(Шахм!L85,"AAAAAG2++zA=")</f>
        <v>#VALUE!</v>
      </c>
      <c r="AX13" t="e">
        <f>AND(Шахм!M85,"AAAAAG2++zE=")</f>
        <v>#VALUE!</v>
      </c>
      <c r="AY13" t="e">
        <f>AND(Шахм!N85,"AAAAAG2++zI=")</f>
        <v>#VALUE!</v>
      </c>
      <c r="AZ13" t="e">
        <f>AND(Шахм!O85,"AAAAAG2++zM=")</f>
        <v>#VALUE!</v>
      </c>
      <c r="BA13" t="e">
        <f>AND(Шахм!P85,"AAAAAG2++zQ=")</f>
        <v>#VALUE!</v>
      </c>
      <c r="BB13" t="e">
        <f>AND(Шахм!Q85,"AAAAAG2++zU=")</f>
        <v>#VALUE!</v>
      </c>
      <c r="BC13" t="e">
        <f>AND(Шахм!R85,"AAAAAG2++zY=")</f>
        <v>#VALUE!</v>
      </c>
      <c r="BD13" t="e">
        <f>AND(Шахм!S85,"AAAAAG2++zc=")</f>
        <v>#VALUE!</v>
      </c>
      <c r="BE13" t="e">
        <f>AND(Шахм!T85,"AAAAAG2++zg=")</f>
        <v>#VALUE!</v>
      </c>
      <c r="BF13" t="e">
        <f>AND(Шахм!U85,"AAAAAG2++zk=")</f>
        <v>#VALUE!</v>
      </c>
      <c r="BG13" t="e">
        <f>AND(Шахм!V85,"AAAAAG2++zo=")</f>
        <v>#VALUE!</v>
      </c>
      <c r="BH13" t="e">
        <f>AND(Шахм!W85,"AAAAAG2++zs=")</f>
        <v>#VALUE!</v>
      </c>
      <c r="BI13" t="e">
        <f>AND(Шахм!X85,"AAAAAG2++zw=")</f>
        <v>#VALUE!</v>
      </c>
      <c r="BJ13" t="e">
        <f>AND(Шахм!Y85,"AAAAAG2++z0=")</f>
        <v>#VALUE!</v>
      </c>
      <c r="BK13" t="e">
        <f>AND(Шахм!Z85,"AAAAAG2++z4=")</f>
        <v>#VALUE!</v>
      </c>
      <c r="BL13" t="e">
        <f>AND(Шахм!AA85,"AAAAAG2++z8=")</f>
        <v>#VALUE!</v>
      </c>
      <c r="BM13" t="e">
        <f>AND(Шахм!AB85,"AAAAAG2++0A=")</f>
        <v>#VALUE!</v>
      </c>
      <c r="BN13" t="e">
        <f>AND(Шахм!AC85,"AAAAAG2++0E=")</f>
        <v>#VALUE!</v>
      </c>
      <c r="BO13" t="e">
        <f>AND(Шахм!AD85,"AAAAAG2++0I=")</f>
        <v>#VALUE!</v>
      </c>
      <c r="BP13" t="e">
        <f>AND(Шахм!AE85,"AAAAAG2++0M=")</f>
        <v>#VALUE!</v>
      </c>
      <c r="BQ13" t="e">
        <f>AND(Шахм!AF85,"AAAAAG2++0Q=")</f>
        <v>#VALUE!</v>
      </c>
      <c r="BR13" t="e">
        <f>AND(Шахм!AG85,"AAAAAG2++0U=")</f>
        <v>#VALUE!</v>
      </c>
      <c r="BS13" t="e">
        <f>AND(Шахм!AH85,"AAAAAG2++0Y=")</f>
        <v>#VALUE!</v>
      </c>
      <c r="BT13" t="e">
        <f>AND(Шахм!AI85,"AAAAAG2++0c=")</f>
        <v>#VALUE!</v>
      </c>
      <c r="BU13" t="e">
        <f>AND(Шахм!AJ85,"AAAAAG2++0g=")</f>
        <v>#VALUE!</v>
      </c>
      <c r="BV13">
        <f>IF(Шахм!86:86,"AAAAAG2++0k=",0)</f>
        <v>0</v>
      </c>
      <c r="BW13" t="e">
        <f>AND(Шахм!A86,"AAAAAG2++0o=")</f>
        <v>#VALUE!</v>
      </c>
      <c r="BX13" t="e">
        <f>AND(Шахм!B86,"AAAAAG2++0s=")</f>
        <v>#VALUE!</v>
      </c>
      <c r="BY13" t="e">
        <f>AND(Шахм!C86,"AAAAAG2++0w=")</f>
        <v>#VALUE!</v>
      </c>
      <c r="BZ13" t="e">
        <f>AND(Шахм!D86,"AAAAAG2++00=")</f>
        <v>#VALUE!</v>
      </c>
      <c r="CA13" t="e">
        <f>AND(Шахм!E86,"AAAAAG2++04=")</f>
        <v>#VALUE!</v>
      </c>
      <c r="CB13" t="e">
        <f>AND(Шахм!F86,"AAAAAG2++08=")</f>
        <v>#VALUE!</v>
      </c>
      <c r="CC13" t="e">
        <f>AND(Шахм!G86,"AAAAAG2++1A=")</f>
        <v>#VALUE!</v>
      </c>
      <c r="CD13" t="e">
        <f>AND(Шахм!H86,"AAAAAG2++1E=")</f>
        <v>#VALUE!</v>
      </c>
      <c r="CE13" t="e">
        <f>AND(Шахм!I86,"AAAAAG2++1I=")</f>
        <v>#VALUE!</v>
      </c>
      <c r="CF13" t="e">
        <f>AND(Шахм!J86,"AAAAAG2++1M=")</f>
        <v>#VALUE!</v>
      </c>
      <c r="CG13" t="e">
        <f>AND(Шахм!K86,"AAAAAG2++1Q=")</f>
        <v>#VALUE!</v>
      </c>
      <c r="CH13" t="e">
        <f>AND(Шахм!L86,"AAAAAG2++1U=")</f>
        <v>#VALUE!</v>
      </c>
      <c r="CI13" t="e">
        <f>AND(Шахм!M86,"AAAAAG2++1Y=")</f>
        <v>#VALUE!</v>
      </c>
      <c r="CJ13" t="e">
        <f>AND(Шахм!N86,"AAAAAG2++1c=")</f>
        <v>#VALUE!</v>
      </c>
      <c r="CK13" t="e">
        <f>AND(Шахм!O86,"AAAAAG2++1g=")</f>
        <v>#VALUE!</v>
      </c>
      <c r="CL13" t="e">
        <f>AND(Шахм!P86,"AAAAAG2++1k=")</f>
        <v>#VALUE!</v>
      </c>
      <c r="CM13" t="e">
        <f>AND(Шахм!Q86,"AAAAAG2++1o=")</f>
        <v>#VALUE!</v>
      </c>
      <c r="CN13" t="e">
        <f>AND(Шахм!R86,"AAAAAG2++1s=")</f>
        <v>#VALUE!</v>
      </c>
      <c r="CO13" t="e">
        <f>AND(Шахм!S86,"AAAAAG2++1w=")</f>
        <v>#VALUE!</v>
      </c>
      <c r="CP13" t="e">
        <f>AND(Шахм!T86,"AAAAAG2++10=")</f>
        <v>#VALUE!</v>
      </c>
      <c r="CQ13" t="e">
        <f>AND(Шахм!U86,"AAAAAG2++14=")</f>
        <v>#VALUE!</v>
      </c>
      <c r="CR13" t="e">
        <f>AND(Шахм!V86,"AAAAAG2++18=")</f>
        <v>#VALUE!</v>
      </c>
      <c r="CS13" t="e">
        <f>AND(Шахм!W86,"AAAAAG2++2A=")</f>
        <v>#VALUE!</v>
      </c>
      <c r="CT13" t="e">
        <f>AND(Шахм!X86,"AAAAAG2++2E=")</f>
        <v>#VALUE!</v>
      </c>
      <c r="CU13" t="e">
        <f>AND(Шахм!Y86,"AAAAAG2++2I=")</f>
        <v>#VALUE!</v>
      </c>
      <c r="CV13" t="e">
        <f>AND(Шахм!Z86,"AAAAAG2++2M=")</f>
        <v>#VALUE!</v>
      </c>
      <c r="CW13" t="e">
        <f>AND(Шахм!AA86,"AAAAAG2++2Q=")</f>
        <v>#VALUE!</v>
      </c>
      <c r="CX13" t="e">
        <f>AND(Шахм!AB86,"AAAAAG2++2U=")</f>
        <v>#VALUE!</v>
      </c>
      <c r="CY13" t="e">
        <f>AND(Шахм!AC86,"AAAAAG2++2Y=")</f>
        <v>#VALUE!</v>
      </c>
      <c r="CZ13" t="e">
        <f>AND(Шахм!AD86,"AAAAAG2++2c=")</f>
        <v>#VALUE!</v>
      </c>
      <c r="DA13" t="e">
        <f>AND(Шахм!AE86,"AAAAAG2++2g=")</f>
        <v>#VALUE!</v>
      </c>
      <c r="DB13" t="e">
        <f>AND(Шахм!AF86,"AAAAAG2++2k=")</f>
        <v>#VALUE!</v>
      </c>
      <c r="DC13" t="e">
        <f>AND(Шахм!AG86,"AAAAAG2++2o=")</f>
        <v>#VALUE!</v>
      </c>
      <c r="DD13" t="e">
        <f>AND(Шахм!AH86,"AAAAAG2++2s=")</f>
        <v>#VALUE!</v>
      </c>
      <c r="DE13" t="e">
        <f>AND(Шахм!AI86,"AAAAAG2++2w=")</f>
        <v>#VALUE!</v>
      </c>
      <c r="DF13" t="e">
        <f>AND(Шахм!AJ86,"AAAAAG2++20=")</f>
        <v>#VALUE!</v>
      </c>
      <c r="DG13">
        <f>IF(Шахм!87:87,"AAAAAG2++24=",0)</f>
        <v>0</v>
      </c>
      <c r="DH13" t="e">
        <f>AND(Шахм!A87,"AAAAAG2++28=")</f>
        <v>#VALUE!</v>
      </c>
      <c r="DI13" t="e">
        <f>AND(Шахм!B87,"AAAAAG2++3A=")</f>
        <v>#VALUE!</v>
      </c>
      <c r="DJ13" t="e">
        <f>AND(Шахм!C87,"AAAAAG2++3E=")</f>
        <v>#VALUE!</v>
      </c>
      <c r="DK13" t="e">
        <f>AND(Шахм!D87,"AAAAAG2++3I=")</f>
        <v>#VALUE!</v>
      </c>
      <c r="DL13" t="e">
        <f>AND(Шахм!E87,"AAAAAG2++3M=")</f>
        <v>#VALUE!</v>
      </c>
      <c r="DM13" t="e">
        <f>AND(Шахм!F87,"AAAAAG2++3Q=")</f>
        <v>#VALUE!</v>
      </c>
      <c r="DN13" t="e">
        <f>AND(Шахм!G87,"AAAAAG2++3U=")</f>
        <v>#VALUE!</v>
      </c>
      <c r="DO13" t="e">
        <f>AND(Шахм!H87,"AAAAAG2++3Y=")</f>
        <v>#VALUE!</v>
      </c>
      <c r="DP13" t="e">
        <f>AND(Шахм!I87,"AAAAAG2++3c=")</f>
        <v>#VALUE!</v>
      </c>
      <c r="DQ13" t="e">
        <f>AND(Шахм!J87,"AAAAAG2++3g=")</f>
        <v>#VALUE!</v>
      </c>
      <c r="DR13" t="e">
        <f>AND(Шахм!K87,"AAAAAG2++3k=")</f>
        <v>#VALUE!</v>
      </c>
      <c r="DS13" t="e">
        <f>AND(Шахм!L87,"AAAAAG2++3o=")</f>
        <v>#VALUE!</v>
      </c>
      <c r="DT13" t="e">
        <f>AND(Шахм!M87,"AAAAAG2++3s=")</f>
        <v>#VALUE!</v>
      </c>
      <c r="DU13" t="e">
        <f>AND(Шахм!N87,"AAAAAG2++3w=")</f>
        <v>#VALUE!</v>
      </c>
      <c r="DV13" t="e">
        <f>AND(Шахм!O87,"AAAAAG2++30=")</f>
        <v>#VALUE!</v>
      </c>
      <c r="DW13" t="e">
        <f>AND(Шахм!P87,"AAAAAG2++34=")</f>
        <v>#VALUE!</v>
      </c>
      <c r="DX13" t="e">
        <f>AND(Шахм!Q87,"AAAAAG2++38=")</f>
        <v>#VALUE!</v>
      </c>
      <c r="DY13" t="e">
        <f>AND(Шахм!R87,"AAAAAG2++4A=")</f>
        <v>#VALUE!</v>
      </c>
      <c r="DZ13" t="e">
        <f>AND(Шахм!S87,"AAAAAG2++4E=")</f>
        <v>#VALUE!</v>
      </c>
      <c r="EA13" t="e">
        <f>AND(Шахм!T87,"AAAAAG2++4I=")</f>
        <v>#VALUE!</v>
      </c>
      <c r="EB13" t="e">
        <f>AND(Шахм!U87,"AAAAAG2++4M=")</f>
        <v>#VALUE!</v>
      </c>
      <c r="EC13" t="e">
        <f>AND(Шахм!V87,"AAAAAG2++4Q=")</f>
        <v>#VALUE!</v>
      </c>
      <c r="ED13" t="e">
        <f>AND(Шахм!W87,"AAAAAG2++4U=")</f>
        <v>#VALUE!</v>
      </c>
      <c r="EE13" t="e">
        <f>AND(Шахм!X87,"AAAAAG2++4Y=")</f>
        <v>#VALUE!</v>
      </c>
      <c r="EF13" t="e">
        <f>AND(Шахм!Y87,"AAAAAG2++4c=")</f>
        <v>#VALUE!</v>
      </c>
      <c r="EG13" t="e">
        <f>AND(Шахм!Z87,"AAAAAG2++4g=")</f>
        <v>#VALUE!</v>
      </c>
      <c r="EH13" t="e">
        <f>AND(Шахм!AA87,"AAAAAG2++4k=")</f>
        <v>#VALUE!</v>
      </c>
      <c r="EI13" t="e">
        <f>AND(Шахм!AB87,"AAAAAG2++4o=")</f>
        <v>#VALUE!</v>
      </c>
      <c r="EJ13" t="e">
        <f>AND(Шахм!AC87,"AAAAAG2++4s=")</f>
        <v>#VALUE!</v>
      </c>
      <c r="EK13" t="e">
        <f>AND(Шахм!AD87,"AAAAAG2++4w=")</f>
        <v>#VALUE!</v>
      </c>
      <c r="EL13" t="e">
        <f>AND(Шахм!AE87,"AAAAAG2++40=")</f>
        <v>#VALUE!</v>
      </c>
      <c r="EM13" t="e">
        <f>AND(Шахм!AF87,"AAAAAG2++44=")</f>
        <v>#VALUE!</v>
      </c>
      <c r="EN13" t="e">
        <f>AND(Шахм!AG87,"AAAAAG2++48=")</f>
        <v>#VALUE!</v>
      </c>
      <c r="EO13" t="e">
        <f>AND(Шахм!AH87,"AAAAAG2++5A=")</f>
        <v>#VALUE!</v>
      </c>
      <c r="EP13" t="e">
        <f>AND(Шахм!AI87,"AAAAAG2++5E=")</f>
        <v>#VALUE!</v>
      </c>
      <c r="EQ13" t="e">
        <f>AND(Шахм!AJ87,"AAAAAG2++5I=")</f>
        <v>#VALUE!</v>
      </c>
      <c r="ER13">
        <f>IF(Шахм!88:88,"AAAAAG2++5M=",0)</f>
        <v>0</v>
      </c>
      <c r="ES13" t="e">
        <f>AND(Шахм!A88,"AAAAAG2++5Q=")</f>
        <v>#VALUE!</v>
      </c>
      <c r="ET13" t="e">
        <f>AND(Шахм!B88,"AAAAAG2++5U=")</f>
        <v>#VALUE!</v>
      </c>
      <c r="EU13" t="e">
        <f>AND(Шахм!C88,"AAAAAG2++5Y=")</f>
        <v>#VALUE!</v>
      </c>
      <c r="EV13" t="e">
        <f>AND(Шахм!D88,"AAAAAG2++5c=")</f>
        <v>#VALUE!</v>
      </c>
      <c r="EW13" t="e">
        <f>AND(Шахм!E88,"AAAAAG2++5g=")</f>
        <v>#VALUE!</v>
      </c>
      <c r="EX13" t="e">
        <f>AND(Шахм!F88,"AAAAAG2++5k=")</f>
        <v>#VALUE!</v>
      </c>
      <c r="EY13" t="e">
        <f>AND(Шахм!G88,"AAAAAG2++5o=")</f>
        <v>#VALUE!</v>
      </c>
      <c r="EZ13" t="e">
        <f>AND(Шахм!H88,"AAAAAG2++5s=")</f>
        <v>#VALUE!</v>
      </c>
      <c r="FA13" t="e">
        <f>AND(Шахм!I88,"AAAAAG2++5w=")</f>
        <v>#VALUE!</v>
      </c>
      <c r="FB13" t="e">
        <f>AND(Шахм!J88,"AAAAAG2++50=")</f>
        <v>#VALUE!</v>
      </c>
      <c r="FC13" t="e">
        <f>AND(Шахм!K88,"AAAAAG2++54=")</f>
        <v>#VALUE!</v>
      </c>
      <c r="FD13" t="e">
        <f>AND(Шахм!L88,"AAAAAG2++58=")</f>
        <v>#VALUE!</v>
      </c>
      <c r="FE13" t="e">
        <f>AND(Шахм!M88,"AAAAAG2++6A=")</f>
        <v>#VALUE!</v>
      </c>
      <c r="FF13" t="e">
        <f>AND(Шахм!N88,"AAAAAG2++6E=")</f>
        <v>#VALUE!</v>
      </c>
      <c r="FG13" t="e">
        <f>AND(Шахм!O88,"AAAAAG2++6I=")</f>
        <v>#VALUE!</v>
      </c>
      <c r="FH13" t="e">
        <f>AND(Шахм!P88,"AAAAAG2++6M=")</f>
        <v>#VALUE!</v>
      </c>
      <c r="FI13" t="e">
        <f>AND(Шахм!Q88,"AAAAAG2++6Q=")</f>
        <v>#VALUE!</v>
      </c>
      <c r="FJ13" t="e">
        <f>AND(Шахм!R88,"AAAAAG2++6U=")</f>
        <v>#VALUE!</v>
      </c>
      <c r="FK13" t="e">
        <f>AND(Шахм!S88,"AAAAAG2++6Y=")</f>
        <v>#VALUE!</v>
      </c>
      <c r="FL13" t="e">
        <f>AND(Шахм!T88,"AAAAAG2++6c=")</f>
        <v>#VALUE!</v>
      </c>
      <c r="FM13" t="e">
        <f>AND(Шахм!U88,"AAAAAG2++6g=")</f>
        <v>#VALUE!</v>
      </c>
      <c r="FN13" t="e">
        <f>AND(Шахм!V88,"AAAAAG2++6k=")</f>
        <v>#VALUE!</v>
      </c>
      <c r="FO13" t="e">
        <f>AND(Шахм!W88,"AAAAAG2++6o=")</f>
        <v>#VALUE!</v>
      </c>
      <c r="FP13" t="e">
        <f>AND(Шахм!X88,"AAAAAG2++6s=")</f>
        <v>#VALUE!</v>
      </c>
      <c r="FQ13" t="e">
        <f>AND(Шахм!Y88,"AAAAAG2++6w=")</f>
        <v>#VALUE!</v>
      </c>
      <c r="FR13" t="e">
        <f>AND(Шахм!Z88,"AAAAAG2++60=")</f>
        <v>#VALUE!</v>
      </c>
      <c r="FS13" t="e">
        <f>AND(Шахм!AA88,"AAAAAG2++64=")</f>
        <v>#VALUE!</v>
      </c>
      <c r="FT13" t="e">
        <f>AND(Шахм!AB88,"AAAAAG2++68=")</f>
        <v>#VALUE!</v>
      </c>
      <c r="FU13" t="e">
        <f>AND(Шахм!AC88,"AAAAAG2++7A=")</f>
        <v>#VALUE!</v>
      </c>
      <c r="FV13" t="e">
        <f>AND(Шахм!AD88,"AAAAAG2++7E=")</f>
        <v>#VALUE!</v>
      </c>
      <c r="FW13" t="e">
        <f>AND(Шахм!AE88,"AAAAAG2++7I=")</f>
        <v>#VALUE!</v>
      </c>
      <c r="FX13" t="e">
        <f>AND(Шахм!AF88,"AAAAAG2++7M=")</f>
        <v>#VALUE!</v>
      </c>
      <c r="FY13" t="e">
        <f>AND(Шахм!AG88,"AAAAAG2++7Q=")</f>
        <v>#VALUE!</v>
      </c>
      <c r="FZ13" t="e">
        <f>AND(Шахм!AH88,"AAAAAG2++7U=")</f>
        <v>#VALUE!</v>
      </c>
      <c r="GA13" t="e">
        <f>AND(Шахм!AI88,"AAAAAG2++7Y=")</f>
        <v>#VALUE!</v>
      </c>
      <c r="GB13" t="e">
        <f>AND(Шахм!AJ88,"AAAAAG2++7c=")</f>
        <v>#VALUE!</v>
      </c>
      <c r="GC13">
        <f>IF(Шахм!89:89,"AAAAAG2++7g=",0)</f>
        <v>0</v>
      </c>
      <c r="GD13" t="e">
        <f>AND(Шахм!A89,"AAAAAG2++7k=")</f>
        <v>#VALUE!</v>
      </c>
      <c r="GE13" t="e">
        <f>AND(Шахм!B89,"AAAAAG2++7o=")</f>
        <v>#VALUE!</v>
      </c>
      <c r="GF13" t="e">
        <f>AND(Шахм!C89,"AAAAAG2++7s=")</f>
        <v>#VALUE!</v>
      </c>
      <c r="GG13" t="e">
        <f>AND(Шахм!D89,"AAAAAG2++7w=")</f>
        <v>#VALUE!</v>
      </c>
      <c r="GH13" t="e">
        <f>AND(Шахм!E89,"AAAAAG2++70=")</f>
        <v>#VALUE!</v>
      </c>
      <c r="GI13" t="e">
        <f>AND(Шахм!F89,"AAAAAG2++74=")</f>
        <v>#VALUE!</v>
      </c>
      <c r="GJ13" t="e">
        <f>AND(Шахм!G89,"AAAAAG2++78=")</f>
        <v>#VALUE!</v>
      </c>
      <c r="GK13" t="e">
        <f>AND(Шахм!H89,"AAAAAG2++8A=")</f>
        <v>#VALUE!</v>
      </c>
      <c r="GL13" t="e">
        <f>AND(Шахм!I89,"AAAAAG2++8E=")</f>
        <v>#VALUE!</v>
      </c>
      <c r="GM13" t="e">
        <f>AND(Шахм!J89,"AAAAAG2++8I=")</f>
        <v>#VALUE!</v>
      </c>
      <c r="GN13" t="e">
        <f>AND(Шахм!K89,"AAAAAG2++8M=")</f>
        <v>#VALUE!</v>
      </c>
      <c r="GO13" t="e">
        <f>AND(Шахм!L89,"AAAAAG2++8Q=")</f>
        <v>#VALUE!</v>
      </c>
      <c r="GP13" t="e">
        <f>AND(Шахм!M89,"AAAAAG2++8U=")</f>
        <v>#VALUE!</v>
      </c>
      <c r="GQ13" t="e">
        <f>AND(Шахм!N89,"AAAAAG2++8Y=")</f>
        <v>#VALUE!</v>
      </c>
      <c r="GR13" t="e">
        <f>AND(Шахм!O89,"AAAAAG2++8c=")</f>
        <v>#VALUE!</v>
      </c>
      <c r="GS13" t="e">
        <f>AND(Шахм!P89,"AAAAAG2++8g=")</f>
        <v>#VALUE!</v>
      </c>
      <c r="GT13" t="e">
        <f>AND(Шахм!Q89,"AAAAAG2++8k=")</f>
        <v>#VALUE!</v>
      </c>
      <c r="GU13" t="e">
        <f>AND(Шахм!R89,"AAAAAG2++8o=")</f>
        <v>#VALUE!</v>
      </c>
      <c r="GV13" t="e">
        <f>AND(Шахм!S89,"AAAAAG2++8s=")</f>
        <v>#VALUE!</v>
      </c>
      <c r="GW13" t="e">
        <f>AND(Шахм!T89,"AAAAAG2++8w=")</f>
        <v>#VALUE!</v>
      </c>
      <c r="GX13" t="e">
        <f>AND(Шахм!U89,"AAAAAG2++80=")</f>
        <v>#VALUE!</v>
      </c>
      <c r="GY13" t="e">
        <f>AND(Шахм!V89,"AAAAAG2++84=")</f>
        <v>#VALUE!</v>
      </c>
      <c r="GZ13" t="e">
        <f>AND(Шахм!W89,"AAAAAG2++88=")</f>
        <v>#VALUE!</v>
      </c>
      <c r="HA13" t="e">
        <f>AND(Шахм!X89,"AAAAAG2++9A=")</f>
        <v>#VALUE!</v>
      </c>
      <c r="HB13" t="e">
        <f>AND(Шахм!Y89,"AAAAAG2++9E=")</f>
        <v>#VALUE!</v>
      </c>
      <c r="HC13" t="e">
        <f>AND(Шахм!Z89,"AAAAAG2++9I=")</f>
        <v>#VALUE!</v>
      </c>
      <c r="HD13" t="e">
        <f>AND(Шахм!AA89,"AAAAAG2++9M=")</f>
        <v>#VALUE!</v>
      </c>
      <c r="HE13" t="e">
        <f>AND(Шахм!AB89,"AAAAAG2++9Q=")</f>
        <v>#VALUE!</v>
      </c>
      <c r="HF13" t="e">
        <f>AND(Шахм!AC89,"AAAAAG2++9U=")</f>
        <v>#VALUE!</v>
      </c>
      <c r="HG13" t="e">
        <f>AND(Шахм!AD89,"AAAAAG2++9Y=")</f>
        <v>#VALUE!</v>
      </c>
      <c r="HH13" t="e">
        <f>AND(Шахм!AE89,"AAAAAG2++9c=")</f>
        <v>#VALUE!</v>
      </c>
      <c r="HI13" t="e">
        <f>AND(Шахм!AF89,"AAAAAG2++9g=")</f>
        <v>#VALUE!</v>
      </c>
      <c r="HJ13" t="e">
        <f>AND(Шахм!AG89,"AAAAAG2++9k=")</f>
        <v>#VALUE!</v>
      </c>
      <c r="HK13" t="e">
        <f>AND(Шахм!AH89,"AAAAAG2++9o=")</f>
        <v>#VALUE!</v>
      </c>
      <c r="HL13" t="e">
        <f>AND(Шахм!AI89,"AAAAAG2++9s=")</f>
        <v>#VALUE!</v>
      </c>
      <c r="HM13" t="e">
        <f>AND(Шахм!AJ89,"AAAAAG2++9w=")</f>
        <v>#VALUE!</v>
      </c>
      <c r="HN13">
        <f>IF(Шахм!90:90,"AAAAAG2++90=",0)</f>
        <v>0</v>
      </c>
      <c r="HO13" t="e">
        <f>AND(Шахм!A90,"AAAAAG2++94=")</f>
        <v>#VALUE!</v>
      </c>
      <c r="HP13" t="e">
        <f>AND(Шахм!B90,"AAAAAG2++98=")</f>
        <v>#VALUE!</v>
      </c>
      <c r="HQ13" t="e">
        <f>AND(Шахм!C90,"AAAAAG2+++A=")</f>
        <v>#VALUE!</v>
      </c>
      <c r="HR13" t="e">
        <f>AND(Шахм!D90,"AAAAAG2+++E=")</f>
        <v>#VALUE!</v>
      </c>
      <c r="HS13" t="e">
        <f>AND(Шахм!E90,"AAAAAG2+++I=")</f>
        <v>#VALUE!</v>
      </c>
      <c r="HT13" t="e">
        <f>AND(Шахм!F90,"AAAAAG2+++M=")</f>
        <v>#VALUE!</v>
      </c>
      <c r="HU13" t="e">
        <f>AND(Шахм!G90,"AAAAAG2+++Q=")</f>
        <v>#VALUE!</v>
      </c>
      <c r="HV13" t="e">
        <f>AND(Шахм!H90,"AAAAAG2+++U=")</f>
        <v>#VALUE!</v>
      </c>
      <c r="HW13" t="e">
        <f>AND(Шахм!I90,"AAAAAG2+++Y=")</f>
        <v>#VALUE!</v>
      </c>
      <c r="HX13" t="e">
        <f>AND(Шахм!J90,"AAAAAG2+++c=")</f>
        <v>#VALUE!</v>
      </c>
      <c r="HY13" t="e">
        <f>AND(Шахм!K90,"AAAAAG2+++g=")</f>
        <v>#VALUE!</v>
      </c>
      <c r="HZ13" t="e">
        <f>AND(Шахм!L90,"AAAAAG2+++k=")</f>
        <v>#VALUE!</v>
      </c>
      <c r="IA13" t="e">
        <f>AND(Шахм!M90,"AAAAAG2+++o=")</f>
        <v>#VALUE!</v>
      </c>
      <c r="IB13" t="e">
        <f>AND(Шахм!N90,"AAAAAG2+++s=")</f>
        <v>#VALUE!</v>
      </c>
      <c r="IC13" t="e">
        <f>AND(Шахм!O90,"AAAAAG2+++w=")</f>
        <v>#VALUE!</v>
      </c>
      <c r="ID13" t="e">
        <f>AND(Шахм!P90,"AAAAAG2+++0=")</f>
        <v>#VALUE!</v>
      </c>
      <c r="IE13" t="e">
        <f>AND(Шахм!Q90,"AAAAAG2+++4=")</f>
        <v>#VALUE!</v>
      </c>
      <c r="IF13" t="e">
        <f>AND(Шахм!R90,"AAAAAG2+++8=")</f>
        <v>#VALUE!</v>
      </c>
      <c r="IG13" t="e">
        <f>AND(Шахм!S90,"AAAAAG2++/A=")</f>
        <v>#VALUE!</v>
      </c>
      <c r="IH13" t="e">
        <f>AND(Шахм!T90,"AAAAAG2++/E=")</f>
        <v>#VALUE!</v>
      </c>
      <c r="II13" t="e">
        <f>AND(Шахм!U90,"AAAAAG2++/I=")</f>
        <v>#VALUE!</v>
      </c>
      <c r="IJ13" t="e">
        <f>AND(Шахм!V90,"AAAAAG2++/M=")</f>
        <v>#VALUE!</v>
      </c>
      <c r="IK13" t="e">
        <f>AND(Шахм!W90,"AAAAAG2++/Q=")</f>
        <v>#VALUE!</v>
      </c>
      <c r="IL13" t="e">
        <f>AND(Шахм!X90,"AAAAAG2++/U=")</f>
        <v>#VALUE!</v>
      </c>
      <c r="IM13" t="e">
        <f>AND(Шахм!Y90,"AAAAAG2++/Y=")</f>
        <v>#VALUE!</v>
      </c>
      <c r="IN13" t="e">
        <f>AND(Шахм!Z90,"AAAAAG2++/c=")</f>
        <v>#VALUE!</v>
      </c>
      <c r="IO13" t="e">
        <f>AND(Шахм!AA90,"AAAAAG2++/g=")</f>
        <v>#VALUE!</v>
      </c>
      <c r="IP13" t="e">
        <f>AND(Шахм!AB90,"AAAAAG2++/k=")</f>
        <v>#VALUE!</v>
      </c>
      <c r="IQ13" t="e">
        <f>AND(Шахм!AC90,"AAAAAG2++/o=")</f>
        <v>#VALUE!</v>
      </c>
      <c r="IR13" t="e">
        <f>AND(Шахм!AD90,"AAAAAG2++/s=")</f>
        <v>#VALUE!</v>
      </c>
      <c r="IS13" t="e">
        <f>AND(Шахм!AE90,"AAAAAG2++/w=")</f>
        <v>#VALUE!</v>
      </c>
      <c r="IT13" t="e">
        <f>AND(Шахм!AF90,"AAAAAG2++/0=")</f>
        <v>#VALUE!</v>
      </c>
      <c r="IU13" t="e">
        <f>AND(Шахм!AG90,"AAAAAG2++/4=")</f>
        <v>#VALUE!</v>
      </c>
      <c r="IV13" t="e">
        <f>AND(Шахм!AH90,"AAAAAG2++/8=")</f>
        <v>#VALUE!</v>
      </c>
    </row>
    <row r="14" spans="1:256">
      <c r="A14" t="e">
        <f>AND(Шахм!AI90,"AAAAABZ2+gA=")</f>
        <v>#VALUE!</v>
      </c>
      <c r="B14" t="e">
        <f>AND(Шахм!AJ90,"AAAAABZ2+gE=")</f>
        <v>#VALUE!</v>
      </c>
      <c r="C14" t="str">
        <f>IF(Шахм!91:91,"AAAAABZ2+gI=",0)</f>
        <v>AAAAABZ2+gI=</v>
      </c>
      <c r="D14" t="e">
        <f>AND(Шахм!A91,"AAAAABZ2+gM=")</f>
        <v>#VALUE!</v>
      </c>
      <c r="E14" t="e">
        <f>AND(Шахм!B91,"AAAAABZ2+gQ=")</f>
        <v>#VALUE!</v>
      </c>
      <c r="F14" t="e">
        <f>AND(Шахм!C91,"AAAAABZ2+gU=")</f>
        <v>#VALUE!</v>
      </c>
      <c r="G14" t="e">
        <f>AND(Шахм!D91,"AAAAABZ2+gY=")</f>
        <v>#VALUE!</v>
      </c>
      <c r="H14" t="e">
        <f>AND(Шахм!E91,"AAAAABZ2+gc=")</f>
        <v>#VALUE!</v>
      </c>
      <c r="I14" t="e">
        <f>AND(Шахм!F91,"AAAAABZ2+gg=")</f>
        <v>#VALUE!</v>
      </c>
      <c r="J14" t="e">
        <f>AND(Шахм!G91,"AAAAABZ2+gk=")</f>
        <v>#VALUE!</v>
      </c>
      <c r="K14" t="e">
        <f>AND(Шахм!H91,"AAAAABZ2+go=")</f>
        <v>#VALUE!</v>
      </c>
      <c r="L14" t="e">
        <f>AND(Шахм!I91,"AAAAABZ2+gs=")</f>
        <v>#VALUE!</v>
      </c>
      <c r="M14" t="e">
        <f>AND(Шахм!J91,"AAAAABZ2+gw=")</f>
        <v>#VALUE!</v>
      </c>
      <c r="N14" t="e">
        <f>AND(Шахм!K91,"AAAAABZ2+g0=")</f>
        <v>#VALUE!</v>
      </c>
      <c r="O14" t="e">
        <f>AND(Шахм!L91,"AAAAABZ2+g4=")</f>
        <v>#VALUE!</v>
      </c>
      <c r="P14" t="e">
        <f>AND(Шахм!M91,"AAAAABZ2+g8=")</f>
        <v>#VALUE!</v>
      </c>
      <c r="Q14" t="e">
        <f>AND(Шахм!N91,"AAAAABZ2+hA=")</f>
        <v>#VALUE!</v>
      </c>
      <c r="R14" t="e">
        <f>AND(Шахм!O91,"AAAAABZ2+hE=")</f>
        <v>#VALUE!</v>
      </c>
      <c r="S14" t="e">
        <f>AND(Шахм!P91,"AAAAABZ2+hI=")</f>
        <v>#VALUE!</v>
      </c>
      <c r="T14" t="e">
        <f>AND(Шахм!Q91,"AAAAABZ2+hM=")</f>
        <v>#VALUE!</v>
      </c>
      <c r="U14" t="e">
        <f>AND(Шахм!R91,"AAAAABZ2+hQ=")</f>
        <v>#VALUE!</v>
      </c>
      <c r="V14" t="e">
        <f>AND(Шахм!S91,"AAAAABZ2+hU=")</f>
        <v>#VALUE!</v>
      </c>
      <c r="W14" t="e">
        <f>AND(Шахм!T91,"AAAAABZ2+hY=")</f>
        <v>#VALUE!</v>
      </c>
      <c r="X14" t="e">
        <f>AND(Шахм!U91,"AAAAABZ2+hc=")</f>
        <v>#VALUE!</v>
      </c>
      <c r="Y14" t="e">
        <f>AND(Шахм!V91,"AAAAABZ2+hg=")</f>
        <v>#VALUE!</v>
      </c>
      <c r="Z14" t="e">
        <f>AND(Шахм!W91,"AAAAABZ2+hk=")</f>
        <v>#VALUE!</v>
      </c>
      <c r="AA14" t="e">
        <f>AND(Шахм!X91,"AAAAABZ2+ho=")</f>
        <v>#VALUE!</v>
      </c>
      <c r="AB14" t="e">
        <f>AND(Шахм!Y91,"AAAAABZ2+hs=")</f>
        <v>#VALUE!</v>
      </c>
      <c r="AC14" t="e">
        <f>AND(Шахм!Z91,"AAAAABZ2+hw=")</f>
        <v>#VALUE!</v>
      </c>
      <c r="AD14" t="e">
        <f>AND(Шахм!AA91,"AAAAABZ2+h0=")</f>
        <v>#VALUE!</v>
      </c>
      <c r="AE14" t="e">
        <f>AND(Шахм!AB91,"AAAAABZ2+h4=")</f>
        <v>#VALUE!</v>
      </c>
      <c r="AF14" t="e">
        <f>AND(Шахм!AC91,"AAAAABZ2+h8=")</f>
        <v>#VALUE!</v>
      </c>
      <c r="AG14" t="e">
        <f>AND(Шахм!AD91,"AAAAABZ2+iA=")</f>
        <v>#VALUE!</v>
      </c>
      <c r="AH14" t="e">
        <f>AND(Шахм!AE91,"AAAAABZ2+iE=")</f>
        <v>#VALUE!</v>
      </c>
      <c r="AI14" t="e">
        <f>AND(Шахм!AF91,"AAAAABZ2+iI=")</f>
        <v>#VALUE!</v>
      </c>
      <c r="AJ14" t="e">
        <f>AND(Шахм!AG91,"AAAAABZ2+iM=")</f>
        <v>#VALUE!</v>
      </c>
      <c r="AK14" t="e">
        <f>AND(Шахм!AH91,"AAAAABZ2+iQ=")</f>
        <v>#VALUE!</v>
      </c>
      <c r="AL14" t="e">
        <f>AND(Шахм!AI91,"AAAAABZ2+iU=")</f>
        <v>#VALUE!</v>
      </c>
      <c r="AM14" t="e">
        <f>AND(Шахм!AJ91,"AAAAABZ2+iY=")</f>
        <v>#VALUE!</v>
      </c>
      <c r="AN14">
        <f>IF(Шахм!92:92,"AAAAABZ2+ic=",0)</f>
        <v>0</v>
      </c>
      <c r="AO14" t="e">
        <f>AND(Шахм!A92,"AAAAABZ2+ig=")</f>
        <v>#VALUE!</v>
      </c>
      <c r="AP14" t="e">
        <f>AND(Шахм!B92,"AAAAABZ2+ik=")</f>
        <v>#VALUE!</v>
      </c>
      <c r="AQ14" t="e">
        <f>AND(Шахм!C92,"AAAAABZ2+io=")</f>
        <v>#VALUE!</v>
      </c>
      <c r="AR14" t="e">
        <f>AND(Шахм!D92,"AAAAABZ2+is=")</f>
        <v>#VALUE!</v>
      </c>
      <c r="AS14" t="e">
        <f>AND(Шахм!E92,"AAAAABZ2+iw=")</f>
        <v>#VALUE!</v>
      </c>
      <c r="AT14" t="e">
        <f>AND(Шахм!F92,"AAAAABZ2+i0=")</f>
        <v>#VALUE!</v>
      </c>
      <c r="AU14" t="e">
        <f>AND(Шахм!G92,"AAAAABZ2+i4=")</f>
        <v>#VALUE!</v>
      </c>
      <c r="AV14" t="e">
        <f>AND(Шахм!H92,"AAAAABZ2+i8=")</f>
        <v>#VALUE!</v>
      </c>
      <c r="AW14" t="e">
        <f>AND(Шахм!I92,"AAAAABZ2+jA=")</f>
        <v>#VALUE!</v>
      </c>
      <c r="AX14" t="e">
        <f>AND(Шахм!J92,"AAAAABZ2+jE=")</f>
        <v>#VALUE!</v>
      </c>
      <c r="AY14" t="e">
        <f>AND(Шахм!K92,"AAAAABZ2+jI=")</f>
        <v>#VALUE!</v>
      </c>
      <c r="AZ14" t="e">
        <f>AND(Шахм!L92,"AAAAABZ2+jM=")</f>
        <v>#VALUE!</v>
      </c>
      <c r="BA14" t="e">
        <f>AND(Шахм!M92,"AAAAABZ2+jQ=")</f>
        <v>#VALUE!</v>
      </c>
      <c r="BB14" t="e">
        <f>AND(Шахм!N92,"AAAAABZ2+jU=")</f>
        <v>#VALUE!</v>
      </c>
      <c r="BC14" t="e">
        <f>AND(Шахм!O92,"AAAAABZ2+jY=")</f>
        <v>#VALUE!</v>
      </c>
      <c r="BD14" t="e">
        <f>AND(Шахм!P92,"AAAAABZ2+jc=")</f>
        <v>#VALUE!</v>
      </c>
      <c r="BE14" t="e">
        <f>AND(Шахм!Q92,"AAAAABZ2+jg=")</f>
        <v>#VALUE!</v>
      </c>
      <c r="BF14" t="e">
        <f>AND(Шахм!R92,"AAAAABZ2+jk=")</f>
        <v>#VALUE!</v>
      </c>
      <c r="BG14" t="e">
        <f>AND(Шахм!S92,"AAAAABZ2+jo=")</f>
        <v>#VALUE!</v>
      </c>
      <c r="BH14" t="e">
        <f>AND(Шахм!T92,"AAAAABZ2+js=")</f>
        <v>#VALUE!</v>
      </c>
      <c r="BI14" t="e">
        <f>AND(Шахм!U92,"AAAAABZ2+jw=")</f>
        <v>#VALUE!</v>
      </c>
      <c r="BJ14" t="e">
        <f>AND(Шахм!V92,"AAAAABZ2+j0=")</f>
        <v>#VALUE!</v>
      </c>
      <c r="BK14" t="e">
        <f>AND(Шахм!W92,"AAAAABZ2+j4=")</f>
        <v>#VALUE!</v>
      </c>
      <c r="BL14" t="e">
        <f>AND(Шахм!X92,"AAAAABZ2+j8=")</f>
        <v>#VALUE!</v>
      </c>
      <c r="BM14" t="e">
        <f>AND(Шахм!Y92,"AAAAABZ2+kA=")</f>
        <v>#VALUE!</v>
      </c>
      <c r="BN14" t="e">
        <f>AND(Шахм!Z92,"AAAAABZ2+kE=")</f>
        <v>#VALUE!</v>
      </c>
      <c r="BO14" t="e">
        <f>AND(Шахм!AA92,"AAAAABZ2+kI=")</f>
        <v>#VALUE!</v>
      </c>
      <c r="BP14" t="e">
        <f>AND(Шахм!AB92,"AAAAABZ2+kM=")</f>
        <v>#VALUE!</v>
      </c>
      <c r="BQ14" t="e">
        <f>AND(Шахм!AC92,"AAAAABZ2+kQ=")</f>
        <v>#VALUE!</v>
      </c>
      <c r="BR14" t="e">
        <f>AND(Шахм!AD92,"AAAAABZ2+kU=")</f>
        <v>#VALUE!</v>
      </c>
      <c r="BS14" t="e">
        <f>AND(Шахм!AE92,"AAAAABZ2+kY=")</f>
        <v>#VALUE!</v>
      </c>
      <c r="BT14" t="e">
        <f>AND(Шахм!AF92,"AAAAABZ2+kc=")</f>
        <v>#VALUE!</v>
      </c>
      <c r="BU14" t="e">
        <f>AND(Шахм!AG92,"AAAAABZ2+kg=")</f>
        <v>#VALUE!</v>
      </c>
      <c r="BV14" t="e">
        <f>AND(Шахм!AH92,"AAAAABZ2+kk=")</f>
        <v>#VALUE!</v>
      </c>
      <c r="BW14" t="e">
        <f>AND(Шахм!AI92,"AAAAABZ2+ko=")</f>
        <v>#VALUE!</v>
      </c>
      <c r="BX14" t="e">
        <f>AND(Шахм!AJ92,"AAAAABZ2+ks=")</f>
        <v>#VALUE!</v>
      </c>
      <c r="BY14">
        <f>IF(Шахм!93:93,"AAAAABZ2+kw=",0)</f>
        <v>0</v>
      </c>
      <c r="BZ14" t="e">
        <f>AND(Шахм!A93,"AAAAABZ2+k0=")</f>
        <v>#VALUE!</v>
      </c>
      <c r="CA14" t="e">
        <f>AND(Шахм!B93,"AAAAABZ2+k4=")</f>
        <v>#VALUE!</v>
      </c>
      <c r="CB14" t="e">
        <f>AND(Шахм!C93,"AAAAABZ2+k8=")</f>
        <v>#VALUE!</v>
      </c>
      <c r="CC14" t="e">
        <f>AND(Шахм!D93,"AAAAABZ2+lA=")</f>
        <v>#VALUE!</v>
      </c>
      <c r="CD14" t="e">
        <f>AND(Шахм!E93,"AAAAABZ2+lE=")</f>
        <v>#VALUE!</v>
      </c>
      <c r="CE14" t="e">
        <f>AND(Шахм!F93,"AAAAABZ2+lI=")</f>
        <v>#VALUE!</v>
      </c>
      <c r="CF14" t="e">
        <f>AND(Шахм!G93,"AAAAABZ2+lM=")</f>
        <v>#VALUE!</v>
      </c>
      <c r="CG14" t="e">
        <f>AND(Шахм!H93,"AAAAABZ2+lQ=")</f>
        <v>#VALUE!</v>
      </c>
      <c r="CH14" t="e">
        <f>AND(Шахм!I93,"AAAAABZ2+lU=")</f>
        <v>#VALUE!</v>
      </c>
      <c r="CI14" t="e">
        <f>AND(Шахм!J93,"AAAAABZ2+lY=")</f>
        <v>#VALUE!</v>
      </c>
      <c r="CJ14" t="e">
        <f>AND(Шахм!K93,"AAAAABZ2+lc=")</f>
        <v>#VALUE!</v>
      </c>
      <c r="CK14" t="e">
        <f>AND(Шахм!L93,"AAAAABZ2+lg=")</f>
        <v>#VALUE!</v>
      </c>
      <c r="CL14" t="e">
        <f>AND(Шахм!M93,"AAAAABZ2+lk=")</f>
        <v>#VALUE!</v>
      </c>
      <c r="CM14" t="e">
        <f>AND(Шахм!N93,"AAAAABZ2+lo=")</f>
        <v>#VALUE!</v>
      </c>
      <c r="CN14" t="e">
        <f>AND(Шахм!O93,"AAAAABZ2+ls=")</f>
        <v>#VALUE!</v>
      </c>
      <c r="CO14" t="e">
        <f>AND(Шахм!P93,"AAAAABZ2+lw=")</f>
        <v>#VALUE!</v>
      </c>
      <c r="CP14" t="e">
        <f>AND(Шахм!Q93,"AAAAABZ2+l0=")</f>
        <v>#VALUE!</v>
      </c>
      <c r="CQ14" t="e">
        <f>AND(Шахм!R93,"AAAAABZ2+l4=")</f>
        <v>#VALUE!</v>
      </c>
      <c r="CR14" t="e">
        <f>AND(Шахм!S93,"AAAAABZ2+l8=")</f>
        <v>#VALUE!</v>
      </c>
      <c r="CS14" t="e">
        <f>AND(Шахм!T93,"AAAAABZ2+mA=")</f>
        <v>#VALUE!</v>
      </c>
      <c r="CT14" t="e">
        <f>AND(Шахм!U93,"AAAAABZ2+mE=")</f>
        <v>#VALUE!</v>
      </c>
      <c r="CU14" t="e">
        <f>AND(Шахм!V93,"AAAAABZ2+mI=")</f>
        <v>#VALUE!</v>
      </c>
      <c r="CV14" t="e">
        <f>AND(Шахм!W93,"AAAAABZ2+mM=")</f>
        <v>#VALUE!</v>
      </c>
      <c r="CW14" t="e">
        <f>AND(Шахм!X93,"AAAAABZ2+mQ=")</f>
        <v>#VALUE!</v>
      </c>
      <c r="CX14" t="e">
        <f>AND(Шахм!Y93,"AAAAABZ2+mU=")</f>
        <v>#VALUE!</v>
      </c>
      <c r="CY14" t="e">
        <f>AND(Шахм!Z93,"AAAAABZ2+mY=")</f>
        <v>#VALUE!</v>
      </c>
      <c r="CZ14" t="e">
        <f>AND(Шахм!AA93,"AAAAABZ2+mc=")</f>
        <v>#VALUE!</v>
      </c>
      <c r="DA14" t="e">
        <f>AND(Шахм!AB93,"AAAAABZ2+mg=")</f>
        <v>#VALUE!</v>
      </c>
      <c r="DB14" t="e">
        <f>AND(Шахм!AC93,"AAAAABZ2+mk=")</f>
        <v>#VALUE!</v>
      </c>
      <c r="DC14" t="e">
        <f>AND(Шахм!AD93,"AAAAABZ2+mo=")</f>
        <v>#VALUE!</v>
      </c>
      <c r="DD14" t="e">
        <f>AND(Шахм!AE93,"AAAAABZ2+ms=")</f>
        <v>#VALUE!</v>
      </c>
      <c r="DE14" t="e">
        <f>AND(Шахм!AF93,"AAAAABZ2+mw=")</f>
        <v>#VALUE!</v>
      </c>
      <c r="DF14" t="e">
        <f>AND(Шахм!AG93,"AAAAABZ2+m0=")</f>
        <v>#VALUE!</v>
      </c>
      <c r="DG14" t="e">
        <f>AND(Шахм!AH93,"AAAAABZ2+m4=")</f>
        <v>#VALUE!</v>
      </c>
      <c r="DH14" t="e">
        <f>AND(Шахм!AI93,"AAAAABZ2+m8=")</f>
        <v>#VALUE!</v>
      </c>
      <c r="DI14" t="e">
        <f>AND(Шахм!AJ93,"AAAAABZ2+nA=")</f>
        <v>#VALUE!</v>
      </c>
      <c r="DJ14">
        <f>IF(Шахм!94:94,"AAAAABZ2+nE=",0)</f>
        <v>0</v>
      </c>
      <c r="DK14" t="e">
        <f>AND(Шахм!A94,"AAAAABZ2+nI=")</f>
        <v>#VALUE!</v>
      </c>
      <c r="DL14" t="e">
        <f>AND(Шахм!B94,"AAAAABZ2+nM=")</f>
        <v>#VALUE!</v>
      </c>
      <c r="DM14" t="e">
        <f>AND(Шахм!C94,"AAAAABZ2+nQ=")</f>
        <v>#VALUE!</v>
      </c>
      <c r="DN14" t="e">
        <f>AND(Шахм!D94,"AAAAABZ2+nU=")</f>
        <v>#VALUE!</v>
      </c>
      <c r="DO14" t="e">
        <f>AND(Шахм!E94,"AAAAABZ2+nY=")</f>
        <v>#VALUE!</v>
      </c>
      <c r="DP14" t="e">
        <f>AND(Шахм!F94,"AAAAABZ2+nc=")</f>
        <v>#VALUE!</v>
      </c>
      <c r="DQ14" t="e">
        <f>AND(Шахм!G94,"AAAAABZ2+ng=")</f>
        <v>#VALUE!</v>
      </c>
      <c r="DR14" t="e">
        <f>AND(Шахм!H94,"AAAAABZ2+nk=")</f>
        <v>#VALUE!</v>
      </c>
      <c r="DS14" t="e">
        <f>AND(Шахм!I94,"AAAAABZ2+no=")</f>
        <v>#VALUE!</v>
      </c>
      <c r="DT14" t="e">
        <f>AND(Шахм!J94,"AAAAABZ2+ns=")</f>
        <v>#VALUE!</v>
      </c>
      <c r="DU14" t="e">
        <f>AND(Шахм!K94,"AAAAABZ2+nw=")</f>
        <v>#VALUE!</v>
      </c>
      <c r="DV14" t="e">
        <f>AND(Шахм!L94,"AAAAABZ2+n0=")</f>
        <v>#VALUE!</v>
      </c>
      <c r="DW14" t="e">
        <f>AND(Шахм!M94,"AAAAABZ2+n4=")</f>
        <v>#VALUE!</v>
      </c>
      <c r="DX14" t="e">
        <f>AND(Шахм!N94,"AAAAABZ2+n8=")</f>
        <v>#VALUE!</v>
      </c>
      <c r="DY14" t="e">
        <f>AND(Шахм!O94,"AAAAABZ2+oA=")</f>
        <v>#VALUE!</v>
      </c>
      <c r="DZ14" t="e">
        <f>AND(Шахм!P94,"AAAAABZ2+oE=")</f>
        <v>#VALUE!</v>
      </c>
      <c r="EA14" t="e">
        <f>AND(Шахм!Q94,"AAAAABZ2+oI=")</f>
        <v>#VALUE!</v>
      </c>
      <c r="EB14" t="e">
        <f>AND(Шахм!R94,"AAAAABZ2+oM=")</f>
        <v>#VALUE!</v>
      </c>
      <c r="EC14" t="e">
        <f>AND(Шахм!S94,"AAAAABZ2+oQ=")</f>
        <v>#VALUE!</v>
      </c>
      <c r="ED14" t="e">
        <f>AND(Шахм!T94,"AAAAABZ2+oU=")</f>
        <v>#VALUE!</v>
      </c>
      <c r="EE14" t="e">
        <f>AND(Шахм!U94,"AAAAABZ2+oY=")</f>
        <v>#VALUE!</v>
      </c>
      <c r="EF14" t="e">
        <f>AND(Шахм!V94,"AAAAABZ2+oc=")</f>
        <v>#VALUE!</v>
      </c>
      <c r="EG14" t="e">
        <f>AND(Шахм!W94,"AAAAABZ2+og=")</f>
        <v>#VALUE!</v>
      </c>
      <c r="EH14" t="e">
        <f>AND(Шахм!X94,"AAAAABZ2+ok=")</f>
        <v>#VALUE!</v>
      </c>
      <c r="EI14" t="e">
        <f>AND(Шахм!Y94,"AAAAABZ2+oo=")</f>
        <v>#VALUE!</v>
      </c>
      <c r="EJ14" t="e">
        <f>AND(Шахм!Z94,"AAAAABZ2+os=")</f>
        <v>#VALUE!</v>
      </c>
      <c r="EK14" t="e">
        <f>AND(Шахм!AA94,"AAAAABZ2+ow=")</f>
        <v>#VALUE!</v>
      </c>
      <c r="EL14" t="e">
        <f>AND(Шахм!AB94,"AAAAABZ2+o0=")</f>
        <v>#VALUE!</v>
      </c>
      <c r="EM14" t="e">
        <f>AND(Шахм!AC94,"AAAAABZ2+o4=")</f>
        <v>#VALUE!</v>
      </c>
      <c r="EN14" t="e">
        <f>AND(Шахм!AD94,"AAAAABZ2+o8=")</f>
        <v>#VALUE!</v>
      </c>
      <c r="EO14" t="e">
        <f>AND(Шахм!AE94,"AAAAABZ2+pA=")</f>
        <v>#VALUE!</v>
      </c>
      <c r="EP14" t="e">
        <f>AND(Шахм!AF94,"AAAAABZ2+pE=")</f>
        <v>#VALUE!</v>
      </c>
      <c r="EQ14" t="e">
        <f>AND(Шахм!AG94,"AAAAABZ2+pI=")</f>
        <v>#VALUE!</v>
      </c>
      <c r="ER14" t="e">
        <f>AND(Шахм!AH94,"AAAAABZ2+pM=")</f>
        <v>#VALUE!</v>
      </c>
      <c r="ES14" t="e">
        <f>AND(Шахм!AI94,"AAAAABZ2+pQ=")</f>
        <v>#VALUE!</v>
      </c>
      <c r="ET14" t="e">
        <f>AND(Шахм!AJ94,"AAAAABZ2+pU=")</f>
        <v>#VALUE!</v>
      </c>
      <c r="EU14">
        <f>IF(Шахм!95:95,"AAAAABZ2+pY=",0)</f>
        <v>0</v>
      </c>
      <c r="EV14" t="e">
        <f>AND(Шахм!A95,"AAAAABZ2+pc=")</f>
        <v>#VALUE!</v>
      </c>
      <c r="EW14" t="e">
        <f>AND(Шахм!B95,"AAAAABZ2+pg=")</f>
        <v>#VALUE!</v>
      </c>
      <c r="EX14" t="e">
        <f>AND(Шахм!C95,"AAAAABZ2+pk=")</f>
        <v>#VALUE!</v>
      </c>
      <c r="EY14" t="e">
        <f>AND(Шахм!D95,"AAAAABZ2+po=")</f>
        <v>#VALUE!</v>
      </c>
      <c r="EZ14" t="e">
        <f>AND(Шахм!E95,"AAAAABZ2+ps=")</f>
        <v>#VALUE!</v>
      </c>
      <c r="FA14" t="e">
        <f>AND(Шахм!F95,"AAAAABZ2+pw=")</f>
        <v>#VALUE!</v>
      </c>
      <c r="FB14" t="e">
        <f>AND(Шахм!G95,"AAAAABZ2+p0=")</f>
        <v>#VALUE!</v>
      </c>
      <c r="FC14" t="e">
        <f>AND(Шахм!H95,"AAAAABZ2+p4=")</f>
        <v>#VALUE!</v>
      </c>
      <c r="FD14" t="e">
        <f>AND(Шахм!I95,"AAAAABZ2+p8=")</f>
        <v>#VALUE!</v>
      </c>
      <c r="FE14" t="e">
        <f>AND(Шахм!J95,"AAAAABZ2+qA=")</f>
        <v>#VALUE!</v>
      </c>
      <c r="FF14" t="e">
        <f>AND(Шахм!K95,"AAAAABZ2+qE=")</f>
        <v>#VALUE!</v>
      </c>
      <c r="FG14" t="e">
        <f>AND(Шахм!L95,"AAAAABZ2+qI=")</f>
        <v>#VALUE!</v>
      </c>
      <c r="FH14" t="e">
        <f>AND(Шахм!M95,"AAAAABZ2+qM=")</f>
        <v>#VALUE!</v>
      </c>
      <c r="FI14" t="e">
        <f>AND(Шахм!N95,"AAAAABZ2+qQ=")</f>
        <v>#VALUE!</v>
      </c>
      <c r="FJ14" t="e">
        <f>AND(Шахм!O95,"AAAAABZ2+qU=")</f>
        <v>#VALUE!</v>
      </c>
      <c r="FK14" t="e">
        <f>AND(Шахм!P95,"AAAAABZ2+qY=")</f>
        <v>#VALUE!</v>
      </c>
      <c r="FL14" t="e">
        <f>AND(Шахм!Q95,"AAAAABZ2+qc=")</f>
        <v>#VALUE!</v>
      </c>
      <c r="FM14" t="e">
        <f>AND(Шахм!R95,"AAAAABZ2+qg=")</f>
        <v>#VALUE!</v>
      </c>
      <c r="FN14" t="e">
        <f>AND(Шахм!S95,"AAAAABZ2+qk=")</f>
        <v>#VALUE!</v>
      </c>
      <c r="FO14" t="e">
        <f>AND(Шахм!T95,"AAAAABZ2+qo=")</f>
        <v>#VALUE!</v>
      </c>
      <c r="FP14" t="e">
        <f>AND(Шахм!U95,"AAAAABZ2+qs=")</f>
        <v>#VALUE!</v>
      </c>
      <c r="FQ14" t="e">
        <f>AND(Шахм!V95,"AAAAABZ2+qw=")</f>
        <v>#VALUE!</v>
      </c>
      <c r="FR14" t="e">
        <f>AND(Шахм!W95,"AAAAABZ2+q0=")</f>
        <v>#VALUE!</v>
      </c>
      <c r="FS14" t="e">
        <f>AND(Шахм!X95,"AAAAABZ2+q4=")</f>
        <v>#VALUE!</v>
      </c>
      <c r="FT14" t="e">
        <f>AND(Шахм!Y95,"AAAAABZ2+q8=")</f>
        <v>#VALUE!</v>
      </c>
      <c r="FU14" t="e">
        <f>AND(Шахм!Z95,"AAAAABZ2+rA=")</f>
        <v>#VALUE!</v>
      </c>
      <c r="FV14" t="e">
        <f>AND(Шахм!AA95,"AAAAABZ2+rE=")</f>
        <v>#VALUE!</v>
      </c>
      <c r="FW14" t="e">
        <f>AND(Шахм!AB95,"AAAAABZ2+rI=")</f>
        <v>#VALUE!</v>
      </c>
      <c r="FX14" t="e">
        <f>AND(Шахм!AC95,"AAAAABZ2+rM=")</f>
        <v>#VALUE!</v>
      </c>
      <c r="FY14" t="e">
        <f>AND(Шахм!AD95,"AAAAABZ2+rQ=")</f>
        <v>#VALUE!</v>
      </c>
      <c r="FZ14" t="e">
        <f>AND(Шахм!AE95,"AAAAABZ2+rU=")</f>
        <v>#VALUE!</v>
      </c>
      <c r="GA14" t="e">
        <f>AND(Шахм!AF95,"AAAAABZ2+rY=")</f>
        <v>#VALUE!</v>
      </c>
      <c r="GB14" t="e">
        <f>AND(Шахм!AG95,"AAAAABZ2+rc=")</f>
        <v>#VALUE!</v>
      </c>
      <c r="GC14" t="e">
        <f>AND(Шахм!AH95,"AAAAABZ2+rg=")</f>
        <v>#VALUE!</v>
      </c>
      <c r="GD14" t="e">
        <f>AND(Шахм!AI95,"AAAAABZ2+rk=")</f>
        <v>#VALUE!</v>
      </c>
      <c r="GE14" t="e">
        <f>AND(Шахм!AJ95,"AAAAABZ2+ro=")</f>
        <v>#VALUE!</v>
      </c>
      <c r="GF14">
        <f>IF(Шахм!96:96,"AAAAABZ2+rs=",0)</f>
        <v>0</v>
      </c>
      <c r="GG14" t="e">
        <f>AND(Шахм!A96,"AAAAABZ2+rw=")</f>
        <v>#VALUE!</v>
      </c>
      <c r="GH14" t="e">
        <f>AND(Шахм!B96,"AAAAABZ2+r0=")</f>
        <v>#VALUE!</v>
      </c>
      <c r="GI14" t="e">
        <f>AND(Шахм!C96,"AAAAABZ2+r4=")</f>
        <v>#VALUE!</v>
      </c>
      <c r="GJ14" t="e">
        <f>AND(Шахм!D96,"AAAAABZ2+r8=")</f>
        <v>#VALUE!</v>
      </c>
      <c r="GK14" t="e">
        <f>AND(Шахм!E96,"AAAAABZ2+sA=")</f>
        <v>#VALUE!</v>
      </c>
      <c r="GL14" t="e">
        <f>AND(Шахм!F96,"AAAAABZ2+sE=")</f>
        <v>#VALUE!</v>
      </c>
      <c r="GM14" t="e">
        <f>AND(Шахм!G96,"AAAAABZ2+sI=")</f>
        <v>#VALUE!</v>
      </c>
      <c r="GN14" t="e">
        <f>AND(Шахм!H96,"AAAAABZ2+sM=")</f>
        <v>#VALUE!</v>
      </c>
      <c r="GO14" t="e">
        <f>AND(Шахм!I96,"AAAAABZ2+sQ=")</f>
        <v>#VALUE!</v>
      </c>
      <c r="GP14" t="e">
        <f>AND(Шахм!J96,"AAAAABZ2+sU=")</f>
        <v>#VALUE!</v>
      </c>
      <c r="GQ14" t="e">
        <f>AND(Шахм!K96,"AAAAABZ2+sY=")</f>
        <v>#VALUE!</v>
      </c>
      <c r="GR14" t="e">
        <f>AND(Шахм!L96,"AAAAABZ2+sc=")</f>
        <v>#VALUE!</v>
      </c>
      <c r="GS14" t="e">
        <f>AND(Шахм!M96,"AAAAABZ2+sg=")</f>
        <v>#VALUE!</v>
      </c>
      <c r="GT14" t="e">
        <f>AND(Шахм!N96,"AAAAABZ2+sk=")</f>
        <v>#VALUE!</v>
      </c>
      <c r="GU14" t="e">
        <f>AND(Шахм!O96,"AAAAABZ2+so=")</f>
        <v>#VALUE!</v>
      </c>
      <c r="GV14" t="e">
        <f>AND(Шахм!P96,"AAAAABZ2+ss=")</f>
        <v>#VALUE!</v>
      </c>
      <c r="GW14" t="e">
        <f>AND(Шахм!Q96,"AAAAABZ2+sw=")</f>
        <v>#VALUE!</v>
      </c>
      <c r="GX14" t="e">
        <f>AND(Шахм!R96,"AAAAABZ2+s0=")</f>
        <v>#VALUE!</v>
      </c>
      <c r="GY14" t="e">
        <f>AND(Шахм!S96,"AAAAABZ2+s4=")</f>
        <v>#VALUE!</v>
      </c>
      <c r="GZ14" t="e">
        <f>AND(Шахм!T96,"AAAAABZ2+s8=")</f>
        <v>#VALUE!</v>
      </c>
      <c r="HA14" t="e">
        <f>AND(Шахм!U96,"AAAAABZ2+tA=")</f>
        <v>#VALUE!</v>
      </c>
      <c r="HB14" t="e">
        <f>AND(Шахм!V96,"AAAAABZ2+tE=")</f>
        <v>#VALUE!</v>
      </c>
      <c r="HC14" t="e">
        <f>AND(Шахм!W96,"AAAAABZ2+tI=")</f>
        <v>#VALUE!</v>
      </c>
      <c r="HD14" t="e">
        <f>AND(Шахм!X96,"AAAAABZ2+tM=")</f>
        <v>#VALUE!</v>
      </c>
      <c r="HE14" t="e">
        <f>AND(Шахм!Y96,"AAAAABZ2+tQ=")</f>
        <v>#VALUE!</v>
      </c>
      <c r="HF14" t="e">
        <f>AND(Шахм!Z96,"AAAAABZ2+tU=")</f>
        <v>#VALUE!</v>
      </c>
      <c r="HG14" t="e">
        <f>AND(Шахм!AA96,"AAAAABZ2+tY=")</f>
        <v>#VALUE!</v>
      </c>
      <c r="HH14" t="e">
        <f>AND(Шахм!AB96,"AAAAABZ2+tc=")</f>
        <v>#VALUE!</v>
      </c>
      <c r="HI14" t="e">
        <f>AND(Шахм!AC96,"AAAAABZ2+tg=")</f>
        <v>#VALUE!</v>
      </c>
      <c r="HJ14" t="e">
        <f>AND(Шахм!AD96,"AAAAABZ2+tk=")</f>
        <v>#VALUE!</v>
      </c>
      <c r="HK14" t="e">
        <f>AND(Шахм!AE96,"AAAAABZ2+to=")</f>
        <v>#VALUE!</v>
      </c>
      <c r="HL14" t="e">
        <f>AND(Шахм!AF96,"AAAAABZ2+ts=")</f>
        <v>#VALUE!</v>
      </c>
      <c r="HM14" t="e">
        <f>AND(Шахм!AG96,"AAAAABZ2+tw=")</f>
        <v>#VALUE!</v>
      </c>
      <c r="HN14" t="e">
        <f>AND(Шахм!AH96,"AAAAABZ2+t0=")</f>
        <v>#VALUE!</v>
      </c>
      <c r="HO14" t="e">
        <f>AND(Шахм!AI96,"AAAAABZ2+t4=")</f>
        <v>#VALUE!</v>
      </c>
      <c r="HP14" t="e">
        <f>AND(Шахм!AJ96,"AAAAABZ2+t8=")</f>
        <v>#VALUE!</v>
      </c>
      <c r="HQ14">
        <f>IF(Шахм!97:97,"AAAAABZ2+uA=",0)</f>
        <v>0</v>
      </c>
      <c r="HR14" t="e">
        <f>AND(Шахм!A97,"AAAAABZ2+uE=")</f>
        <v>#VALUE!</v>
      </c>
      <c r="HS14" t="e">
        <f>AND(Шахм!B97,"AAAAABZ2+uI=")</f>
        <v>#VALUE!</v>
      </c>
      <c r="HT14" t="e">
        <f>AND(Шахм!C97,"AAAAABZ2+uM=")</f>
        <v>#VALUE!</v>
      </c>
      <c r="HU14" t="e">
        <f>AND(Шахм!D97,"AAAAABZ2+uQ=")</f>
        <v>#VALUE!</v>
      </c>
      <c r="HV14" t="e">
        <f>AND(Шахм!E97,"AAAAABZ2+uU=")</f>
        <v>#VALUE!</v>
      </c>
      <c r="HW14" t="e">
        <f>AND(Шахм!F97,"AAAAABZ2+uY=")</f>
        <v>#VALUE!</v>
      </c>
      <c r="HX14" t="e">
        <f>AND(Шахм!G97,"AAAAABZ2+uc=")</f>
        <v>#VALUE!</v>
      </c>
      <c r="HY14" t="e">
        <f>AND(Шахм!H97,"AAAAABZ2+ug=")</f>
        <v>#VALUE!</v>
      </c>
      <c r="HZ14" t="e">
        <f>AND(Шахм!I97,"AAAAABZ2+uk=")</f>
        <v>#VALUE!</v>
      </c>
      <c r="IA14" t="e">
        <f>AND(Шахм!J97,"AAAAABZ2+uo=")</f>
        <v>#VALUE!</v>
      </c>
      <c r="IB14" t="e">
        <f>AND(Шахм!K97,"AAAAABZ2+us=")</f>
        <v>#VALUE!</v>
      </c>
      <c r="IC14" t="e">
        <f>AND(Шахм!L97,"AAAAABZ2+uw=")</f>
        <v>#VALUE!</v>
      </c>
      <c r="ID14" t="e">
        <f>AND(Шахм!M97,"AAAAABZ2+u0=")</f>
        <v>#VALUE!</v>
      </c>
      <c r="IE14" t="e">
        <f>AND(Шахм!N97,"AAAAABZ2+u4=")</f>
        <v>#VALUE!</v>
      </c>
      <c r="IF14" t="e">
        <f>AND(Шахм!O97,"AAAAABZ2+u8=")</f>
        <v>#VALUE!</v>
      </c>
      <c r="IG14" t="e">
        <f>AND(Шахм!P97,"AAAAABZ2+vA=")</f>
        <v>#VALUE!</v>
      </c>
      <c r="IH14" t="e">
        <f>AND(Шахм!Q97,"AAAAABZ2+vE=")</f>
        <v>#VALUE!</v>
      </c>
      <c r="II14" t="e">
        <f>AND(Шахм!R97,"AAAAABZ2+vI=")</f>
        <v>#VALUE!</v>
      </c>
      <c r="IJ14" t="e">
        <f>AND(Шахм!S97,"AAAAABZ2+vM=")</f>
        <v>#VALUE!</v>
      </c>
      <c r="IK14" t="e">
        <f>AND(Шахм!T97,"AAAAABZ2+vQ=")</f>
        <v>#VALUE!</v>
      </c>
      <c r="IL14" t="e">
        <f>AND(Шахм!U97,"AAAAABZ2+vU=")</f>
        <v>#VALUE!</v>
      </c>
      <c r="IM14" t="e">
        <f>AND(Шахм!V97,"AAAAABZ2+vY=")</f>
        <v>#VALUE!</v>
      </c>
      <c r="IN14" t="e">
        <f>AND(Шахм!W97,"AAAAABZ2+vc=")</f>
        <v>#VALUE!</v>
      </c>
      <c r="IO14" t="e">
        <f>AND(Шахм!X97,"AAAAABZ2+vg=")</f>
        <v>#VALUE!</v>
      </c>
      <c r="IP14" t="e">
        <f>AND(Шахм!Y97,"AAAAABZ2+vk=")</f>
        <v>#VALUE!</v>
      </c>
      <c r="IQ14" t="e">
        <f>AND(Шахм!Z97,"AAAAABZ2+vo=")</f>
        <v>#VALUE!</v>
      </c>
      <c r="IR14" t="e">
        <f>AND(Шахм!AA97,"AAAAABZ2+vs=")</f>
        <v>#VALUE!</v>
      </c>
      <c r="IS14" t="e">
        <f>AND(Шахм!AB97,"AAAAABZ2+vw=")</f>
        <v>#VALUE!</v>
      </c>
      <c r="IT14" t="e">
        <f>AND(Шахм!AC97,"AAAAABZ2+v0=")</f>
        <v>#VALUE!</v>
      </c>
      <c r="IU14" t="e">
        <f>AND(Шахм!AD97,"AAAAABZ2+v4=")</f>
        <v>#VALUE!</v>
      </c>
      <c r="IV14" t="e">
        <f>AND(Шахм!AE97,"AAAAABZ2+v8=")</f>
        <v>#VALUE!</v>
      </c>
    </row>
    <row r="15" spans="1:256">
      <c r="A15" t="e">
        <f>AND(Шахм!AF97,"AAAAAEvbsgA=")</f>
        <v>#VALUE!</v>
      </c>
      <c r="B15" t="e">
        <f>AND(Шахм!AG97,"AAAAAEvbsgE=")</f>
        <v>#VALUE!</v>
      </c>
      <c r="C15" t="e">
        <f>AND(Шахм!AH97,"AAAAAEvbsgI=")</f>
        <v>#VALUE!</v>
      </c>
      <c r="D15" t="e">
        <f>AND(Шахм!AI97,"AAAAAEvbsgM=")</f>
        <v>#VALUE!</v>
      </c>
      <c r="E15" t="e">
        <f>AND(Шахм!AJ97,"AAAAAEvbsgQ=")</f>
        <v>#VALUE!</v>
      </c>
      <c r="F15">
        <f>IF(Шахм!98:98,"AAAAAEvbsgU=",0)</f>
        <v>0</v>
      </c>
      <c r="G15" t="e">
        <f>AND(Шахм!A98,"AAAAAEvbsgY=")</f>
        <v>#VALUE!</v>
      </c>
      <c r="H15" t="e">
        <f>AND(Шахм!B98,"AAAAAEvbsgc=")</f>
        <v>#VALUE!</v>
      </c>
      <c r="I15" t="e">
        <f>AND(Шахм!C98,"AAAAAEvbsgg=")</f>
        <v>#VALUE!</v>
      </c>
      <c r="J15" t="e">
        <f>AND(Шахм!D98,"AAAAAEvbsgk=")</f>
        <v>#VALUE!</v>
      </c>
      <c r="K15" t="e">
        <f>AND(Шахм!E98,"AAAAAEvbsgo=")</f>
        <v>#VALUE!</v>
      </c>
      <c r="L15" t="e">
        <f>AND(Шахм!F98,"AAAAAEvbsgs=")</f>
        <v>#VALUE!</v>
      </c>
      <c r="M15" t="e">
        <f>AND(Шахм!G98,"AAAAAEvbsgw=")</f>
        <v>#VALUE!</v>
      </c>
      <c r="N15" t="e">
        <f>AND(Шахм!H98,"AAAAAEvbsg0=")</f>
        <v>#VALUE!</v>
      </c>
      <c r="O15" t="e">
        <f>AND(Шахм!I98,"AAAAAEvbsg4=")</f>
        <v>#VALUE!</v>
      </c>
      <c r="P15" t="e">
        <f>AND(Шахм!J98,"AAAAAEvbsg8=")</f>
        <v>#VALUE!</v>
      </c>
      <c r="Q15" t="e">
        <f>AND(Шахм!K98,"AAAAAEvbshA=")</f>
        <v>#VALUE!</v>
      </c>
      <c r="R15" t="e">
        <f>AND(Шахм!L98,"AAAAAEvbshE=")</f>
        <v>#VALUE!</v>
      </c>
      <c r="S15" t="e">
        <f>AND(Шахм!M98,"AAAAAEvbshI=")</f>
        <v>#VALUE!</v>
      </c>
      <c r="T15" t="e">
        <f>AND(Шахм!N98,"AAAAAEvbshM=")</f>
        <v>#VALUE!</v>
      </c>
      <c r="U15" t="e">
        <f>AND(Шахм!O98,"AAAAAEvbshQ=")</f>
        <v>#VALUE!</v>
      </c>
      <c r="V15" t="e">
        <f>AND(Шахм!P98,"AAAAAEvbshU=")</f>
        <v>#VALUE!</v>
      </c>
      <c r="W15" t="e">
        <f>AND(Шахм!Q98,"AAAAAEvbshY=")</f>
        <v>#VALUE!</v>
      </c>
      <c r="X15" t="e">
        <f>AND(Шахм!R98,"AAAAAEvbshc=")</f>
        <v>#VALUE!</v>
      </c>
      <c r="Y15" t="e">
        <f>AND(Шахм!S98,"AAAAAEvbshg=")</f>
        <v>#VALUE!</v>
      </c>
      <c r="Z15" t="e">
        <f>AND(Шахм!T98,"AAAAAEvbshk=")</f>
        <v>#VALUE!</v>
      </c>
      <c r="AA15" t="e">
        <f>AND(Шахм!U98,"AAAAAEvbsho=")</f>
        <v>#VALUE!</v>
      </c>
      <c r="AB15" t="e">
        <f>AND(Шахм!V98,"AAAAAEvbshs=")</f>
        <v>#VALUE!</v>
      </c>
      <c r="AC15" t="e">
        <f>AND(Шахм!W98,"AAAAAEvbshw=")</f>
        <v>#VALUE!</v>
      </c>
      <c r="AD15" t="e">
        <f>AND(Шахм!X98,"AAAAAEvbsh0=")</f>
        <v>#VALUE!</v>
      </c>
      <c r="AE15" t="e">
        <f>AND(Шахм!Y98,"AAAAAEvbsh4=")</f>
        <v>#VALUE!</v>
      </c>
      <c r="AF15" t="e">
        <f>AND(Шахм!Z98,"AAAAAEvbsh8=")</f>
        <v>#VALUE!</v>
      </c>
      <c r="AG15" t="e">
        <f>AND(Шахм!AA98,"AAAAAEvbsiA=")</f>
        <v>#VALUE!</v>
      </c>
      <c r="AH15" t="e">
        <f>AND(Шахм!AB98,"AAAAAEvbsiE=")</f>
        <v>#VALUE!</v>
      </c>
      <c r="AI15" t="e">
        <f>AND(Шахм!AC98,"AAAAAEvbsiI=")</f>
        <v>#VALUE!</v>
      </c>
      <c r="AJ15" t="e">
        <f>AND(Шахм!AD98,"AAAAAEvbsiM=")</f>
        <v>#VALUE!</v>
      </c>
      <c r="AK15" t="e">
        <f>AND(Шахм!AE98,"AAAAAEvbsiQ=")</f>
        <v>#VALUE!</v>
      </c>
      <c r="AL15" t="e">
        <f>AND(Шахм!AF98,"AAAAAEvbsiU=")</f>
        <v>#VALUE!</v>
      </c>
      <c r="AM15" t="e">
        <f>AND(Шахм!AG98,"AAAAAEvbsiY=")</f>
        <v>#VALUE!</v>
      </c>
      <c r="AN15" t="e">
        <f>AND(Шахм!AH98,"AAAAAEvbsic=")</f>
        <v>#VALUE!</v>
      </c>
      <c r="AO15" t="e">
        <f>AND(Шахм!AI98,"AAAAAEvbsig=")</f>
        <v>#VALUE!</v>
      </c>
      <c r="AP15" t="e">
        <f>AND(Шахм!AJ98,"AAAAAEvbsik=")</f>
        <v>#VALUE!</v>
      </c>
      <c r="AQ15">
        <f>IF(Шахм!99:99,"AAAAAEvbsio=",0)</f>
        <v>0</v>
      </c>
      <c r="AR15" t="e">
        <f>AND(Шахм!A99,"AAAAAEvbsis=")</f>
        <v>#VALUE!</v>
      </c>
      <c r="AS15" t="e">
        <f>AND(Шахм!B99,"AAAAAEvbsiw=")</f>
        <v>#VALUE!</v>
      </c>
      <c r="AT15" t="e">
        <f>AND(Шахм!C99,"AAAAAEvbsi0=")</f>
        <v>#VALUE!</v>
      </c>
      <c r="AU15" t="e">
        <f>AND(Шахм!D99,"AAAAAEvbsi4=")</f>
        <v>#VALUE!</v>
      </c>
      <c r="AV15" t="e">
        <f>AND(Шахм!E99,"AAAAAEvbsi8=")</f>
        <v>#VALUE!</v>
      </c>
      <c r="AW15" t="e">
        <f>AND(Шахм!F99,"AAAAAEvbsjA=")</f>
        <v>#VALUE!</v>
      </c>
      <c r="AX15" t="e">
        <f>AND(Шахм!G99,"AAAAAEvbsjE=")</f>
        <v>#VALUE!</v>
      </c>
      <c r="AY15" t="e">
        <f>AND(Шахм!H99,"AAAAAEvbsjI=")</f>
        <v>#VALUE!</v>
      </c>
      <c r="AZ15" t="e">
        <f>AND(Шахм!I99,"AAAAAEvbsjM=")</f>
        <v>#VALUE!</v>
      </c>
      <c r="BA15" t="e">
        <f>AND(Шахм!J99,"AAAAAEvbsjQ=")</f>
        <v>#VALUE!</v>
      </c>
      <c r="BB15" t="e">
        <f>AND(Шахм!K99,"AAAAAEvbsjU=")</f>
        <v>#VALUE!</v>
      </c>
      <c r="BC15" t="e">
        <f>AND(Шахм!L99,"AAAAAEvbsjY=")</f>
        <v>#VALUE!</v>
      </c>
      <c r="BD15" t="e">
        <f>AND(Шахм!M99,"AAAAAEvbsjc=")</f>
        <v>#VALUE!</v>
      </c>
      <c r="BE15" t="e">
        <f>AND(Шахм!N99,"AAAAAEvbsjg=")</f>
        <v>#VALUE!</v>
      </c>
      <c r="BF15" t="e">
        <f>AND(Шахм!O99,"AAAAAEvbsjk=")</f>
        <v>#VALUE!</v>
      </c>
      <c r="BG15" t="e">
        <f>AND(Шахм!P99,"AAAAAEvbsjo=")</f>
        <v>#VALUE!</v>
      </c>
      <c r="BH15" t="e">
        <f>AND(Шахм!Q99,"AAAAAEvbsjs=")</f>
        <v>#VALUE!</v>
      </c>
      <c r="BI15" t="e">
        <f>AND(Шахм!R99,"AAAAAEvbsjw=")</f>
        <v>#VALUE!</v>
      </c>
      <c r="BJ15" t="e">
        <f>AND(Шахм!S99,"AAAAAEvbsj0=")</f>
        <v>#VALUE!</v>
      </c>
      <c r="BK15" t="e">
        <f>AND(Шахм!T99,"AAAAAEvbsj4=")</f>
        <v>#VALUE!</v>
      </c>
      <c r="BL15" t="e">
        <f>AND(Шахм!U99,"AAAAAEvbsj8=")</f>
        <v>#VALUE!</v>
      </c>
      <c r="BM15" t="e">
        <f>AND(Шахм!V99,"AAAAAEvbskA=")</f>
        <v>#VALUE!</v>
      </c>
      <c r="BN15" t="e">
        <f>AND(Шахм!W99,"AAAAAEvbskE=")</f>
        <v>#VALUE!</v>
      </c>
      <c r="BO15" t="e">
        <f>AND(Шахм!X99,"AAAAAEvbskI=")</f>
        <v>#VALUE!</v>
      </c>
      <c r="BP15" t="e">
        <f>AND(Шахм!Y99,"AAAAAEvbskM=")</f>
        <v>#VALUE!</v>
      </c>
      <c r="BQ15" t="e">
        <f>AND(Шахм!Z99,"AAAAAEvbskQ=")</f>
        <v>#VALUE!</v>
      </c>
      <c r="BR15" t="e">
        <f>AND(Шахм!AA99,"AAAAAEvbskU=")</f>
        <v>#VALUE!</v>
      </c>
      <c r="BS15" t="e">
        <f>AND(Шахм!AB99,"AAAAAEvbskY=")</f>
        <v>#VALUE!</v>
      </c>
      <c r="BT15" t="e">
        <f>AND(Шахм!AC99,"AAAAAEvbskc=")</f>
        <v>#VALUE!</v>
      </c>
      <c r="BU15" t="e">
        <f>AND(Шахм!AD99,"AAAAAEvbskg=")</f>
        <v>#VALUE!</v>
      </c>
      <c r="BV15" t="e">
        <f>AND(Шахм!AE99,"AAAAAEvbskk=")</f>
        <v>#VALUE!</v>
      </c>
      <c r="BW15" t="e">
        <f>AND(Шахм!AF99,"AAAAAEvbsko=")</f>
        <v>#VALUE!</v>
      </c>
      <c r="BX15" t="e">
        <f>AND(Шахм!AG99,"AAAAAEvbsks=")</f>
        <v>#VALUE!</v>
      </c>
      <c r="BY15" t="e">
        <f>AND(Шахм!AH99,"AAAAAEvbskw=")</f>
        <v>#VALUE!</v>
      </c>
      <c r="BZ15" t="e">
        <f>AND(Шахм!AI99,"AAAAAEvbsk0=")</f>
        <v>#VALUE!</v>
      </c>
      <c r="CA15" t="e">
        <f>AND(Шахм!AJ99,"AAAAAEvbsk4=")</f>
        <v>#VALUE!</v>
      </c>
      <c r="CB15">
        <f>IF(Шахм!100:100,"AAAAAEvbsk8=",0)</f>
        <v>0</v>
      </c>
      <c r="CC15" t="e">
        <f>AND(Шахм!A100,"AAAAAEvbslA=")</f>
        <v>#VALUE!</v>
      </c>
      <c r="CD15" t="e">
        <f>AND(Шахм!B100,"AAAAAEvbslE=")</f>
        <v>#VALUE!</v>
      </c>
      <c r="CE15" t="e">
        <f>AND(Шахм!C100,"AAAAAEvbslI=")</f>
        <v>#VALUE!</v>
      </c>
      <c r="CF15" t="e">
        <f>AND(Шахм!D100,"AAAAAEvbslM=")</f>
        <v>#VALUE!</v>
      </c>
      <c r="CG15" t="e">
        <f>AND(Шахм!E100,"AAAAAEvbslQ=")</f>
        <v>#VALUE!</v>
      </c>
      <c r="CH15" t="e">
        <f>AND(Шахм!F100,"AAAAAEvbslU=")</f>
        <v>#VALUE!</v>
      </c>
      <c r="CI15" t="e">
        <f>AND(Шахм!G100,"AAAAAEvbslY=")</f>
        <v>#VALUE!</v>
      </c>
      <c r="CJ15" t="e">
        <f>AND(Шахм!H100,"AAAAAEvbslc=")</f>
        <v>#VALUE!</v>
      </c>
      <c r="CK15" t="e">
        <f>AND(Шахм!I100,"AAAAAEvbslg=")</f>
        <v>#VALUE!</v>
      </c>
      <c r="CL15" t="e">
        <f>AND(Шахм!J100,"AAAAAEvbslk=")</f>
        <v>#VALUE!</v>
      </c>
      <c r="CM15" t="e">
        <f>AND(Шахм!K100,"AAAAAEvbslo=")</f>
        <v>#VALUE!</v>
      </c>
      <c r="CN15" t="e">
        <f>AND(Шахм!L100,"AAAAAEvbsls=")</f>
        <v>#VALUE!</v>
      </c>
      <c r="CO15" t="e">
        <f>AND(Шахм!M100,"AAAAAEvbslw=")</f>
        <v>#VALUE!</v>
      </c>
      <c r="CP15" t="e">
        <f>AND(Шахм!N100,"AAAAAEvbsl0=")</f>
        <v>#VALUE!</v>
      </c>
      <c r="CQ15" t="e">
        <f>AND(Шахм!O100,"AAAAAEvbsl4=")</f>
        <v>#VALUE!</v>
      </c>
      <c r="CR15" t="e">
        <f>AND(Шахм!P100,"AAAAAEvbsl8=")</f>
        <v>#VALUE!</v>
      </c>
      <c r="CS15" t="e">
        <f>AND(Шахм!Q100,"AAAAAEvbsmA=")</f>
        <v>#VALUE!</v>
      </c>
      <c r="CT15" t="e">
        <f>AND(Шахм!R100,"AAAAAEvbsmE=")</f>
        <v>#VALUE!</v>
      </c>
      <c r="CU15" t="e">
        <f>AND(Шахм!S100,"AAAAAEvbsmI=")</f>
        <v>#VALUE!</v>
      </c>
      <c r="CV15" t="e">
        <f>AND(Шахм!T100,"AAAAAEvbsmM=")</f>
        <v>#VALUE!</v>
      </c>
      <c r="CW15" t="e">
        <f>AND(Шахм!U100,"AAAAAEvbsmQ=")</f>
        <v>#VALUE!</v>
      </c>
      <c r="CX15" t="e">
        <f>AND(Шахм!V100,"AAAAAEvbsmU=")</f>
        <v>#VALUE!</v>
      </c>
      <c r="CY15" t="e">
        <f>AND(Шахм!W100,"AAAAAEvbsmY=")</f>
        <v>#VALUE!</v>
      </c>
      <c r="CZ15" t="e">
        <f>AND(Шахм!X100,"AAAAAEvbsmc=")</f>
        <v>#VALUE!</v>
      </c>
      <c r="DA15" t="e">
        <f>AND(Шахм!Y100,"AAAAAEvbsmg=")</f>
        <v>#VALUE!</v>
      </c>
      <c r="DB15" t="e">
        <f>AND(Шахм!Z100,"AAAAAEvbsmk=")</f>
        <v>#VALUE!</v>
      </c>
      <c r="DC15" t="e">
        <f>AND(Шахм!AA100,"AAAAAEvbsmo=")</f>
        <v>#VALUE!</v>
      </c>
      <c r="DD15" t="e">
        <f>AND(Шахм!AB100,"AAAAAEvbsms=")</f>
        <v>#VALUE!</v>
      </c>
      <c r="DE15" t="e">
        <f>AND(Шахм!AC100,"AAAAAEvbsmw=")</f>
        <v>#VALUE!</v>
      </c>
      <c r="DF15" t="e">
        <f>AND(Шахм!AD100,"AAAAAEvbsm0=")</f>
        <v>#VALUE!</v>
      </c>
      <c r="DG15" t="e">
        <f>AND(Шахм!AE100,"AAAAAEvbsm4=")</f>
        <v>#VALUE!</v>
      </c>
      <c r="DH15" t="e">
        <f>AND(Шахм!AF100,"AAAAAEvbsm8=")</f>
        <v>#VALUE!</v>
      </c>
      <c r="DI15" t="e">
        <f>AND(Шахм!AG100,"AAAAAEvbsnA=")</f>
        <v>#VALUE!</v>
      </c>
      <c r="DJ15" t="e">
        <f>AND(Шахм!AH100,"AAAAAEvbsnE=")</f>
        <v>#VALUE!</v>
      </c>
      <c r="DK15" t="e">
        <f>AND(Шахм!AI100,"AAAAAEvbsnI=")</f>
        <v>#VALUE!</v>
      </c>
      <c r="DL15" t="e">
        <f>AND(Шахм!AJ100,"AAAAAEvbsnM=")</f>
        <v>#VALUE!</v>
      </c>
      <c r="DM15">
        <f>IF(Шахм!101:101,"AAAAAEvbsnQ=",0)</f>
        <v>0</v>
      </c>
      <c r="DN15" t="e">
        <f>AND(Шахм!A101,"AAAAAEvbsnU=")</f>
        <v>#VALUE!</v>
      </c>
      <c r="DO15" t="e">
        <f>AND(Шахм!B101,"AAAAAEvbsnY=")</f>
        <v>#VALUE!</v>
      </c>
      <c r="DP15" t="e">
        <f>AND(Шахм!C101,"AAAAAEvbsnc=")</f>
        <v>#VALUE!</v>
      </c>
      <c r="DQ15" t="e">
        <f>AND(Шахм!D101,"AAAAAEvbsng=")</f>
        <v>#VALUE!</v>
      </c>
      <c r="DR15" t="e">
        <f>AND(Шахм!E101,"AAAAAEvbsnk=")</f>
        <v>#VALUE!</v>
      </c>
      <c r="DS15" t="e">
        <f>AND(Шахм!F101,"AAAAAEvbsno=")</f>
        <v>#VALUE!</v>
      </c>
      <c r="DT15" t="e">
        <f>AND(Шахм!G101,"AAAAAEvbsns=")</f>
        <v>#VALUE!</v>
      </c>
      <c r="DU15" t="e">
        <f>AND(Шахм!H101,"AAAAAEvbsnw=")</f>
        <v>#VALUE!</v>
      </c>
      <c r="DV15" t="e">
        <f>AND(Шахм!I101,"AAAAAEvbsn0=")</f>
        <v>#VALUE!</v>
      </c>
      <c r="DW15" t="e">
        <f>AND(Шахм!J101,"AAAAAEvbsn4=")</f>
        <v>#VALUE!</v>
      </c>
      <c r="DX15" t="e">
        <f>AND(Шахм!K101,"AAAAAEvbsn8=")</f>
        <v>#VALUE!</v>
      </c>
      <c r="DY15" t="e">
        <f>AND(Шахм!L101,"AAAAAEvbsoA=")</f>
        <v>#VALUE!</v>
      </c>
      <c r="DZ15" t="e">
        <f>AND(Шахм!M101,"AAAAAEvbsoE=")</f>
        <v>#VALUE!</v>
      </c>
      <c r="EA15" t="e">
        <f>AND(Шахм!N101,"AAAAAEvbsoI=")</f>
        <v>#VALUE!</v>
      </c>
      <c r="EB15" t="e">
        <f>AND(Шахм!O101,"AAAAAEvbsoM=")</f>
        <v>#VALUE!</v>
      </c>
      <c r="EC15" t="e">
        <f>AND(Шахм!P101,"AAAAAEvbsoQ=")</f>
        <v>#VALUE!</v>
      </c>
      <c r="ED15" t="e">
        <f>AND(Шахм!Q101,"AAAAAEvbsoU=")</f>
        <v>#VALUE!</v>
      </c>
      <c r="EE15" t="e">
        <f>AND(Шахм!R101,"AAAAAEvbsoY=")</f>
        <v>#VALUE!</v>
      </c>
      <c r="EF15" t="e">
        <f>AND(Шахм!S101,"AAAAAEvbsoc=")</f>
        <v>#VALUE!</v>
      </c>
      <c r="EG15" t="e">
        <f>AND(Шахм!T101,"AAAAAEvbsog=")</f>
        <v>#VALUE!</v>
      </c>
      <c r="EH15" t="e">
        <f>AND(Шахм!U101,"AAAAAEvbsok=")</f>
        <v>#VALUE!</v>
      </c>
      <c r="EI15" t="e">
        <f>AND(Шахм!V101,"AAAAAEvbsoo=")</f>
        <v>#VALUE!</v>
      </c>
      <c r="EJ15" t="e">
        <f>AND(Шахм!W101,"AAAAAEvbsos=")</f>
        <v>#VALUE!</v>
      </c>
      <c r="EK15" t="e">
        <f>AND(Шахм!X101,"AAAAAEvbsow=")</f>
        <v>#VALUE!</v>
      </c>
      <c r="EL15" t="e">
        <f>AND(Шахм!Y101,"AAAAAEvbso0=")</f>
        <v>#VALUE!</v>
      </c>
      <c r="EM15" t="e">
        <f>AND(Шахм!Z101,"AAAAAEvbso4=")</f>
        <v>#VALUE!</v>
      </c>
      <c r="EN15" t="e">
        <f>AND(Шахм!AA101,"AAAAAEvbso8=")</f>
        <v>#VALUE!</v>
      </c>
      <c r="EO15" t="e">
        <f>AND(Шахм!AB101,"AAAAAEvbspA=")</f>
        <v>#VALUE!</v>
      </c>
      <c r="EP15" t="e">
        <f>AND(Шахм!AC101,"AAAAAEvbspE=")</f>
        <v>#VALUE!</v>
      </c>
      <c r="EQ15" t="e">
        <f>AND(Шахм!AD101,"AAAAAEvbspI=")</f>
        <v>#VALUE!</v>
      </c>
      <c r="ER15" t="e">
        <f>AND(Шахм!AE101,"AAAAAEvbspM=")</f>
        <v>#VALUE!</v>
      </c>
      <c r="ES15" t="e">
        <f>AND(Шахм!AF101,"AAAAAEvbspQ=")</f>
        <v>#VALUE!</v>
      </c>
      <c r="ET15" t="e">
        <f>AND(Шахм!AG101,"AAAAAEvbspU=")</f>
        <v>#VALUE!</v>
      </c>
      <c r="EU15" t="e">
        <f>AND(Шахм!AH101,"AAAAAEvbspY=")</f>
        <v>#VALUE!</v>
      </c>
      <c r="EV15" t="e">
        <f>AND(Шахм!AI101,"AAAAAEvbspc=")</f>
        <v>#VALUE!</v>
      </c>
      <c r="EW15" t="e">
        <f>AND(Шахм!AJ101,"AAAAAEvbspg=")</f>
        <v>#VALUE!</v>
      </c>
      <c r="EX15">
        <f>IF(Шахм!102:102,"AAAAAEvbspk=",0)</f>
        <v>0</v>
      </c>
      <c r="EY15" t="e">
        <f>AND(Шахм!A102,"AAAAAEvbspo=")</f>
        <v>#VALUE!</v>
      </c>
      <c r="EZ15" t="e">
        <f>AND(Шахм!B102,"AAAAAEvbsps=")</f>
        <v>#VALUE!</v>
      </c>
      <c r="FA15" t="e">
        <f>AND(Шахм!C102,"AAAAAEvbspw=")</f>
        <v>#VALUE!</v>
      </c>
      <c r="FB15" t="e">
        <f>AND(Шахм!D102,"AAAAAEvbsp0=")</f>
        <v>#VALUE!</v>
      </c>
      <c r="FC15" t="e">
        <f>AND(Шахм!E102,"AAAAAEvbsp4=")</f>
        <v>#VALUE!</v>
      </c>
      <c r="FD15" t="e">
        <f>AND(Шахм!F102,"AAAAAEvbsp8=")</f>
        <v>#VALUE!</v>
      </c>
      <c r="FE15" t="e">
        <f>AND(Шахм!G102,"AAAAAEvbsqA=")</f>
        <v>#VALUE!</v>
      </c>
      <c r="FF15" t="e">
        <f>AND(Шахм!H102,"AAAAAEvbsqE=")</f>
        <v>#VALUE!</v>
      </c>
      <c r="FG15" t="e">
        <f>AND(Шахм!I102,"AAAAAEvbsqI=")</f>
        <v>#VALUE!</v>
      </c>
      <c r="FH15" t="e">
        <f>AND(Шахм!J102,"AAAAAEvbsqM=")</f>
        <v>#VALUE!</v>
      </c>
      <c r="FI15" t="e">
        <f>AND(Шахм!K102,"AAAAAEvbsqQ=")</f>
        <v>#VALUE!</v>
      </c>
      <c r="FJ15" t="e">
        <f>AND(Шахм!L102,"AAAAAEvbsqU=")</f>
        <v>#VALUE!</v>
      </c>
      <c r="FK15" t="e">
        <f>AND(Шахм!M102,"AAAAAEvbsqY=")</f>
        <v>#VALUE!</v>
      </c>
      <c r="FL15" t="e">
        <f>AND(Шахм!N102,"AAAAAEvbsqc=")</f>
        <v>#VALUE!</v>
      </c>
      <c r="FM15" t="e">
        <f>AND(Шахм!O102,"AAAAAEvbsqg=")</f>
        <v>#VALUE!</v>
      </c>
      <c r="FN15" t="e">
        <f>AND(Шахм!P102,"AAAAAEvbsqk=")</f>
        <v>#VALUE!</v>
      </c>
      <c r="FO15" t="e">
        <f>AND(Шахм!Q102,"AAAAAEvbsqo=")</f>
        <v>#VALUE!</v>
      </c>
      <c r="FP15" t="e">
        <f>AND(Шахм!R102,"AAAAAEvbsqs=")</f>
        <v>#VALUE!</v>
      </c>
      <c r="FQ15" t="e">
        <f>AND(Шахм!S102,"AAAAAEvbsqw=")</f>
        <v>#VALUE!</v>
      </c>
      <c r="FR15" t="e">
        <f>AND(Шахм!T102,"AAAAAEvbsq0=")</f>
        <v>#VALUE!</v>
      </c>
      <c r="FS15" t="e">
        <f>AND(Шахм!U102,"AAAAAEvbsq4=")</f>
        <v>#VALUE!</v>
      </c>
      <c r="FT15" t="e">
        <f>AND(Шахм!V102,"AAAAAEvbsq8=")</f>
        <v>#VALUE!</v>
      </c>
      <c r="FU15" t="e">
        <f>AND(Шахм!W102,"AAAAAEvbsrA=")</f>
        <v>#VALUE!</v>
      </c>
      <c r="FV15" t="e">
        <f>AND(Шахм!X102,"AAAAAEvbsrE=")</f>
        <v>#VALUE!</v>
      </c>
      <c r="FW15" t="e">
        <f>AND(Шахм!Y102,"AAAAAEvbsrI=")</f>
        <v>#VALUE!</v>
      </c>
      <c r="FX15" t="e">
        <f>AND(Шахм!Z102,"AAAAAEvbsrM=")</f>
        <v>#VALUE!</v>
      </c>
      <c r="FY15" t="e">
        <f>AND(Шахм!AA102,"AAAAAEvbsrQ=")</f>
        <v>#VALUE!</v>
      </c>
      <c r="FZ15" t="e">
        <f>AND(Шахм!AB102,"AAAAAEvbsrU=")</f>
        <v>#VALUE!</v>
      </c>
      <c r="GA15" t="e">
        <f>AND(Шахм!AC102,"AAAAAEvbsrY=")</f>
        <v>#VALUE!</v>
      </c>
      <c r="GB15" t="e">
        <f>AND(Шахм!AD102,"AAAAAEvbsrc=")</f>
        <v>#VALUE!</v>
      </c>
      <c r="GC15" t="e">
        <f>AND(Шахм!AE102,"AAAAAEvbsrg=")</f>
        <v>#VALUE!</v>
      </c>
      <c r="GD15" t="e">
        <f>AND(Шахм!AF102,"AAAAAEvbsrk=")</f>
        <v>#VALUE!</v>
      </c>
      <c r="GE15" t="e">
        <f>AND(Шахм!AG102,"AAAAAEvbsro=")</f>
        <v>#VALUE!</v>
      </c>
      <c r="GF15" t="e">
        <f>AND(Шахм!AH102,"AAAAAEvbsrs=")</f>
        <v>#VALUE!</v>
      </c>
      <c r="GG15" t="e">
        <f>AND(Шахм!AI102,"AAAAAEvbsrw=")</f>
        <v>#VALUE!</v>
      </c>
      <c r="GH15" t="e">
        <f>AND(Шахм!AJ102,"AAAAAEvbsr0=")</f>
        <v>#VALUE!</v>
      </c>
      <c r="GI15">
        <f>IF(Шахм!103:103,"AAAAAEvbsr4=",0)</f>
        <v>0</v>
      </c>
      <c r="GJ15" t="e">
        <f>AND(Шахм!A103,"AAAAAEvbsr8=")</f>
        <v>#VALUE!</v>
      </c>
      <c r="GK15" t="e">
        <f>AND(Шахм!B103,"AAAAAEvbssA=")</f>
        <v>#VALUE!</v>
      </c>
      <c r="GL15" t="e">
        <f>AND(Шахм!C103,"AAAAAEvbssE=")</f>
        <v>#VALUE!</v>
      </c>
      <c r="GM15" t="e">
        <f>AND(Шахм!D103,"AAAAAEvbssI=")</f>
        <v>#VALUE!</v>
      </c>
      <c r="GN15" t="e">
        <f>AND(Шахм!E103,"AAAAAEvbssM=")</f>
        <v>#VALUE!</v>
      </c>
      <c r="GO15" t="e">
        <f>AND(Шахм!F103,"AAAAAEvbssQ=")</f>
        <v>#VALUE!</v>
      </c>
      <c r="GP15" t="e">
        <f>AND(Шахм!G103,"AAAAAEvbssU=")</f>
        <v>#VALUE!</v>
      </c>
      <c r="GQ15" t="e">
        <f>AND(Шахм!H103,"AAAAAEvbssY=")</f>
        <v>#VALUE!</v>
      </c>
      <c r="GR15" t="e">
        <f>AND(Шахм!I103,"AAAAAEvbssc=")</f>
        <v>#VALUE!</v>
      </c>
      <c r="GS15" t="e">
        <f>AND(Шахм!J103,"AAAAAEvbssg=")</f>
        <v>#VALUE!</v>
      </c>
      <c r="GT15" t="e">
        <f>AND(Шахм!K103,"AAAAAEvbssk=")</f>
        <v>#VALUE!</v>
      </c>
      <c r="GU15" t="e">
        <f>AND(Шахм!L103,"AAAAAEvbsso=")</f>
        <v>#VALUE!</v>
      </c>
      <c r="GV15" t="e">
        <f>AND(Шахм!M103,"AAAAAEvbsss=")</f>
        <v>#VALUE!</v>
      </c>
      <c r="GW15" t="e">
        <f>AND(Шахм!N103,"AAAAAEvbssw=")</f>
        <v>#VALUE!</v>
      </c>
      <c r="GX15" t="e">
        <f>AND(Шахм!O103,"AAAAAEvbss0=")</f>
        <v>#VALUE!</v>
      </c>
      <c r="GY15" t="e">
        <f>AND(Шахм!P103,"AAAAAEvbss4=")</f>
        <v>#VALUE!</v>
      </c>
      <c r="GZ15" t="e">
        <f>AND(Шахм!Q103,"AAAAAEvbss8=")</f>
        <v>#VALUE!</v>
      </c>
      <c r="HA15" t="e">
        <f>AND(Шахм!R103,"AAAAAEvbstA=")</f>
        <v>#VALUE!</v>
      </c>
      <c r="HB15" t="e">
        <f>AND(Шахм!S103,"AAAAAEvbstE=")</f>
        <v>#VALUE!</v>
      </c>
      <c r="HC15" t="e">
        <f>AND(Шахм!T103,"AAAAAEvbstI=")</f>
        <v>#VALUE!</v>
      </c>
      <c r="HD15" t="e">
        <f>AND(Шахм!U103,"AAAAAEvbstM=")</f>
        <v>#VALUE!</v>
      </c>
      <c r="HE15" t="e">
        <f>AND(Шахм!V103,"AAAAAEvbstQ=")</f>
        <v>#VALUE!</v>
      </c>
      <c r="HF15" t="e">
        <f>AND(Шахм!W103,"AAAAAEvbstU=")</f>
        <v>#VALUE!</v>
      </c>
      <c r="HG15" t="e">
        <f>AND(Шахм!X103,"AAAAAEvbstY=")</f>
        <v>#VALUE!</v>
      </c>
      <c r="HH15" t="e">
        <f>AND(Шахм!Y103,"AAAAAEvbstc=")</f>
        <v>#VALUE!</v>
      </c>
      <c r="HI15" t="e">
        <f>AND(Шахм!Z103,"AAAAAEvbstg=")</f>
        <v>#VALUE!</v>
      </c>
      <c r="HJ15" t="e">
        <f>AND(Шахм!AA103,"AAAAAEvbstk=")</f>
        <v>#VALUE!</v>
      </c>
      <c r="HK15" t="e">
        <f>AND(Шахм!AB103,"AAAAAEvbsto=")</f>
        <v>#VALUE!</v>
      </c>
      <c r="HL15" t="e">
        <f>AND(Шахм!AC103,"AAAAAEvbsts=")</f>
        <v>#VALUE!</v>
      </c>
      <c r="HM15" t="e">
        <f>AND(Шахм!AD103,"AAAAAEvbstw=")</f>
        <v>#VALUE!</v>
      </c>
      <c r="HN15" t="e">
        <f>AND(Шахм!AE103,"AAAAAEvbst0=")</f>
        <v>#VALUE!</v>
      </c>
      <c r="HO15" t="e">
        <f>AND(Шахм!AF103,"AAAAAEvbst4=")</f>
        <v>#VALUE!</v>
      </c>
      <c r="HP15" t="e">
        <f>AND(Шахм!AG103,"AAAAAEvbst8=")</f>
        <v>#VALUE!</v>
      </c>
      <c r="HQ15" t="e">
        <f>AND(Шахм!AH103,"AAAAAEvbsuA=")</f>
        <v>#VALUE!</v>
      </c>
      <c r="HR15" t="e">
        <f>AND(Шахм!AI103,"AAAAAEvbsuE=")</f>
        <v>#VALUE!</v>
      </c>
      <c r="HS15" t="e">
        <f>AND(Шахм!AJ103,"AAAAAEvbsuI=")</f>
        <v>#VALUE!</v>
      </c>
      <c r="HT15">
        <f>IF(Шахм!104:104,"AAAAAEvbsuM=",0)</f>
        <v>0</v>
      </c>
      <c r="HU15" t="e">
        <f>AND(Шахм!A104,"AAAAAEvbsuQ=")</f>
        <v>#VALUE!</v>
      </c>
      <c r="HV15" t="e">
        <f>AND(Шахм!B104,"AAAAAEvbsuU=")</f>
        <v>#VALUE!</v>
      </c>
      <c r="HW15" t="e">
        <f>AND(Шахм!C104,"AAAAAEvbsuY=")</f>
        <v>#VALUE!</v>
      </c>
      <c r="HX15" t="e">
        <f>AND(Шахм!D104,"AAAAAEvbsuc=")</f>
        <v>#VALUE!</v>
      </c>
      <c r="HY15" t="e">
        <f>AND(Шахм!E104,"AAAAAEvbsug=")</f>
        <v>#VALUE!</v>
      </c>
      <c r="HZ15" t="e">
        <f>AND(Шахм!F104,"AAAAAEvbsuk=")</f>
        <v>#VALUE!</v>
      </c>
      <c r="IA15" t="e">
        <f>AND(Шахм!G104,"AAAAAEvbsuo=")</f>
        <v>#VALUE!</v>
      </c>
      <c r="IB15" t="e">
        <f>AND(Шахм!H104,"AAAAAEvbsus=")</f>
        <v>#VALUE!</v>
      </c>
      <c r="IC15" t="e">
        <f>AND(Шахм!I104,"AAAAAEvbsuw=")</f>
        <v>#VALUE!</v>
      </c>
      <c r="ID15" t="e">
        <f>AND(Шахм!J104,"AAAAAEvbsu0=")</f>
        <v>#VALUE!</v>
      </c>
      <c r="IE15" t="e">
        <f>AND(Шахм!K104,"AAAAAEvbsu4=")</f>
        <v>#VALUE!</v>
      </c>
      <c r="IF15" t="e">
        <f>AND(Шахм!L104,"AAAAAEvbsu8=")</f>
        <v>#VALUE!</v>
      </c>
      <c r="IG15" t="e">
        <f>AND(Шахм!M104,"AAAAAEvbsvA=")</f>
        <v>#VALUE!</v>
      </c>
      <c r="IH15" t="e">
        <f>AND(Шахм!N104,"AAAAAEvbsvE=")</f>
        <v>#VALUE!</v>
      </c>
      <c r="II15" t="e">
        <f>AND(Шахм!O104,"AAAAAEvbsvI=")</f>
        <v>#VALUE!</v>
      </c>
      <c r="IJ15" t="e">
        <f>AND(Шахм!P104,"AAAAAEvbsvM=")</f>
        <v>#VALUE!</v>
      </c>
      <c r="IK15" t="e">
        <f>AND(Шахм!Q104,"AAAAAEvbsvQ=")</f>
        <v>#VALUE!</v>
      </c>
      <c r="IL15" t="e">
        <f>AND(Шахм!R104,"AAAAAEvbsvU=")</f>
        <v>#VALUE!</v>
      </c>
      <c r="IM15" t="e">
        <f>AND(Шахм!S104,"AAAAAEvbsvY=")</f>
        <v>#VALUE!</v>
      </c>
      <c r="IN15" t="e">
        <f>AND(Шахм!T104,"AAAAAEvbsvc=")</f>
        <v>#VALUE!</v>
      </c>
      <c r="IO15" t="e">
        <f>AND(Шахм!U104,"AAAAAEvbsvg=")</f>
        <v>#VALUE!</v>
      </c>
      <c r="IP15" t="e">
        <f>AND(Шахм!V104,"AAAAAEvbsvk=")</f>
        <v>#VALUE!</v>
      </c>
      <c r="IQ15" t="e">
        <f>AND(Шахм!W104,"AAAAAEvbsvo=")</f>
        <v>#VALUE!</v>
      </c>
      <c r="IR15" t="e">
        <f>AND(Шахм!X104,"AAAAAEvbsvs=")</f>
        <v>#VALUE!</v>
      </c>
      <c r="IS15" t="e">
        <f>AND(Шахм!Y104,"AAAAAEvbsvw=")</f>
        <v>#VALUE!</v>
      </c>
      <c r="IT15" t="e">
        <f>AND(Шахм!Z104,"AAAAAEvbsv0=")</f>
        <v>#VALUE!</v>
      </c>
      <c r="IU15" t="e">
        <f>AND(Шахм!AA104,"AAAAAEvbsv4=")</f>
        <v>#VALUE!</v>
      </c>
      <c r="IV15" t="e">
        <f>AND(Шахм!AB104,"AAAAAEvbsv8=")</f>
        <v>#VALUE!</v>
      </c>
    </row>
    <row r="16" spans="1:256">
      <c r="A16" t="e">
        <f>AND(Шахм!AC104,"AAAAAG+/fwA=")</f>
        <v>#VALUE!</v>
      </c>
      <c r="B16" t="e">
        <f>AND(Шахм!AD104,"AAAAAG+/fwE=")</f>
        <v>#VALUE!</v>
      </c>
      <c r="C16" t="e">
        <f>AND(Шахм!AE104,"AAAAAG+/fwI=")</f>
        <v>#VALUE!</v>
      </c>
      <c r="D16" t="e">
        <f>AND(Шахм!AF104,"AAAAAG+/fwM=")</f>
        <v>#VALUE!</v>
      </c>
      <c r="E16" t="e">
        <f>AND(Шахм!AG104,"AAAAAG+/fwQ=")</f>
        <v>#VALUE!</v>
      </c>
      <c r="F16" t="e">
        <f>AND(Шахм!AH104,"AAAAAG+/fwU=")</f>
        <v>#VALUE!</v>
      </c>
      <c r="G16" t="e">
        <f>AND(Шахм!AI104,"AAAAAG+/fwY=")</f>
        <v>#VALUE!</v>
      </c>
      <c r="H16" t="e">
        <f>AND(Шахм!AJ104,"AAAAAG+/fwc=")</f>
        <v>#VALUE!</v>
      </c>
      <c r="I16">
        <f>IF(Шахм!105:105,"AAAAAG+/fwg=",0)</f>
        <v>0</v>
      </c>
      <c r="J16" t="e">
        <f>AND(Шахм!A105,"AAAAAG+/fwk=")</f>
        <v>#VALUE!</v>
      </c>
      <c r="K16" t="e">
        <f>AND(Шахм!B105,"AAAAAG+/fwo=")</f>
        <v>#VALUE!</v>
      </c>
      <c r="L16" t="e">
        <f>AND(Шахм!C105,"AAAAAG+/fws=")</f>
        <v>#VALUE!</v>
      </c>
      <c r="M16" t="e">
        <f>AND(Шахм!D105,"AAAAAG+/fww=")</f>
        <v>#VALUE!</v>
      </c>
      <c r="N16" t="e">
        <f>AND(Шахм!E105,"AAAAAG+/fw0=")</f>
        <v>#VALUE!</v>
      </c>
      <c r="O16" t="e">
        <f>AND(Шахм!F105,"AAAAAG+/fw4=")</f>
        <v>#VALUE!</v>
      </c>
      <c r="P16" t="e">
        <f>AND(Шахм!G105,"AAAAAG+/fw8=")</f>
        <v>#VALUE!</v>
      </c>
      <c r="Q16" t="e">
        <f>AND(Шахм!H105,"AAAAAG+/fxA=")</f>
        <v>#VALUE!</v>
      </c>
      <c r="R16" t="e">
        <f>AND(Шахм!I105,"AAAAAG+/fxE=")</f>
        <v>#VALUE!</v>
      </c>
      <c r="S16" t="e">
        <f>AND(Шахм!J105,"AAAAAG+/fxI=")</f>
        <v>#VALUE!</v>
      </c>
      <c r="T16" t="e">
        <f>AND(Шахм!K105,"AAAAAG+/fxM=")</f>
        <v>#VALUE!</v>
      </c>
      <c r="U16" t="e">
        <f>AND(Шахм!L105,"AAAAAG+/fxQ=")</f>
        <v>#VALUE!</v>
      </c>
      <c r="V16" t="e">
        <f>AND(Шахм!M105,"AAAAAG+/fxU=")</f>
        <v>#VALUE!</v>
      </c>
      <c r="W16" t="e">
        <f>AND(Шахм!N105,"AAAAAG+/fxY=")</f>
        <v>#VALUE!</v>
      </c>
      <c r="X16" t="e">
        <f>AND(Шахм!O105,"AAAAAG+/fxc=")</f>
        <v>#VALUE!</v>
      </c>
      <c r="Y16" t="e">
        <f>AND(Шахм!P105,"AAAAAG+/fxg=")</f>
        <v>#VALUE!</v>
      </c>
      <c r="Z16" t="e">
        <f>AND(Шахм!Q105,"AAAAAG+/fxk=")</f>
        <v>#VALUE!</v>
      </c>
      <c r="AA16" t="e">
        <f>AND(Шахм!R105,"AAAAAG+/fxo=")</f>
        <v>#VALUE!</v>
      </c>
      <c r="AB16" t="e">
        <f>AND(Шахм!S105,"AAAAAG+/fxs=")</f>
        <v>#VALUE!</v>
      </c>
      <c r="AC16" t="e">
        <f>AND(Шахм!T105,"AAAAAG+/fxw=")</f>
        <v>#VALUE!</v>
      </c>
      <c r="AD16" t="e">
        <f>AND(Шахм!U105,"AAAAAG+/fx0=")</f>
        <v>#VALUE!</v>
      </c>
      <c r="AE16" t="e">
        <f>AND(Шахм!V105,"AAAAAG+/fx4=")</f>
        <v>#VALUE!</v>
      </c>
      <c r="AF16" t="e">
        <f>AND(Шахм!W105,"AAAAAG+/fx8=")</f>
        <v>#VALUE!</v>
      </c>
      <c r="AG16" t="e">
        <f>AND(Шахм!X105,"AAAAAG+/fyA=")</f>
        <v>#VALUE!</v>
      </c>
      <c r="AH16" t="e">
        <f>AND(Шахм!Y105,"AAAAAG+/fyE=")</f>
        <v>#VALUE!</v>
      </c>
      <c r="AI16" t="e">
        <f>AND(Шахм!Z105,"AAAAAG+/fyI=")</f>
        <v>#VALUE!</v>
      </c>
      <c r="AJ16" t="e">
        <f>AND(Шахм!AA105,"AAAAAG+/fyM=")</f>
        <v>#VALUE!</v>
      </c>
      <c r="AK16" t="e">
        <f>AND(Шахм!AB105,"AAAAAG+/fyQ=")</f>
        <v>#VALUE!</v>
      </c>
      <c r="AL16" t="e">
        <f>AND(Шахм!AC105,"AAAAAG+/fyU=")</f>
        <v>#VALUE!</v>
      </c>
      <c r="AM16" t="e">
        <f>AND(Шахм!AD105,"AAAAAG+/fyY=")</f>
        <v>#VALUE!</v>
      </c>
      <c r="AN16" t="e">
        <f>AND(Шахм!AE105,"AAAAAG+/fyc=")</f>
        <v>#VALUE!</v>
      </c>
      <c r="AO16" t="e">
        <f>AND(Шахм!AF105,"AAAAAG+/fyg=")</f>
        <v>#VALUE!</v>
      </c>
      <c r="AP16" t="e">
        <f>AND(Шахм!AG105,"AAAAAG+/fyk=")</f>
        <v>#VALUE!</v>
      </c>
      <c r="AQ16" t="e">
        <f>AND(Шахм!AH105,"AAAAAG+/fyo=")</f>
        <v>#VALUE!</v>
      </c>
      <c r="AR16" t="e">
        <f>AND(Шахм!AI105,"AAAAAG+/fys=")</f>
        <v>#VALUE!</v>
      </c>
      <c r="AS16" t="e">
        <f>AND(Шахм!AJ105,"AAAAAG+/fyw=")</f>
        <v>#VALUE!</v>
      </c>
      <c r="AT16">
        <f>IF(Шахм!106:106,"AAAAAG+/fy0=",0)</f>
        <v>0</v>
      </c>
      <c r="AU16" t="e">
        <f>AND(Шахм!A106,"AAAAAG+/fy4=")</f>
        <v>#VALUE!</v>
      </c>
      <c r="AV16" t="e">
        <f>AND(Шахм!B106,"AAAAAG+/fy8=")</f>
        <v>#VALUE!</v>
      </c>
      <c r="AW16" t="e">
        <f>AND(Шахм!C106,"AAAAAG+/fzA=")</f>
        <v>#VALUE!</v>
      </c>
      <c r="AX16" t="e">
        <f>AND(Шахм!D106,"AAAAAG+/fzE=")</f>
        <v>#VALUE!</v>
      </c>
      <c r="AY16" t="e">
        <f>AND(Шахм!E106,"AAAAAG+/fzI=")</f>
        <v>#VALUE!</v>
      </c>
      <c r="AZ16" t="e">
        <f>AND(Шахм!F106,"AAAAAG+/fzM=")</f>
        <v>#VALUE!</v>
      </c>
      <c r="BA16" t="e">
        <f>AND(Шахм!G106,"AAAAAG+/fzQ=")</f>
        <v>#VALUE!</v>
      </c>
      <c r="BB16" t="e">
        <f>AND(Шахм!H106,"AAAAAG+/fzU=")</f>
        <v>#VALUE!</v>
      </c>
      <c r="BC16" t="e">
        <f>AND(Шахм!I106,"AAAAAG+/fzY=")</f>
        <v>#VALUE!</v>
      </c>
      <c r="BD16" t="e">
        <f>AND(Шахм!J106,"AAAAAG+/fzc=")</f>
        <v>#VALUE!</v>
      </c>
      <c r="BE16" t="e">
        <f>AND(Шахм!K106,"AAAAAG+/fzg=")</f>
        <v>#VALUE!</v>
      </c>
      <c r="BF16" t="e">
        <f>AND(Шахм!L106,"AAAAAG+/fzk=")</f>
        <v>#VALUE!</v>
      </c>
      <c r="BG16" t="e">
        <f>AND(Шахм!M106,"AAAAAG+/fzo=")</f>
        <v>#VALUE!</v>
      </c>
      <c r="BH16" t="e">
        <f>AND(Шахм!N106,"AAAAAG+/fzs=")</f>
        <v>#VALUE!</v>
      </c>
      <c r="BI16" t="e">
        <f>AND(Шахм!O106,"AAAAAG+/fzw=")</f>
        <v>#VALUE!</v>
      </c>
      <c r="BJ16" t="e">
        <f>AND(Шахм!P106,"AAAAAG+/fz0=")</f>
        <v>#VALUE!</v>
      </c>
      <c r="BK16" t="e">
        <f>AND(Шахм!Q106,"AAAAAG+/fz4=")</f>
        <v>#VALUE!</v>
      </c>
      <c r="BL16" t="e">
        <f>AND(Шахм!R106,"AAAAAG+/fz8=")</f>
        <v>#VALUE!</v>
      </c>
      <c r="BM16" t="e">
        <f>AND(Шахм!S106,"AAAAAG+/f0A=")</f>
        <v>#VALUE!</v>
      </c>
      <c r="BN16" t="e">
        <f>AND(Шахм!T106,"AAAAAG+/f0E=")</f>
        <v>#VALUE!</v>
      </c>
      <c r="BO16" t="e">
        <f>AND(Шахм!U106,"AAAAAG+/f0I=")</f>
        <v>#VALUE!</v>
      </c>
      <c r="BP16" t="e">
        <f>AND(Шахм!V106,"AAAAAG+/f0M=")</f>
        <v>#VALUE!</v>
      </c>
      <c r="BQ16" t="e">
        <f>AND(Шахм!W106,"AAAAAG+/f0Q=")</f>
        <v>#VALUE!</v>
      </c>
      <c r="BR16" t="e">
        <f>AND(Шахм!X106,"AAAAAG+/f0U=")</f>
        <v>#VALUE!</v>
      </c>
      <c r="BS16" t="e">
        <f>AND(Шахм!Y106,"AAAAAG+/f0Y=")</f>
        <v>#VALUE!</v>
      </c>
      <c r="BT16" t="e">
        <f>AND(Шахм!Z106,"AAAAAG+/f0c=")</f>
        <v>#VALUE!</v>
      </c>
      <c r="BU16" t="e">
        <f>AND(Шахм!AA106,"AAAAAG+/f0g=")</f>
        <v>#VALUE!</v>
      </c>
      <c r="BV16" t="e">
        <f>AND(Шахм!AB106,"AAAAAG+/f0k=")</f>
        <v>#VALUE!</v>
      </c>
      <c r="BW16" t="e">
        <f>AND(Шахм!AC106,"AAAAAG+/f0o=")</f>
        <v>#VALUE!</v>
      </c>
      <c r="BX16" t="e">
        <f>AND(Шахм!AD106,"AAAAAG+/f0s=")</f>
        <v>#VALUE!</v>
      </c>
      <c r="BY16" t="e">
        <f>AND(Шахм!AE106,"AAAAAG+/f0w=")</f>
        <v>#VALUE!</v>
      </c>
      <c r="BZ16" t="e">
        <f>AND(Шахм!AF106,"AAAAAG+/f00=")</f>
        <v>#VALUE!</v>
      </c>
      <c r="CA16" t="e">
        <f>AND(Шахм!AG106,"AAAAAG+/f04=")</f>
        <v>#VALUE!</v>
      </c>
      <c r="CB16" t="e">
        <f>AND(Шахм!AH106,"AAAAAG+/f08=")</f>
        <v>#VALUE!</v>
      </c>
      <c r="CC16" t="e">
        <f>AND(Шахм!AI106,"AAAAAG+/f1A=")</f>
        <v>#VALUE!</v>
      </c>
      <c r="CD16" t="e">
        <f>AND(Шахм!AJ106,"AAAAAG+/f1E=")</f>
        <v>#VALUE!</v>
      </c>
      <c r="CE16">
        <f>IF(Шахм!107:107,"AAAAAG+/f1I=",0)</f>
        <v>0</v>
      </c>
      <c r="CF16" t="e">
        <f>AND(Шахм!A107,"AAAAAG+/f1M=")</f>
        <v>#VALUE!</v>
      </c>
      <c r="CG16" t="e">
        <f>AND(Шахм!B107,"AAAAAG+/f1Q=")</f>
        <v>#VALUE!</v>
      </c>
      <c r="CH16" t="e">
        <f>AND(Шахм!C107,"AAAAAG+/f1U=")</f>
        <v>#VALUE!</v>
      </c>
      <c r="CI16" t="e">
        <f>AND(Шахм!D107,"AAAAAG+/f1Y=")</f>
        <v>#VALUE!</v>
      </c>
      <c r="CJ16" t="e">
        <f>AND(Шахм!E107,"AAAAAG+/f1c=")</f>
        <v>#VALUE!</v>
      </c>
      <c r="CK16" t="e">
        <f>AND(Шахм!F107,"AAAAAG+/f1g=")</f>
        <v>#VALUE!</v>
      </c>
      <c r="CL16" t="e">
        <f>AND(Шахм!G107,"AAAAAG+/f1k=")</f>
        <v>#VALUE!</v>
      </c>
      <c r="CM16" t="e">
        <f>AND(Шахм!H107,"AAAAAG+/f1o=")</f>
        <v>#VALUE!</v>
      </c>
      <c r="CN16" t="e">
        <f>AND(Шахм!I107,"AAAAAG+/f1s=")</f>
        <v>#VALUE!</v>
      </c>
      <c r="CO16" t="e">
        <f>AND(Шахм!J107,"AAAAAG+/f1w=")</f>
        <v>#VALUE!</v>
      </c>
      <c r="CP16" t="e">
        <f>AND(Шахм!K107,"AAAAAG+/f10=")</f>
        <v>#VALUE!</v>
      </c>
      <c r="CQ16" t="e">
        <f>AND(Шахм!L107,"AAAAAG+/f14=")</f>
        <v>#VALUE!</v>
      </c>
      <c r="CR16" t="e">
        <f>AND(Шахм!M107,"AAAAAG+/f18=")</f>
        <v>#VALUE!</v>
      </c>
      <c r="CS16" t="e">
        <f>AND(Шахм!N107,"AAAAAG+/f2A=")</f>
        <v>#VALUE!</v>
      </c>
      <c r="CT16" t="e">
        <f>AND(Шахм!O107,"AAAAAG+/f2E=")</f>
        <v>#VALUE!</v>
      </c>
      <c r="CU16" t="e">
        <f>AND(Шахм!P107,"AAAAAG+/f2I=")</f>
        <v>#VALUE!</v>
      </c>
      <c r="CV16" t="e">
        <f>AND(Шахм!Q107,"AAAAAG+/f2M=")</f>
        <v>#VALUE!</v>
      </c>
      <c r="CW16" t="e">
        <f>AND(Шахм!R107,"AAAAAG+/f2Q=")</f>
        <v>#VALUE!</v>
      </c>
      <c r="CX16" t="e">
        <f>AND(Шахм!S107,"AAAAAG+/f2U=")</f>
        <v>#VALUE!</v>
      </c>
      <c r="CY16" t="e">
        <f>AND(Шахм!T107,"AAAAAG+/f2Y=")</f>
        <v>#VALUE!</v>
      </c>
      <c r="CZ16" t="e">
        <f>AND(Шахм!U107,"AAAAAG+/f2c=")</f>
        <v>#VALUE!</v>
      </c>
      <c r="DA16" t="e">
        <f>AND(Шахм!V107,"AAAAAG+/f2g=")</f>
        <v>#VALUE!</v>
      </c>
      <c r="DB16" t="e">
        <f>AND(Шахм!W107,"AAAAAG+/f2k=")</f>
        <v>#VALUE!</v>
      </c>
      <c r="DC16" t="e">
        <f>AND(Шахм!X107,"AAAAAG+/f2o=")</f>
        <v>#VALUE!</v>
      </c>
      <c r="DD16" t="e">
        <f>AND(Шахм!Y107,"AAAAAG+/f2s=")</f>
        <v>#VALUE!</v>
      </c>
      <c r="DE16" t="e">
        <f>AND(Шахм!Z107,"AAAAAG+/f2w=")</f>
        <v>#VALUE!</v>
      </c>
      <c r="DF16" t="e">
        <f>AND(Шахм!AA107,"AAAAAG+/f20=")</f>
        <v>#VALUE!</v>
      </c>
      <c r="DG16" t="e">
        <f>AND(Шахм!AB107,"AAAAAG+/f24=")</f>
        <v>#VALUE!</v>
      </c>
      <c r="DH16" t="e">
        <f>AND(Шахм!AC107,"AAAAAG+/f28=")</f>
        <v>#VALUE!</v>
      </c>
      <c r="DI16" t="e">
        <f>AND(Шахм!AD107,"AAAAAG+/f3A=")</f>
        <v>#VALUE!</v>
      </c>
      <c r="DJ16" t="e">
        <f>AND(Шахм!AE107,"AAAAAG+/f3E=")</f>
        <v>#VALUE!</v>
      </c>
      <c r="DK16" t="e">
        <f>AND(Шахм!AF107,"AAAAAG+/f3I=")</f>
        <v>#VALUE!</v>
      </c>
      <c r="DL16" t="e">
        <f>AND(Шахм!AG107,"AAAAAG+/f3M=")</f>
        <v>#VALUE!</v>
      </c>
      <c r="DM16" t="e">
        <f>AND(Шахм!AH107,"AAAAAG+/f3Q=")</f>
        <v>#VALUE!</v>
      </c>
      <c r="DN16" t="e">
        <f>AND(Шахм!AI107,"AAAAAG+/f3U=")</f>
        <v>#VALUE!</v>
      </c>
      <c r="DO16" t="e">
        <f>AND(Шахм!AJ107,"AAAAAG+/f3Y=")</f>
        <v>#VALUE!</v>
      </c>
      <c r="DP16">
        <f>IF(Шахм!108:108,"AAAAAG+/f3c=",0)</f>
        <v>0</v>
      </c>
      <c r="DQ16" t="e">
        <f>AND(Шахм!A108,"AAAAAG+/f3g=")</f>
        <v>#VALUE!</v>
      </c>
      <c r="DR16" t="e">
        <f>AND(Шахм!B108,"AAAAAG+/f3k=")</f>
        <v>#VALUE!</v>
      </c>
      <c r="DS16" t="e">
        <f>AND(Шахм!C108,"AAAAAG+/f3o=")</f>
        <v>#VALUE!</v>
      </c>
      <c r="DT16" t="e">
        <f>AND(Шахм!D108,"AAAAAG+/f3s=")</f>
        <v>#VALUE!</v>
      </c>
      <c r="DU16" t="e">
        <f>AND(Шахм!E108,"AAAAAG+/f3w=")</f>
        <v>#VALUE!</v>
      </c>
      <c r="DV16" t="e">
        <f>AND(Шахм!F108,"AAAAAG+/f30=")</f>
        <v>#VALUE!</v>
      </c>
      <c r="DW16" t="e">
        <f>AND(Шахм!G108,"AAAAAG+/f34=")</f>
        <v>#VALUE!</v>
      </c>
      <c r="DX16" t="e">
        <f>AND(Шахм!H108,"AAAAAG+/f38=")</f>
        <v>#VALUE!</v>
      </c>
      <c r="DY16" t="e">
        <f>AND(Шахм!I108,"AAAAAG+/f4A=")</f>
        <v>#VALUE!</v>
      </c>
      <c r="DZ16" t="e">
        <f>AND(Шахм!J108,"AAAAAG+/f4E=")</f>
        <v>#VALUE!</v>
      </c>
      <c r="EA16" t="e">
        <f>AND(Шахм!K108,"AAAAAG+/f4I=")</f>
        <v>#VALUE!</v>
      </c>
      <c r="EB16" t="e">
        <f>AND(Шахм!L108,"AAAAAG+/f4M=")</f>
        <v>#VALUE!</v>
      </c>
      <c r="EC16" t="e">
        <f>AND(Шахм!M108,"AAAAAG+/f4Q=")</f>
        <v>#VALUE!</v>
      </c>
      <c r="ED16" t="e">
        <f>AND(Шахм!N108,"AAAAAG+/f4U=")</f>
        <v>#VALUE!</v>
      </c>
      <c r="EE16" t="e">
        <f>AND(Шахм!O108,"AAAAAG+/f4Y=")</f>
        <v>#VALUE!</v>
      </c>
      <c r="EF16" t="e">
        <f>AND(Шахм!P108,"AAAAAG+/f4c=")</f>
        <v>#VALUE!</v>
      </c>
      <c r="EG16" t="e">
        <f>AND(Шахм!Q108,"AAAAAG+/f4g=")</f>
        <v>#VALUE!</v>
      </c>
      <c r="EH16" t="e">
        <f>AND(Шахм!R108,"AAAAAG+/f4k=")</f>
        <v>#VALUE!</v>
      </c>
      <c r="EI16" t="e">
        <f>AND(Шахм!S108,"AAAAAG+/f4o=")</f>
        <v>#VALUE!</v>
      </c>
      <c r="EJ16" t="e">
        <f>AND(Шахм!T108,"AAAAAG+/f4s=")</f>
        <v>#VALUE!</v>
      </c>
      <c r="EK16" t="e">
        <f>AND(Шахм!U108,"AAAAAG+/f4w=")</f>
        <v>#VALUE!</v>
      </c>
      <c r="EL16" t="e">
        <f>AND(Шахм!V108,"AAAAAG+/f40=")</f>
        <v>#VALUE!</v>
      </c>
      <c r="EM16" t="e">
        <f>AND(Шахм!W108,"AAAAAG+/f44=")</f>
        <v>#VALUE!</v>
      </c>
      <c r="EN16" t="e">
        <f>AND(Шахм!X108,"AAAAAG+/f48=")</f>
        <v>#VALUE!</v>
      </c>
      <c r="EO16" t="e">
        <f>AND(Шахм!Y108,"AAAAAG+/f5A=")</f>
        <v>#VALUE!</v>
      </c>
      <c r="EP16" t="e">
        <f>AND(Шахм!Z108,"AAAAAG+/f5E=")</f>
        <v>#VALUE!</v>
      </c>
      <c r="EQ16" t="e">
        <f>AND(Шахм!AA108,"AAAAAG+/f5I=")</f>
        <v>#VALUE!</v>
      </c>
      <c r="ER16" t="e">
        <f>AND(Шахм!AB108,"AAAAAG+/f5M=")</f>
        <v>#VALUE!</v>
      </c>
      <c r="ES16" t="e">
        <f>AND(Шахм!AC108,"AAAAAG+/f5Q=")</f>
        <v>#VALUE!</v>
      </c>
      <c r="ET16" t="e">
        <f>AND(Шахм!AD108,"AAAAAG+/f5U=")</f>
        <v>#VALUE!</v>
      </c>
      <c r="EU16" t="e">
        <f>AND(Шахм!AE108,"AAAAAG+/f5Y=")</f>
        <v>#VALUE!</v>
      </c>
      <c r="EV16" t="e">
        <f>AND(Шахм!AF108,"AAAAAG+/f5c=")</f>
        <v>#VALUE!</v>
      </c>
      <c r="EW16" t="e">
        <f>AND(Шахм!AG108,"AAAAAG+/f5g=")</f>
        <v>#VALUE!</v>
      </c>
      <c r="EX16" t="e">
        <f>AND(Шахм!AH108,"AAAAAG+/f5k=")</f>
        <v>#VALUE!</v>
      </c>
      <c r="EY16" t="e">
        <f>AND(Шахм!AI108,"AAAAAG+/f5o=")</f>
        <v>#VALUE!</v>
      </c>
      <c r="EZ16" t="e">
        <f>AND(Шахм!AJ108,"AAAAAG+/f5s=")</f>
        <v>#VALUE!</v>
      </c>
      <c r="FA16">
        <f>IF(Шахм!109:109,"AAAAAG+/f5w=",0)</f>
        <v>0</v>
      </c>
      <c r="FB16" t="e">
        <f>AND(Шахм!A109,"AAAAAG+/f50=")</f>
        <v>#VALUE!</v>
      </c>
      <c r="FC16" t="e">
        <f>AND(Шахм!B109,"AAAAAG+/f54=")</f>
        <v>#VALUE!</v>
      </c>
      <c r="FD16" t="e">
        <f>AND(Шахм!C109,"AAAAAG+/f58=")</f>
        <v>#VALUE!</v>
      </c>
      <c r="FE16" t="e">
        <f>AND(Шахм!D109,"AAAAAG+/f6A=")</f>
        <v>#VALUE!</v>
      </c>
      <c r="FF16" t="e">
        <f>AND(Шахм!E109,"AAAAAG+/f6E=")</f>
        <v>#VALUE!</v>
      </c>
      <c r="FG16" t="e">
        <f>AND(Шахм!F109,"AAAAAG+/f6I=")</f>
        <v>#VALUE!</v>
      </c>
      <c r="FH16" t="e">
        <f>AND(Шахм!G109,"AAAAAG+/f6M=")</f>
        <v>#VALUE!</v>
      </c>
      <c r="FI16" t="e">
        <f>AND(Шахм!H109,"AAAAAG+/f6Q=")</f>
        <v>#VALUE!</v>
      </c>
      <c r="FJ16" t="e">
        <f>AND(Шахм!I109,"AAAAAG+/f6U=")</f>
        <v>#VALUE!</v>
      </c>
      <c r="FK16" t="e">
        <f>AND(Шахм!J109,"AAAAAG+/f6Y=")</f>
        <v>#VALUE!</v>
      </c>
      <c r="FL16" t="e">
        <f>AND(Шахм!K109,"AAAAAG+/f6c=")</f>
        <v>#VALUE!</v>
      </c>
      <c r="FM16" t="e">
        <f>AND(Шахм!L109,"AAAAAG+/f6g=")</f>
        <v>#VALUE!</v>
      </c>
      <c r="FN16" t="e">
        <f>AND(Шахм!M109,"AAAAAG+/f6k=")</f>
        <v>#VALUE!</v>
      </c>
      <c r="FO16" t="e">
        <f>AND(Шахм!N109,"AAAAAG+/f6o=")</f>
        <v>#VALUE!</v>
      </c>
      <c r="FP16" t="e">
        <f>AND(Шахм!O109,"AAAAAG+/f6s=")</f>
        <v>#VALUE!</v>
      </c>
      <c r="FQ16" t="e">
        <f>AND(Шахм!P109,"AAAAAG+/f6w=")</f>
        <v>#VALUE!</v>
      </c>
      <c r="FR16" t="e">
        <f>AND(Шахм!Q109,"AAAAAG+/f60=")</f>
        <v>#VALUE!</v>
      </c>
      <c r="FS16" t="e">
        <f>AND(Шахм!R109,"AAAAAG+/f64=")</f>
        <v>#VALUE!</v>
      </c>
      <c r="FT16" t="e">
        <f>AND(Шахм!S109,"AAAAAG+/f68=")</f>
        <v>#VALUE!</v>
      </c>
      <c r="FU16" t="e">
        <f>AND(Шахм!T109,"AAAAAG+/f7A=")</f>
        <v>#VALUE!</v>
      </c>
      <c r="FV16" t="e">
        <f>AND(Шахм!U109,"AAAAAG+/f7E=")</f>
        <v>#VALUE!</v>
      </c>
      <c r="FW16" t="e">
        <f>AND(Шахм!V109,"AAAAAG+/f7I=")</f>
        <v>#VALUE!</v>
      </c>
      <c r="FX16" t="e">
        <f>AND(Шахм!W109,"AAAAAG+/f7M=")</f>
        <v>#VALUE!</v>
      </c>
      <c r="FY16" t="e">
        <f>AND(Шахм!X109,"AAAAAG+/f7Q=")</f>
        <v>#VALUE!</v>
      </c>
      <c r="FZ16" t="e">
        <f>AND(Шахм!Y109,"AAAAAG+/f7U=")</f>
        <v>#VALUE!</v>
      </c>
      <c r="GA16" t="e">
        <f>AND(Шахм!Z109,"AAAAAG+/f7Y=")</f>
        <v>#VALUE!</v>
      </c>
      <c r="GB16" t="e">
        <f>AND(Шахм!AA109,"AAAAAG+/f7c=")</f>
        <v>#VALUE!</v>
      </c>
      <c r="GC16" t="e">
        <f>AND(Шахм!AB109,"AAAAAG+/f7g=")</f>
        <v>#VALUE!</v>
      </c>
      <c r="GD16" t="e">
        <f>AND(Шахм!AC109,"AAAAAG+/f7k=")</f>
        <v>#VALUE!</v>
      </c>
      <c r="GE16" t="e">
        <f>AND(Шахм!AD109,"AAAAAG+/f7o=")</f>
        <v>#VALUE!</v>
      </c>
      <c r="GF16" t="e">
        <f>AND(Шахм!AE109,"AAAAAG+/f7s=")</f>
        <v>#VALUE!</v>
      </c>
      <c r="GG16" t="e">
        <f>AND(Шахм!AF109,"AAAAAG+/f7w=")</f>
        <v>#VALUE!</v>
      </c>
      <c r="GH16" t="e">
        <f>AND(Шахм!AG109,"AAAAAG+/f70=")</f>
        <v>#VALUE!</v>
      </c>
      <c r="GI16" t="e">
        <f>AND(Шахм!AH109,"AAAAAG+/f74=")</f>
        <v>#VALUE!</v>
      </c>
      <c r="GJ16" t="e">
        <f>AND(Шахм!AI109,"AAAAAG+/f78=")</f>
        <v>#VALUE!</v>
      </c>
      <c r="GK16" t="e">
        <f>AND(Шахм!AJ109,"AAAAAG+/f8A=")</f>
        <v>#VALUE!</v>
      </c>
      <c r="GL16">
        <f>IF(Шахм!110:110,"AAAAAG+/f8E=",0)</f>
        <v>0</v>
      </c>
      <c r="GM16" t="e">
        <f>AND(Шахм!A110,"AAAAAG+/f8I=")</f>
        <v>#VALUE!</v>
      </c>
      <c r="GN16" t="e">
        <f>AND(Шахм!B110,"AAAAAG+/f8M=")</f>
        <v>#VALUE!</v>
      </c>
      <c r="GO16" t="e">
        <f>AND(Шахм!C110,"AAAAAG+/f8Q=")</f>
        <v>#VALUE!</v>
      </c>
      <c r="GP16" t="e">
        <f>AND(Шахм!D110,"AAAAAG+/f8U=")</f>
        <v>#VALUE!</v>
      </c>
      <c r="GQ16" t="e">
        <f>AND(Шахм!E110,"AAAAAG+/f8Y=")</f>
        <v>#VALUE!</v>
      </c>
      <c r="GR16" t="e">
        <f>AND(Шахм!F110,"AAAAAG+/f8c=")</f>
        <v>#VALUE!</v>
      </c>
      <c r="GS16" t="e">
        <f>AND(Шахм!G110,"AAAAAG+/f8g=")</f>
        <v>#VALUE!</v>
      </c>
      <c r="GT16" t="e">
        <f>AND(Шахм!H110,"AAAAAG+/f8k=")</f>
        <v>#VALUE!</v>
      </c>
      <c r="GU16" t="e">
        <f>AND(Шахм!I110,"AAAAAG+/f8o=")</f>
        <v>#VALUE!</v>
      </c>
      <c r="GV16" t="e">
        <f>AND(Шахм!J110,"AAAAAG+/f8s=")</f>
        <v>#VALUE!</v>
      </c>
      <c r="GW16" t="e">
        <f>AND(Шахм!K110,"AAAAAG+/f8w=")</f>
        <v>#VALUE!</v>
      </c>
      <c r="GX16" t="e">
        <f>AND(Шахм!L110,"AAAAAG+/f80=")</f>
        <v>#VALUE!</v>
      </c>
      <c r="GY16" t="e">
        <f>AND(Шахм!M110,"AAAAAG+/f84=")</f>
        <v>#VALUE!</v>
      </c>
      <c r="GZ16" t="e">
        <f>AND(Шахм!N110,"AAAAAG+/f88=")</f>
        <v>#VALUE!</v>
      </c>
      <c r="HA16" t="e">
        <f>AND(Шахм!O110,"AAAAAG+/f9A=")</f>
        <v>#VALUE!</v>
      </c>
      <c r="HB16" t="e">
        <f>AND(Шахм!P110,"AAAAAG+/f9E=")</f>
        <v>#VALUE!</v>
      </c>
      <c r="HC16" t="e">
        <f>AND(Шахм!Q110,"AAAAAG+/f9I=")</f>
        <v>#VALUE!</v>
      </c>
      <c r="HD16" t="e">
        <f>AND(Шахм!R110,"AAAAAG+/f9M=")</f>
        <v>#VALUE!</v>
      </c>
      <c r="HE16" t="e">
        <f>AND(Шахм!S110,"AAAAAG+/f9Q=")</f>
        <v>#VALUE!</v>
      </c>
      <c r="HF16" t="e">
        <f>AND(Шахм!T110,"AAAAAG+/f9U=")</f>
        <v>#VALUE!</v>
      </c>
      <c r="HG16" t="e">
        <f>AND(Шахм!U110,"AAAAAG+/f9Y=")</f>
        <v>#VALUE!</v>
      </c>
      <c r="HH16" t="e">
        <f>AND(Шахм!V110,"AAAAAG+/f9c=")</f>
        <v>#VALUE!</v>
      </c>
      <c r="HI16" t="e">
        <f>AND(Шахм!W110,"AAAAAG+/f9g=")</f>
        <v>#VALUE!</v>
      </c>
      <c r="HJ16" t="e">
        <f>AND(Шахм!X110,"AAAAAG+/f9k=")</f>
        <v>#VALUE!</v>
      </c>
      <c r="HK16" t="e">
        <f>AND(Шахм!Y110,"AAAAAG+/f9o=")</f>
        <v>#VALUE!</v>
      </c>
      <c r="HL16" t="e">
        <f>AND(Шахм!Z110,"AAAAAG+/f9s=")</f>
        <v>#VALUE!</v>
      </c>
      <c r="HM16" t="e">
        <f>AND(Шахм!AA110,"AAAAAG+/f9w=")</f>
        <v>#VALUE!</v>
      </c>
      <c r="HN16" t="e">
        <f>AND(Шахм!AB110,"AAAAAG+/f90=")</f>
        <v>#VALUE!</v>
      </c>
      <c r="HO16" t="e">
        <f>AND(Шахм!AC110,"AAAAAG+/f94=")</f>
        <v>#VALUE!</v>
      </c>
      <c r="HP16" t="e">
        <f>AND(Шахм!AD110,"AAAAAG+/f98=")</f>
        <v>#VALUE!</v>
      </c>
      <c r="HQ16" t="e">
        <f>AND(Шахм!AE110,"AAAAAG+/f+A=")</f>
        <v>#VALUE!</v>
      </c>
      <c r="HR16" t="e">
        <f>AND(Шахм!AF110,"AAAAAG+/f+E=")</f>
        <v>#VALUE!</v>
      </c>
      <c r="HS16" t="e">
        <f>AND(Шахм!AG110,"AAAAAG+/f+I=")</f>
        <v>#VALUE!</v>
      </c>
      <c r="HT16" t="e">
        <f>AND(Шахм!AH110,"AAAAAG+/f+M=")</f>
        <v>#VALUE!</v>
      </c>
      <c r="HU16" t="e">
        <f>AND(Шахм!AI110,"AAAAAG+/f+Q=")</f>
        <v>#VALUE!</v>
      </c>
      <c r="HV16" t="e">
        <f>AND(Шахм!AJ110,"AAAAAG+/f+U=")</f>
        <v>#VALUE!</v>
      </c>
      <c r="HW16">
        <f>IF(Шахм!111:111,"AAAAAG+/f+Y=",0)</f>
        <v>0</v>
      </c>
      <c r="HX16" t="e">
        <f>AND(Шахм!A111,"AAAAAG+/f+c=")</f>
        <v>#VALUE!</v>
      </c>
      <c r="HY16" t="e">
        <f>AND(Шахм!B111,"AAAAAG+/f+g=")</f>
        <v>#VALUE!</v>
      </c>
      <c r="HZ16" t="e">
        <f>AND(Шахм!C111,"AAAAAG+/f+k=")</f>
        <v>#VALUE!</v>
      </c>
      <c r="IA16" t="e">
        <f>AND(Шахм!D111,"AAAAAG+/f+o=")</f>
        <v>#VALUE!</v>
      </c>
      <c r="IB16" t="e">
        <f>AND(Шахм!E111,"AAAAAG+/f+s=")</f>
        <v>#VALUE!</v>
      </c>
      <c r="IC16" t="e">
        <f>AND(Шахм!F111,"AAAAAG+/f+w=")</f>
        <v>#VALUE!</v>
      </c>
      <c r="ID16" t="e">
        <f>AND(Шахм!G111,"AAAAAG+/f+0=")</f>
        <v>#VALUE!</v>
      </c>
      <c r="IE16" t="e">
        <f>AND(Шахм!H111,"AAAAAG+/f+4=")</f>
        <v>#VALUE!</v>
      </c>
      <c r="IF16" t="e">
        <f>AND(Шахм!I111,"AAAAAG+/f+8=")</f>
        <v>#VALUE!</v>
      </c>
      <c r="IG16" t="e">
        <f>AND(Шахм!J111,"AAAAAG+/f/A=")</f>
        <v>#VALUE!</v>
      </c>
      <c r="IH16" t="e">
        <f>AND(Шахм!K111,"AAAAAG+/f/E=")</f>
        <v>#VALUE!</v>
      </c>
      <c r="II16" t="e">
        <f>AND(Шахм!L111,"AAAAAG+/f/I=")</f>
        <v>#VALUE!</v>
      </c>
      <c r="IJ16" t="e">
        <f>AND(Шахм!M111,"AAAAAG+/f/M=")</f>
        <v>#VALUE!</v>
      </c>
      <c r="IK16" t="e">
        <f>AND(Шахм!N111,"AAAAAG+/f/Q=")</f>
        <v>#VALUE!</v>
      </c>
      <c r="IL16" t="e">
        <f>AND(Шахм!O111,"AAAAAG+/f/U=")</f>
        <v>#VALUE!</v>
      </c>
      <c r="IM16" t="e">
        <f>AND(Шахм!P111,"AAAAAG+/f/Y=")</f>
        <v>#VALUE!</v>
      </c>
      <c r="IN16" t="e">
        <f>AND(Шахм!Q111,"AAAAAG+/f/c=")</f>
        <v>#VALUE!</v>
      </c>
      <c r="IO16" t="e">
        <f>AND(Шахм!R111,"AAAAAG+/f/g=")</f>
        <v>#VALUE!</v>
      </c>
      <c r="IP16" t="e">
        <f>AND(Шахм!S111,"AAAAAG+/f/k=")</f>
        <v>#VALUE!</v>
      </c>
      <c r="IQ16" t="e">
        <f>AND(Шахм!T111,"AAAAAG+/f/o=")</f>
        <v>#VALUE!</v>
      </c>
      <c r="IR16" t="e">
        <f>AND(Шахм!U111,"AAAAAG+/f/s=")</f>
        <v>#VALUE!</v>
      </c>
      <c r="IS16" t="e">
        <f>AND(Шахм!V111,"AAAAAG+/f/w=")</f>
        <v>#VALUE!</v>
      </c>
      <c r="IT16" t="e">
        <f>AND(Шахм!W111,"AAAAAG+/f/0=")</f>
        <v>#VALUE!</v>
      </c>
      <c r="IU16" t="e">
        <f>AND(Шахм!X111,"AAAAAG+/f/4=")</f>
        <v>#VALUE!</v>
      </c>
      <c r="IV16" t="e">
        <f>AND(Шахм!Y111,"AAAAAG+/f/8=")</f>
        <v>#VALUE!</v>
      </c>
    </row>
    <row r="17" spans="1:256">
      <c r="A17" t="e">
        <f>AND(Шахм!Z111,"AAAAADr7vAA=")</f>
        <v>#VALUE!</v>
      </c>
      <c r="B17" t="e">
        <f>AND(Шахм!AA111,"AAAAADr7vAE=")</f>
        <v>#VALUE!</v>
      </c>
      <c r="C17" t="e">
        <f>AND(Шахм!AB111,"AAAAADr7vAI=")</f>
        <v>#VALUE!</v>
      </c>
      <c r="D17" t="e">
        <f>AND(Шахм!AC111,"AAAAADr7vAM=")</f>
        <v>#VALUE!</v>
      </c>
      <c r="E17" t="e">
        <f>AND(Шахм!AD111,"AAAAADr7vAQ=")</f>
        <v>#VALUE!</v>
      </c>
      <c r="F17" t="e">
        <f>AND(Шахм!AE111,"AAAAADr7vAU=")</f>
        <v>#VALUE!</v>
      </c>
      <c r="G17" t="e">
        <f>AND(Шахм!AF111,"AAAAADr7vAY=")</f>
        <v>#VALUE!</v>
      </c>
      <c r="H17" t="e">
        <f>AND(Шахм!AG111,"AAAAADr7vAc=")</f>
        <v>#VALUE!</v>
      </c>
      <c r="I17" t="e">
        <f>AND(Шахм!AH111,"AAAAADr7vAg=")</f>
        <v>#VALUE!</v>
      </c>
      <c r="J17" t="e">
        <f>AND(Шахм!AI111,"AAAAADr7vAk=")</f>
        <v>#VALUE!</v>
      </c>
      <c r="K17" t="e">
        <f>AND(Шахм!AJ111,"AAAAADr7vAo=")</f>
        <v>#VALUE!</v>
      </c>
      <c r="L17" t="str">
        <f>IF(Шахм!112:112,"AAAAADr7vAs=",0)</f>
        <v>AAAAADr7vAs=</v>
      </c>
      <c r="M17" t="e">
        <f>AND(Шахм!A112,"AAAAADr7vAw=")</f>
        <v>#VALUE!</v>
      </c>
      <c r="N17" t="e">
        <f>AND(Шахм!B112,"AAAAADr7vA0=")</f>
        <v>#VALUE!</v>
      </c>
      <c r="O17" t="e">
        <f>AND(Шахм!C112,"AAAAADr7vA4=")</f>
        <v>#VALUE!</v>
      </c>
      <c r="P17" t="e">
        <f>AND(Шахм!D112,"AAAAADr7vA8=")</f>
        <v>#VALUE!</v>
      </c>
      <c r="Q17" t="e">
        <f>AND(Шахм!E112,"AAAAADr7vBA=")</f>
        <v>#VALUE!</v>
      </c>
      <c r="R17" t="e">
        <f>AND(Шахм!F112,"AAAAADr7vBE=")</f>
        <v>#VALUE!</v>
      </c>
      <c r="S17" t="e">
        <f>AND(Шахм!G112,"AAAAADr7vBI=")</f>
        <v>#VALUE!</v>
      </c>
      <c r="T17" t="e">
        <f>AND(Шахм!H112,"AAAAADr7vBM=")</f>
        <v>#VALUE!</v>
      </c>
      <c r="U17" t="e">
        <f>AND(Шахм!I112,"AAAAADr7vBQ=")</f>
        <v>#VALUE!</v>
      </c>
      <c r="V17" t="e">
        <f>AND(Шахм!J112,"AAAAADr7vBU=")</f>
        <v>#VALUE!</v>
      </c>
      <c r="W17" t="e">
        <f>AND(Шахм!K112,"AAAAADr7vBY=")</f>
        <v>#VALUE!</v>
      </c>
      <c r="X17" t="e">
        <f>AND(Шахм!L112,"AAAAADr7vBc=")</f>
        <v>#VALUE!</v>
      </c>
      <c r="Y17" t="e">
        <f>AND(Шахм!M112,"AAAAADr7vBg=")</f>
        <v>#VALUE!</v>
      </c>
      <c r="Z17" t="e">
        <f>AND(Шахм!N112,"AAAAADr7vBk=")</f>
        <v>#VALUE!</v>
      </c>
      <c r="AA17" t="e">
        <f>AND(Шахм!O112,"AAAAADr7vBo=")</f>
        <v>#VALUE!</v>
      </c>
      <c r="AB17" t="e">
        <f>AND(Шахм!P112,"AAAAADr7vBs=")</f>
        <v>#VALUE!</v>
      </c>
      <c r="AC17" t="e">
        <f>AND(Шахм!Q112,"AAAAADr7vBw=")</f>
        <v>#VALUE!</v>
      </c>
      <c r="AD17" t="e">
        <f>AND(Шахм!R112,"AAAAADr7vB0=")</f>
        <v>#VALUE!</v>
      </c>
      <c r="AE17" t="e">
        <f>AND(Шахм!S112,"AAAAADr7vB4=")</f>
        <v>#VALUE!</v>
      </c>
      <c r="AF17" t="e">
        <f>AND(Шахм!T112,"AAAAADr7vB8=")</f>
        <v>#VALUE!</v>
      </c>
      <c r="AG17" t="e">
        <f>AND(Шахм!U112,"AAAAADr7vCA=")</f>
        <v>#VALUE!</v>
      </c>
      <c r="AH17" t="e">
        <f>AND(Шахм!V112,"AAAAADr7vCE=")</f>
        <v>#VALUE!</v>
      </c>
      <c r="AI17" t="e">
        <f>AND(Шахм!W112,"AAAAADr7vCI=")</f>
        <v>#VALUE!</v>
      </c>
      <c r="AJ17" t="e">
        <f>AND(Шахм!X112,"AAAAADr7vCM=")</f>
        <v>#VALUE!</v>
      </c>
      <c r="AK17" t="e">
        <f>AND(Шахм!Y112,"AAAAADr7vCQ=")</f>
        <v>#VALUE!</v>
      </c>
      <c r="AL17" t="e">
        <f>AND(Шахм!Z112,"AAAAADr7vCU=")</f>
        <v>#VALUE!</v>
      </c>
      <c r="AM17" t="e">
        <f>AND(Шахм!AA112,"AAAAADr7vCY=")</f>
        <v>#VALUE!</v>
      </c>
      <c r="AN17" t="e">
        <f>AND(Шахм!AB112,"AAAAADr7vCc=")</f>
        <v>#VALUE!</v>
      </c>
      <c r="AO17" t="e">
        <f>AND(Шахм!AC112,"AAAAADr7vCg=")</f>
        <v>#VALUE!</v>
      </c>
      <c r="AP17" t="e">
        <f>AND(Шахм!AD112,"AAAAADr7vCk=")</f>
        <v>#VALUE!</v>
      </c>
      <c r="AQ17" t="e">
        <f>AND(Шахм!AE112,"AAAAADr7vCo=")</f>
        <v>#VALUE!</v>
      </c>
      <c r="AR17" t="e">
        <f>AND(Шахм!AF112,"AAAAADr7vCs=")</f>
        <v>#VALUE!</v>
      </c>
      <c r="AS17" t="e">
        <f>AND(Шахм!AG112,"AAAAADr7vCw=")</f>
        <v>#VALUE!</v>
      </c>
      <c r="AT17" t="e">
        <f>AND(Шахм!AH112,"AAAAADr7vC0=")</f>
        <v>#VALUE!</v>
      </c>
      <c r="AU17" t="e">
        <f>AND(Шахм!AI112,"AAAAADr7vC4=")</f>
        <v>#VALUE!</v>
      </c>
      <c r="AV17" t="e">
        <f>AND(Шахм!AJ112,"AAAAADr7vC8=")</f>
        <v>#VALUE!</v>
      </c>
      <c r="AW17">
        <f>IF(Шахм!113:113,"AAAAADr7vDA=",0)</f>
        <v>0</v>
      </c>
      <c r="AX17" t="e">
        <f>AND(Шахм!A113,"AAAAADr7vDE=")</f>
        <v>#VALUE!</v>
      </c>
      <c r="AY17" t="e">
        <f>AND(Шахм!B113,"AAAAADr7vDI=")</f>
        <v>#VALUE!</v>
      </c>
      <c r="AZ17" t="e">
        <f>AND(Шахм!C113,"AAAAADr7vDM=")</f>
        <v>#VALUE!</v>
      </c>
      <c r="BA17" t="e">
        <f>AND(Шахм!D113,"AAAAADr7vDQ=")</f>
        <v>#VALUE!</v>
      </c>
      <c r="BB17" t="e">
        <f>AND(Шахм!E113,"AAAAADr7vDU=")</f>
        <v>#VALUE!</v>
      </c>
      <c r="BC17" t="e">
        <f>AND(Шахм!F113,"AAAAADr7vDY=")</f>
        <v>#VALUE!</v>
      </c>
      <c r="BD17" t="e">
        <f>AND(Шахм!G113,"AAAAADr7vDc=")</f>
        <v>#VALUE!</v>
      </c>
      <c r="BE17" t="e">
        <f>AND(Шахм!H113,"AAAAADr7vDg=")</f>
        <v>#VALUE!</v>
      </c>
      <c r="BF17" t="e">
        <f>AND(Шахм!I113,"AAAAADr7vDk=")</f>
        <v>#VALUE!</v>
      </c>
      <c r="BG17" t="e">
        <f>AND(Шахм!J113,"AAAAADr7vDo=")</f>
        <v>#VALUE!</v>
      </c>
      <c r="BH17" t="e">
        <f>AND(Шахм!K113,"AAAAADr7vDs=")</f>
        <v>#VALUE!</v>
      </c>
      <c r="BI17" t="e">
        <f>AND(Шахм!L113,"AAAAADr7vDw=")</f>
        <v>#VALUE!</v>
      </c>
      <c r="BJ17" t="e">
        <f>AND(Шахм!M113,"AAAAADr7vD0=")</f>
        <v>#VALUE!</v>
      </c>
      <c r="BK17" t="e">
        <f>AND(Шахм!N113,"AAAAADr7vD4=")</f>
        <v>#VALUE!</v>
      </c>
      <c r="BL17" t="e">
        <f>AND(Шахм!O113,"AAAAADr7vD8=")</f>
        <v>#VALUE!</v>
      </c>
      <c r="BM17" t="e">
        <f>AND(Шахм!P113,"AAAAADr7vEA=")</f>
        <v>#VALUE!</v>
      </c>
      <c r="BN17" t="e">
        <f>AND(Шахм!Q113,"AAAAADr7vEE=")</f>
        <v>#VALUE!</v>
      </c>
      <c r="BO17" t="e">
        <f>AND(Шахм!R113,"AAAAADr7vEI=")</f>
        <v>#VALUE!</v>
      </c>
      <c r="BP17" t="e">
        <f>AND(Шахм!S113,"AAAAADr7vEM=")</f>
        <v>#VALUE!</v>
      </c>
      <c r="BQ17" t="e">
        <f>AND(Шахм!T113,"AAAAADr7vEQ=")</f>
        <v>#VALUE!</v>
      </c>
      <c r="BR17" t="e">
        <f>AND(Шахм!U113,"AAAAADr7vEU=")</f>
        <v>#VALUE!</v>
      </c>
      <c r="BS17" t="e">
        <f>AND(Шахм!V113,"AAAAADr7vEY=")</f>
        <v>#VALUE!</v>
      </c>
      <c r="BT17" t="e">
        <f>AND(Шахм!W113,"AAAAADr7vEc=")</f>
        <v>#VALUE!</v>
      </c>
      <c r="BU17" t="e">
        <f>AND(Шахм!X113,"AAAAADr7vEg=")</f>
        <v>#VALUE!</v>
      </c>
      <c r="BV17" t="e">
        <f>AND(Шахм!Y113,"AAAAADr7vEk=")</f>
        <v>#VALUE!</v>
      </c>
      <c r="BW17" t="e">
        <f>AND(Шахм!Z113,"AAAAADr7vEo=")</f>
        <v>#VALUE!</v>
      </c>
      <c r="BX17" t="e">
        <f>AND(Шахм!AA113,"AAAAADr7vEs=")</f>
        <v>#VALUE!</v>
      </c>
      <c r="BY17" t="e">
        <f>AND(Шахм!AB113,"AAAAADr7vEw=")</f>
        <v>#VALUE!</v>
      </c>
      <c r="BZ17" t="e">
        <f>AND(Шахм!AC113,"AAAAADr7vE0=")</f>
        <v>#VALUE!</v>
      </c>
      <c r="CA17" t="e">
        <f>AND(Шахм!AD113,"AAAAADr7vE4=")</f>
        <v>#VALUE!</v>
      </c>
      <c r="CB17" t="e">
        <f>AND(Шахм!AE113,"AAAAADr7vE8=")</f>
        <v>#VALUE!</v>
      </c>
      <c r="CC17" t="e">
        <f>AND(Шахм!AF113,"AAAAADr7vFA=")</f>
        <v>#VALUE!</v>
      </c>
      <c r="CD17" t="e">
        <f>AND(Шахм!AG113,"AAAAADr7vFE=")</f>
        <v>#VALUE!</v>
      </c>
      <c r="CE17" t="e">
        <f>AND(Шахм!AH113,"AAAAADr7vFI=")</f>
        <v>#VALUE!</v>
      </c>
      <c r="CF17" t="e">
        <f>AND(Шахм!AI113,"AAAAADr7vFM=")</f>
        <v>#VALUE!</v>
      </c>
      <c r="CG17" t="e">
        <f>AND(Шахм!AJ113,"AAAAADr7vFQ=")</f>
        <v>#VALUE!</v>
      </c>
      <c r="CH17">
        <f>IF(Шахм!114:114,"AAAAADr7vFU=",0)</f>
        <v>0</v>
      </c>
      <c r="CI17" t="e">
        <f>AND(Шахм!A114,"AAAAADr7vFY=")</f>
        <v>#VALUE!</v>
      </c>
      <c r="CJ17" t="e">
        <f>AND(Шахм!B114,"AAAAADr7vFc=")</f>
        <v>#VALUE!</v>
      </c>
      <c r="CK17" t="e">
        <f>AND(Шахм!C114,"AAAAADr7vFg=")</f>
        <v>#VALUE!</v>
      </c>
      <c r="CL17" t="e">
        <f>AND(Шахм!D114,"AAAAADr7vFk=")</f>
        <v>#VALUE!</v>
      </c>
      <c r="CM17" t="e">
        <f>AND(Шахм!E114,"AAAAADr7vFo=")</f>
        <v>#VALUE!</v>
      </c>
      <c r="CN17" t="e">
        <f>AND(Шахм!F114,"AAAAADr7vFs=")</f>
        <v>#VALUE!</v>
      </c>
      <c r="CO17" t="e">
        <f>AND(Шахм!G114,"AAAAADr7vFw=")</f>
        <v>#VALUE!</v>
      </c>
      <c r="CP17" t="e">
        <f>AND(Шахм!H114,"AAAAADr7vF0=")</f>
        <v>#VALUE!</v>
      </c>
      <c r="CQ17" t="e">
        <f>AND(Шахм!I114,"AAAAADr7vF4=")</f>
        <v>#VALUE!</v>
      </c>
      <c r="CR17" t="e">
        <f>AND(Шахм!J114,"AAAAADr7vF8=")</f>
        <v>#VALUE!</v>
      </c>
      <c r="CS17" t="e">
        <f>AND(Шахм!K114,"AAAAADr7vGA=")</f>
        <v>#VALUE!</v>
      </c>
      <c r="CT17" t="e">
        <f>AND(Шахм!L114,"AAAAADr7vGE=")</f>
        <v>#VALUE!</v>
      </c>
      <c r="CU17" t="e">
        <f>AND(Шахм!M114,"AAAAADr7vGI=")</f>
        <v>#VALUE!</v>
      </c>
      <c r="CV17" t="e">
        <f>AND(Шахм!N114,"AAAAADr7vGM=")</f>
        <v>#VALUE!</v>
      </c>
      <c r="CW17" t="e">
        <f>AND(Шахм!O114,"AAAAADr7vGQ=")</f>
        <v>#VALUE!</v>
      </c>
      <c r="CX17" t="e">
        <f>AND(Шахм!P114,"AAAAADr7vGU=")</f>
        <v>#VALUE!</v>
      </c>
      <c r="CY17" t="e">
        <f>AND(Шахм!Q114,"AAAAADr7vGY=")</f>
        <v>#VALUE!</v>
      </c>
      <c r="CZ17" t="e">
        <f>AND(Шахм!R114,"AAAAADr7vGc=")</f>
        <v>#VALUE!</v>
      </c>
      <c r="DA17" t="e">
        <f>AND(Шахм!S114,"AAAAADr7vGg=")</f>
        <v>#VALUE!</v>
      </c>
      <c r="DB17" t="e">
        <f>AND(Шахм!T114,"AAAAADr7vGk=")</f>
        <v>#VALUE!</v>
      </c>
      <c r="DC17" t="e">
        <f>AND(Шахм!U114,"AAAAADr7vGo=")</f>
        <v>#VALUE!</v>
      </c>
      <c r="DD17" t="e">
        <f>AND(Шахм!V114,"AAAAADr7vGs=")</f>
        <v>#VALUE!</v>
      </c>
      <c r="DE17" t="e">
        <f>AND(Шахм!W114,"AAAAADr7vGw=")</f>
        <v>#VALUE!</v>
      </c>
      <c r="DF17" t="e">
        <f>AND(Шахм!X114,"AAAAADr7vG0=")</f>
        <v>#VALUE!</v>
      </c>
      <c r="DG17" t="e">
        <f>AND(Шахм!Y114,"AAAAADr7vG4=")</f>
        <v>#VALUE!</v>
      </c>
      <c r="DH17" t="e">
        <f>AND(Шахм!Z114,"AAAAADr7vG8=")</f>
        <v>#VALUE!</v>
      </c>
      <c r="DI17" t="e">
        <f>AND(Шахм!AA114,"AAAAADr7vHA=")</f>
        <v>#VALUE!</v>
      </c>
      <c r="DJ17" t="e">
        <f>AND(Шахм!AB114,"AAAAADr7vHE=")</f>
        <v>#VALUE!</v>
      </c>
      <c r="DK17" t="e">
        <f>AND(Шахм!AC114,"AAAAADr7vHI=")</f>
        <v>#VALUE!</v>
      </c>
      <c r="DL17" t="e">
        <f>AND(Шахм!AD114,"AAAAADr7vHM=")</f>
        <v>#VALUE!</v>
      </c>
      <c r="DM17" t="e">
        <f>AND(Шахм!AE114,"AAAAADr7vHQ=")</f>
        <v>#VALUE!</v>
      </c>
      <c r="DN17" t="e">
        <f>AND(Шахм!AF114,"AAAAADr7vHU=")</f>
        <v>#VALUE!</v>
      </c>
      <c r="DO17" t="e">
        <f>AND(Шахм!AG114,"AAAAADr7vHY=")</f>
        <v>#VALUE!</v>
      </c>
      <c r="DP17" t="e">
        <f>AND(Шахм!AH114,"AAAAADr7vHc=")</f>
        <v>#VALUE!</v>
      </c>
      <c r="DQ17" t="e">
        <f>AND(Шахм!AI114,"AAAAADr7vHg=")</f>
        <v>#VALUE!</v>
      </c>
      <c r="DR17" t="e">
        <f>AND(Шахм!AJ114,"AAAAADr7vHk=")</f>
        <v>#VALUE!</v>
      </c>
      <c r="DS17">
        <f>IF(Шахм!115:115,"AAAAADr7vHo=",0)</f>
        <v>0</v>
      </c>
      <c r="DT17" t="e">
        <f>AND(Шахм!A115,"AAAAADr7vHs=")</f>
        <v>#VALUE!</v>
      </c>
      <c r="DU17" t="e">
        <f>AND(Шахм!B115,"AAAAADr7vHw=")</f>
        <v>#VALUE!</v>
      </c>
      <c r="DV17" t="e">
        <f>AND(Шахм!C115,"AAAAADr7vH0=")</f>
        <v>#VALUE!</v>
      </c>
      <c r="DW17" t="e">
        <f>AND(Шахм!D115,"AAAAADr7vH4=")</f>
        <v>#VALUE!</v>
      </c>
      <c r="DX17" t="e">
        <f>AND(Шахм!E115,"AAAAADr7vH8=")</f>
        <v>#VALUE!</v>
      </c>
      <c r="DY17" t="e">
        <f>AND(Шахм!F115,"AAAAADr7vIA=")</f>
        <v>#VALUE!</v>
      </c>
      <c r="DZ17" t="e">
        <f>AND(Шахм!G115,"AAAAADr7vIE=")</f>
        <v>#VALUE!</v>
      </c>
      <c r="EA17" t="e">
        <f>AND(Шахм!H115,"AAAAADr7vII=")</f>
        <v>#VALUE!</v>
      </c>
      <c r="EB17" t="e">
        <f>AND(Шахм!I115,"AAAAADr7vIM=")</f>
        <v>#VALUE!</v>
      </c>
      <c r="EC17" t="e">
        <f>AND(Шахм!J115,"AAAAADr7vIQ=")</f>
        <v>#VALUE!</v>
      </c>
      <c r="ED17" t="e">
        <f>AND(Шахм!K115,"AAAAADr7vIU=")</f>
        <v>#VALUE!</v>
      </c>
      <c r="EE17" t="e">
        <f>AND(Шахм!L115,"AAAAADr7vIY=")</f>
        <v>#VALUE!</v>
      </c>
      <c r="EF17" t="e">
        <f>AND(Шахм!M115,"AAAAADr7vIc=")</f>
        <v>#VALUE!</v>
      </c>
      <c r="EG17" t="e">
        <f>AND(Шахм!N115,"AAAAADr7vIg=")</f>
        <v>#VALUE!</v>
      </c>
      <c r="EH17" t="e">
        <f>AND(Шахм!O115,"AAAAADr7vIk=")</f>
        <v>#VALUE!</v>
      </c>
      <c r="EI17" t="e">
        <f>AND(Шахм!P115,"AAAAADr7vIo=")</f>
        <v>#VALUE!</v>
      </c>
      <c r="EJ17" t="e">
        <f>AND(Шахм!Q115,"AAAAADr7vIs=")</f>
        <v>#VALUE!</v>
      </c>
      <c r="EK17" t="e">
        <f>AND(Шахм!R115,"AAAAADr7vIw=")</f>
        <v>#VALUE!</v>
      </c>
      <c r="EL17" t="e">
        <f>AND(Шахм!S115,"AAAAADr7vI0=")</f>
        <v>#VALUE!</v>
      </c>
      <c r="EM17" t="e">
        <f>AND(Шахм!T115,"AAAAADr7vI4=")</f>
        <v>#VALUE!</v>
      </c>
      <c r="EN17" t="e">
        <f>AND(Шахм!U115,"AAAAADr7vI8=")</f>
        <v>#VALUE!</v>
      </c>
      <c r="EO17" t="e">
        <f>AND(Шахм!V115,"AAAAADr7vJA=")</f>
        <v>#VALUE!</v>
      </c>
      <c r="EP17" t="e">
        <f>AND(Шахм!W115,"AAAAADr7vJE=")</f>
        <v>#VALUE!</v>
      </c>
      <c r="EQ17" t="e">
        <f>AND(Шахм!X115,"AAAAADr7vJI=")</f>
        <v>#VALUE!</v>
      </c>
      <c r="ER17" t="e">
        <f>AND(Шахм!Y115,"AAAAADr7vJM=")</f>
        <v>#VALUE!</v>
      </c>
      <c r="ES17" t="e">
        <f>AND(Шахм!Z115,"AAAAADr7vJQ=")</f>
        <v>#VALUE!</v>
      </c>
      <c r="ET17" t="e">
        <f>AND(Шахм!AA115,"AAAAADr7vJU=")</f>
        <v>#VALUE!</v>
      </c>
      <c r="EU17" t="e">
        <f>AND(Шахм!AB115,"AAAAADr7vJY=")</f>
        <v>#VALUE!</v>
      </c>
      <c r="EV17" t="e">
        <f>AND(Шахм!AC115,"AAAAADr7vJc=")</f>
        <v>#VALUE!</v>
      </c>
      <c r="EW17" t="e">
        <f>AND(Шахм!AD115,"AAAAADr7vJg=")</f>
        <v>#VALUE!</v>
      </c>
      <c r="EX17" t="e">
        <f>AND(Шахм!AE115,"AAAAADr7vJk=")</f>
        <v>#VALUE!</v>
      </c>
      <c r="EY17" t="e">
        <f>AND(Шахм!AF115,"AAAAADr7vJo=")</f>
        <v>#VALUE!</v>
      </c>
      <c r="EZ17" t="e">
        <f>AND(Шахм!AG115,"AAAAADr7vJs=")</f>
        <v>#VALUE!</v>
      </c>
      <c r="FA17" t="e">
        <f>AND(Шахм!AH115,"AAAAADr7vJw=")</f>
        <v>#VALUE!</v>
      </c>
      <c r="FB17" t="e">
        <f>AND(Шахм!AI115,"AAAAADr7vJ0=")</f>
        <v>#VALUE!</v>
      </c>
      <c r="FC17" t="e">
        <f>AND(Шахм!AJ115,"AAAAADr7vJ4=")</f>
        <v>#VALUE!</v>
      </c>
      <c r="FD17">
        <f>IF(Шахм!116:116,"AAAAADr7vJ8=",0)</f>
        <v>0</v>
      </c>
      <c r="FE17" t="e">
        <f>AND(Шахм!A116,"AAAAADr7vKA=")</f>
        <v>#VALUE!</v>
      </c>
      <c r="FF17" t="e">
        <f>AND(Шахм!B116,"AAAAADr7vKE=")</f>
        <v>#VALUE!</v>
      </c>
      <c r="FG17" t="e">
        <f>AND(Шахм!C116,"AAAAADr7vKI=")</f>
        <v>#VALUE!</v>
      </c>
      <c r="FH17" t="e">
        <f>AND(Шахм!D116,"AAAAADr7vKM=")</f>
        <v>#VALUE!</v>
      </c>
      <c r="FI17" t="e">
        <f>AND(Шахм!E116,"AAAAADr7vKQ=")</f>
        <v>#VALUE!</v>
      </c>
      <c r="FJ17" t="e">
        <f>AND(Шахм!F116,"AAAAADr7vKU=")</f>
        <v>#VALUE!</v>
      </c>
      <c r="FK17" t="e">
        <f>AND(Шахм!G116,"AAAAADr7vKY=")</f>
        <v>#VALUE!</v>
      </c>
      <c r="FL17" t="e">
        <f>AND(Шахм!H116,"AAAAADr7vKc=")</f>
        <v>#VALUE!</v>
      </c>
      <c r="FM17" t="e">
        <f>AND(Шахм!I116,"AAAAADr7vKg=")</f>
        <v>#VALUE!</v>
      </c>
      <c r="FN17" t="e">
        <f>AND(Шахм!J116,"AAAAADr7vKk=")</f>
        <v>#VALUE!</v>
      </c>
      <c r="FO17" t="e">
        <f>AND(Шахм!K116,"AAAAADr7vKo=")</f>
        <v>#VALUE!</v>
      </c>
      <c r="FP17" t="e">
        <f>AND(Шахм!L116,"AAAAADr7vKs=")</f>
        <v>#VALUE!</v>
      </c>
      <c r="FQ17" t="e">
        <f>AND(Шахм!M116,"AAAAADr7vKw=")</f>
        <v>#VALUE!</v>
      </c>
      <c r="FR17" t="e">
        <f>AND(Шахм!N116,"AAAAADr7vK0=")</f>
        <v>#VALUE!</v>
      </c>
      <c r="FS17" t="e">
        <f>AND(Шахм!O116,"AAAAADr7vK4=")</f>
        <v>#VALUE!</v>
      </c>
      <c r="FT17" t="e">
        <f>AND(Шахм!P116,"AAAAADr7vK8=")</f>
        <v>#VALUE!</v>
      </c>
      <c r="FU17" t="e">
        <f>AND(Шахм!Q116,"AAAAADr7vLA=")</f>
        <v>#VALUE!</v>
      </c>
      <c r="FV17" t="e">
        <f>AND(Шахм!R116,"AAAAADr7vLE=")</f>
        <v>#VALUE!</v>
      </c>
      <c r="FW17" t="e">
        <f>AND(Шахм!S116,"AAAAADr7vLI=")</f>
        <v>#VALUE!</v>
      </c>
      <c r="FX17" t="e">
        <f>AND(Шахм!T116,"AAAAADr7vLM=")</f>
        <v>#VALUE!</v>
      </c>
      <c r="FY17" t="e">
        <f>AND(Шахм!U116,"AAAAADr7vLQ=")</f>
        <v>#VALUE!</v>
      </c>
      <c r="FZ17" t="e">
        <f>AND(Шахм!V116,"AAAAADr7vLU=")</f>
        <v>#VALUE!</v>
      </c>
      <c r="GA17" t="e">
        <f>AND(Шахм!W116,"AAAAADr7vLY=")</f>
        <v>#VALUE!</v>
      </c>
      <c r="GB17" t="e">
        <f>AND(Шахм!X116,"AAAAADr7vLc=")</f>
        <v>#VALUE!</v>
      </c>
      <c r="GC17" t="e">
        <f>AND(Шахм!Y116,"AAAAADr7vLg=")</f>
        <v>#VALUE!</v>
      </c>
      <c r="GD17" t="e">
        <f>AND(Шахм!Z116,"AAAAADr7vLk=")</f>
        <v>#VALUE!</v>
      </c>
      <c r="GE17" t="e">
        <f>AND(Шахм!AA116,"AAAAADr7vLo=")</f>
        <v>#VALUE!</v>
      </c>
      <c r="GF17" t="e">
        <f>AND(Шахм!AB116,"AAAAADr7vLs=")</f>
        <v>#VALUE!</v>
      </c>
      <c r="GG17" t="e">
        <f>AND(Шахм!AC116,"AAAAADr7vLw=")</f>
        <v>#VALUE!</v>
      </c>
      <c r="GH17" t="e">
        <f>AND(Шахм!AD116,"AAAAADr7vL0=")</f>
        <v>#VALUE!</v>
      </c>
      <c r="GI17" t="e">
        <f>AND(Шахм!AE116,"AAAAADr7vL4=")</f>
        <v>#VALUE!</v>
      </c>
      <c r="GJ17" t="e">
        <f>AND(Шахм!AF116,"AAAAADr7vL8=")</f>
        <v>#VALUE!</v>
      </c>
      <c r="GK17" t="e">
        <f>AND(Шахм!AG116,"AAAAADr7vMA=")</f>
        <v>#VALUE!</v>
      </c>
      <c r="GL17" t="e">
        <f>AND(Шахм!AH116,"AAAAADr7vME=")</f>
        <v>#VALUE!</v>
      </c>
      <c r="GM17" t="e">
        <f>AND(Шахм!AI116,"AAAAADr7vMI=")</f>
        <v>#VALUE!</v>
      </c>
      <c r="GN17" t="e">
        <f>AND(Шахм!AJ116,"AAAAADr7vMM=")</f>
        <v>#VALUE!</v>
      </c>
      <c r="GO17">
        <f>IF(Шахм!117:117,"AAAAADr7vMQ=",0)</f>
        <v>0</v>
      </c>
      <c r="GP17" t="e">
        <f>AND(Шахм!A117,"AAAAADr7vMU=")</f>
        <v>#VALUE!</v>
      </c>
      <c r="GQ17" t="e">
        <f>AND(Шахм!B117,"AAAAADr7vMY=")</f>
        <v>#VALUE!</v>
      </c>
      <c r="GR17" t="e">
        <f>AND(Шахм!C117,"AAAAADr7vMc=")</f>
        <v>#VALUE!</v>
      </c>
      <c r="GS17" t="e">
        <f>AND(Шахм!D117,"AAAAADr7vMg=")</f>
        <v>#VALUE!</v>
      </c>
      <c r="GT17" t="e">
        <f>AND(Шахм!E117,"AAAAADr7vMk=")</f>
        <v>#VALUE!</v>
      </c>
      <c r="GU17" t="e">
        <f>AND(Шахм!F117,"AAAAADr7vMo=")</f>
        <v>#VALUE!</v>
      </c>
      <c r="GV17" t="e">
        <f>AND(Шахм!G117,"AAAAADr7vMs=")</f>
        <v>#VALUE!</v>
      </c>
      <c r="GW17" t="e">
        <f>AND(Шахм!H117,"AAAAADr7vMw=")</f>
        <v>#VALUE!</v>
      </c>
      <c r="GX17" t="e">
        <f>AND(Шахм!I117,"AAAAADr7vM0=")</f>
        <v>#VALUE!</v>
      </c>
      <c r="GY17" t="e">
        <f>AND(Шахм!J117,"AAAAADr7vM4=")</f>
        <v>#VALUE!</v>
      </c>
      <c r="GZ17" t="e">
        <f>AND(Шахм!K117,"AAAAADr7vM8=")</f>
        <v>#VALUE!</v>
      </c>
      <c r="HA17" t="e">
        <f>AND(Шахм!L117,"AAAAADr7vNA=")</f>
        <v>#VALUE!</v>
      </c>
      <c r="HB17" t="e">
        <f>AND(Шахм!M117,"AAAAADr7vNE=")</f>
        <v>#VALUE!</v>
      </c>
      <c r="HC17" t="e">
        <f>AND(Шахм!N117,"AAAAADr7vNI=")</f>
        <v>#VALUE!</v>
      </c>
      <c r="HD17" t="e">
        <f>AND(Шахм!O117,"AAAAADr7vNM=")</f>
        <v>#VALUE!</v>
      </c>
      <c r="HE17" t="e">
        <f>AND(Шахм!P117,"AAAAADr7vNQ=")</f>
        <v>#VALUE!</v>
      </c>
      <c r="HF17" t="e">
        <f>AND(Шахм!Q117,"AAAAADr7vNU=")</f>
        <v>#VALUE!</v>
      </c>
      <c r="HG17" t="e">
        <f>AND(Шахм!R117,"AAAAADr7vNY=")</f>
        <v>#VALUE!</v>
      </c>
      <c r="HH17" t="e">
        <f>AND(Шахм!S117,"AAAAADr7vNc=")</f>
        <v>#VALUE!</v>
      </c>
      <c r="HI17" t="e">
        <f>AND(Шахм!T117,"AAAAADr7vNg=")</f>
        <v>#VALUE!</v>
      </c>
      <c r="HJ17" t="e">
        <f>AND(Шахм!U117,"AAAAADr7vNk=")</f>
        <v>#VALUE!</v>
      </c>
      <c r="HK17" t="e">
        <f>AND(Шахм!V117,"AAAAADr7vNo=")</f>
        <v>#VALUE!</v>
      </c>
      <c r="HL17" t="e">
        <f>AND(Шахм!W117,"AAAAADr7vNs=")</f>
        <v>#VALUE!</v>
      </c>
      <c r="HM17" t="e">
        <f>AND(Шахм!X117,"AAAAADr7vNw=")</f>
        <v>#VALUE!</v>
      </c>
      <c r="HN17" t="e">
        <f>AND(Шахм!Y117,"AAAAADr7vN0=")</f>
        <v>#VALUE!</v>
      </c>
      <c r="HO17" t="e">
        <f>AND(Шахм!Z117,"AAAAADr7vN4=")</f>
        <v>#VALUE!</v>
      </c>
      <c r="HP17" t="e">
        <f>AND(Шахм!AA117,"AAAAADr7vN8=")</f>
        <v>#VALUE!</v>
      </c>
      <c r="HQ17" t="e">
        <f>AND(Шахм!AB117,"AAAAADr7vOA=")</f>
        <v>#VALUE!</v>
      </c>
      <c r="HR17" t="e">
        <f>AND(Шахм!AC117,"AAAAADr7vOE=")</f>
        <v>#VALUE!</v>
      </c>
      <c r="HS17" t="e">
        <f>AND(Шахм!AD117,"AAAAADr7vOI=")</f>
        <v>#VALUE!</v>
      </c>
      <c r="HT17" t="e">
        <f>AND(Шахм!AE117,"AAAAADr7vOM=")</f>
        <v>#VALUE!</v>
      </c>
      <c r="HU17" t="e">
        <f>AND(Шахм!AF117,"AAAAADr7vOQ=")</f>
        <v>#VALUE!</v>
      </c>
      <c r="HV17" t="e">
        <f>AND(Шахм!AG117,"AAAAADr7vOU=")</f>
        <v>#VALUE!</v>
      </c>
      <c r="HW17" t="e">
        <f>AND(Шахм!AH117,"AAAAADr7vOY=")</f>
        <v>#VALUE!</v>
      </c>
      <c r="HX17" t="e">
        <f>AND(Шахм!AI117,"AAAAADr7vOc=")</f>
        <v>#VALUE!</v>
      </c>
      <c r="HY17" t="e">
        <f>AND(Шахм!AJ117,"AAAAADr7vOg=")</f>
        <v>#VALUE!</v>
      </c>
      <c r="HZ17">
        <f>IF(Шахм!118:118,"AAAAADr7vOk=",0)</f>
        <v>0</v>
      </c>
      <c r="IA17" t="e">
        <f>AND(Шахм!A118,"AAAAADr7vOo=")</f>
        <v>#VALUE!</v>
      </c>
      <c r="IB17" t="e">
        <f>AND(Шахм!B118,"AAAAADr7vOs=")</f>
        <v>#VALUE!</v>
      </c>
      <c r="IC17" t="e">
        <f>AND(Шахм!C118,"AAAAADr7vOw=")</f>
        <v>#VALUE!</v>
      </c>
      <c r="ID17" t="e">
        <f>AND(Шахм!D118,"AAAAADr7vO0=")</f>
        <v>#VALUE!</v>
      </c>
      <c r="IE17" t="e">
        <f>AND(Шахм!E118,"AAAAADr7vO4=")</f>
        <v>#VALUE!</v>
      </c>
      <c r="IF17" t="e">
        <f>AND(Шахм!F118,"AAAAADr7vO8=")</f>
        <v>#VALUE!</v>
      </c>
      <c r="IG17" t="e">
        <f>AND(Шахм!G118,"AAAAADr7vPA=")</f>
        <v>#VALUE!</v>
      </c>
      <c r="IH17" t="e">
        <f>AND(Шахм!H118,"AAAAADr7vPE=")</f>
        <v>#VALUE!</v>
      </c>
      <c r="II17" t="e">
        <f>AND(Шахм!I118,"AAAAADr7vPI=")</f>
        <v>#VALUE!</v>
      </c>
      <c r="IJ17" t="e">
        <f>AND(Шахм!J118,"AAAAADr7vPM=")</f>
        <v>#VALUE!</v>
      </c>
      <c r="IK17" t="e">
        <f>AND(Шахм!K118,"AAAAADr7vPQ=")</f>
        <v>#VALUE!</v>
      </c>
      <c r="IL17" t="e">
        <f>AND(Шахм!L118,"AAAAADr7vPU=")</f>
        <v>#VALUE!</v>
      </c>
      <c r="IM17" t="e">
        <f>AND(Шахм!M118,"AAAAADr7vPY=")</f>
        <v>#VALUE!</v>
      </c>
      <c r="IN17" t="e">
        <f>AND(Шахм!N118,"AAAAADr7vPc=")</f>
        <v>#VALUE!</v>
      </c>
      <c r="IO17" t="e">
        <f>AND(Шахм!O118,"AAAAADr7vPg=")</f>
        <v>#VALUE!</v>
      </c>
      <c r="IP17" t="e">
        <f>AND(Шахм!P118,"AAAAADr7vPk=")</f>
        <v>#VALUE!</v>
      </c>
      <c r="IQ17" t="e">
        <f>AND(Шахм!Q118,"AAAAADr7vPo=")</f>
        <v>#VALUE!</v>
      </c>
      <c r="IR17" t="e">
        <f>AND(Шахм!R118,"AAAAADr7vPs=")</f>
        <v>#VALUE!</v>
      </c>
      <c r="IS17" t="e">
        <f>AND(Шахм!S118,"AAAAADr7vPw=")</f>
        <v>#VALUE!</v>
      </c>
      <c r="IT17" t="e">
        <f>AND(Шахм!T118,"AAAAADr7vP0=")</f>
        <v>#VALUE!</v>
      </c>
      <c r="IU17" t="e">
        <f>AND(Шахм!U118,"AAAAADr7vP4=")</f>
        <v>#VALUE!</v>
      </c>
      <c r="IV17" t="e">
        <f>AND(Шахм!V118,"AAAAADr7vP8=")</f>
        <v>#VALUE!</v>
      </c>
    </row>
    <row r="18" spans="1:256">
      <c r="A18" t="e">
        <f>AND(Шахм!W118,"AAAAAC7XtwA=")</f>
        <v>#VALUE!</v>
      </c>
      <c r="B18" t="e">
        <f>AND(Шахм!X118,"AAAAAC7XtwE=")</f>
        <v>#VALUE!</v>
      </c>
      <c r="C18" t="e">
        <f>AND(Шахм!Y118,"AAAAAC7XtwI=")</f>
        <v>#VALUE!</v>
      </c>
      <c r="D18" t="e">
        <f>AND(Шахм!Z118,"AAAAAC7XtwM=")</f>
        <v>#VALUE!</v>
      </c>
      <c r="E18" t="e">
        <f>AND(Шахм!AA118,"AAAAAC7XtwQ=")</f>
        <v>#VALUE!</v>
      </c>
      <c r="F18" t="e">
        <f>AND(Шахм!AB118,"AAAAAC7XtwU=")</f>
        <v>#VALUE!</v>
      </c>
      <c r="G18" t="e">
        <f>AND(Шахм!AC118,"AAAAAC7XtwY=")</f>
        <v>#VALUE!</v>
      </c>
      <c r="H18" t="e">
        <f>AND(Шахм!AD118,"AAAAAC7Xtwc=")</f>
        <v>#VALUE!</v>
      </c>
      <c r="I18" t="e">
        <f>AND(Шахм!AE118,"AAAAAC7Xtwg=")</f>
        <v>#VALUE!</v>
      </c>
      <c r="J18" t="e">
        <f>AND(Шахм!AF118,"AAAAAC7Xtwk=")</f>
        <v>#VALUE!</v>
      </c>
      <c r="K18" t="e">
        <f>AND(Шахм!AG118,"AAAAAC7Xtwo=")</f>
        <v>#VALUE!</v>
      </c>
      <c r="L18" t="e">
        <f>AND(Шахм!AH118,"AAAAAC7Xtws=")</f>
        <v>#VALUE!</v>
      </c>
      <c r="M18" t="e">
        <f>AND(Шахм!AI118,"AAAAAC7Xtww=")</f>
        <v>#VALUE!</v>
      </c>
      <c r="N18" t="e">
        <f>AND(Шахм!AJ118,"AAAAAC7Xtw0=")</f>
        <v>#VALUE!</v>
      </c>
      <c r="O18" t="str">
        <f>IF(Шахм!119:119,"AAAAAC7Xtw4=",0)</f>
        <v>AAAAAC7Xtw4=</v>
      </c>
      <c r="P18" t="e">
        <f>AND(Шахм!A119,"AAAAAC7Xtw8=")</f>
        <v>#VALUE!</v>
      </c>
      <c r="Q18" t="e">
        <f>AND(Шахм!B119,"AAAAAC7XtxA=")</f>
        <v>#VALUE!</v>
      </c>
      <c r="R18" t="e">
        <f>AND(Шахм!C119,"AAAAAC7XtxE=")</f>
        <v>#VALUE!</v>
      </c>
      <c r="S18" t="e">
        <f>AND(Шахм!D119,"AAAAAC7XtxI=")</f>
        <v>#VALUE!</v>
      </c>
      <c r="T18" t="e">
        <f>AND(Шахм!E119,"AAAAAC7XtxM=")</f>
        <v>#VALUE!</v>
      </c>
      <c r="U18" t="e">
        <f>AND(Шахм!F119,"AAAAAC7XtxQ=")</f>
        <v>#VALUE!</v>
      </c>
      <c r="V18" t="e">
        <f>AND(Шахм!G119,"AAAAAC7XtxU=")</f>
        <v>#VALUE!</v>
      </c>
      <c r="W18" t="e">
        <f>AND(Шахм!H119,"AAAAAC7XtxY=")</f>
        <v>#VALUE!</v>
      </c>
      <c r="X18" t="e">
        <f>AND(Шахм!I119,"AAAAAC7Xtxc=")</f>
        <v>#VALUE!</v>
      </c>
      <c r="Y18" t="e">
        <f>AND(Шахм!J119,"AAAAAC7Xtxg=")</f>
        <v>#VALUE!</v>
      </c>
      <c r="Z18" t="e">
        <f>AND(Шахм!K119,"AAAAAC7Xtxk=")</f>
        <v>#VALUE!</v>
      </c>
      <c r="AA18" t="e">
        <f>AND(Шахм!L119,"AAAAAC7Xtxo=")</f>
        <v>#VALUE!</v>
      </c>
      <c r="AB18" t="e">
        <f>AND(Шахм!M119,"AAAAAC7Xtxs=")</f>
        <v>#VALUE!</v>
      </c>
      <c r="AC18" t="e">
        <f>AND(Шахм!N119,"AAAAAC7Xtxw=")</f>
        <v>#VALUE!</v>
      </c>
      <c r="AD18" t="e">
        <f>AND(Шахм!O119,"AAAAAC7Xtx0=")</f>
        <v>#VALUE!</v>
      </c>
      <c r="AE18" t="e">
        <f>AND(Шахм!P119,"AAAAAC7Xtx4=")</f>
        <v>#VALUE!</v>
      </c>
      <c r="AF18" t="e">
        <f>AND(Шахм!Q119,"AAAAAC7Xtx8=")</f>
        <v>#VALUE!</v>
      </c>
      <c r="AG18" t="e">
        <f>AND(Шахм!R119,"AAAAAC7XtyA=")</f>
        <v>#VALUE!</v>
      </c>
      <c r="AH18" t="e">
        <f>AND(Шахм!S119,"AAAAAC7XtyE=")</f>
        <v>#VALUE!</v>
      </c>
      <c r="AI18" t="e">
        <f>AND(Шахм!T119,"AAAAAC7XtyI=")</f>
        <v>#VALUE!</v>
      </c>
      <c r="AJ18" t="e">
        <f>AND(Шахм!U119,"AAAAAC7XtyM=")</f>
        <v>#VALUE!</v>
      </c>
      <c r="AK18" t="e">
        <f>AND(Шахм!V119,"AAAAAC7XtyQ=")</f>
        <v>#VALUE!</v>
      </c>
      <c r="AL18" t="e">
        <f>AND(Шахм!W119,"AAAAAC7XtyU=")</f>
        <v>#VALUE!</v>
      </c>
      <c r="AM18" t="e">
        <f>AND(Шахм!X119,"AAAAAC7XtyY=")</f>
        <v>#VALUE!</v>
      </c>
      <c r="AN18" t="e">
        <f>AND(Шахм!Y119,"AAAAAC7Xtyc=")</f>
        <v>#VALUE!</v>
      </c>
      <c r="AO18" t="e">
        <f>AND(Шахм!Z119,"AAAAAC7Xtyg=")</f>
        <v>#VALUE!</v>
      </c>
      <c r="AP18" t="e">
        <f>AND(Шахм!AA119,"AAAAAC7Xtyk=")</f>
        <v>#VALUE!</v>
      </c>
      <c r="AQ18" t="e">
        <f>AND(Шахм!AB119,"AAAAAC7Xtyo=")</f>
        <v>#VALUE!</v>
      </c>
      <c r="AR18" t="e">
        <f>AND(Шахм!AC119,"AAAAAC7Xtys=")</f>
        <v>#VALUE!</v>
      </c>
      <c r="AS18" t="e">
        <f>AND(Шахм!AD119,"AAAAAC7Xtyw=")</f>
        <v>#VALUE!</v>
      </c>
      <c r="AT18" t="e">
        <f>AND(Шахм!AE119,"AAAAAC7Xty0=")</f>
        <v>#VALUE!</v>
      </c>
      <c r="AU18" t="e">
        <f>AND(Шахм!AF119,"AAAAAC7Xty4=")</f>
        <v>#VALUE!</v>
      </c>
      <c r="AV18" t="e">
        <f>AND(Шахм!AG119,"AAAAAC7Xty8=")</f>
        <v>#VALUE!</v>
      </c>
      <c r="AW18" t="e">
        <f>AND(Шахм!AH119,"AAAAAC7XtzA=")</f>
        <v>#VALUE!</v>
      </c>
      <c r="AX18" t="e">
        <f>AND(Шахм!AI119,"AAAAAC7XtzE=")</f>
        <v>#VALUE!</v>
      </c>
      <c r="AY18" t="e">
        <f>AND(Шахм!AJ119,"AAAAAC7XtzI=")</f>
        <v>#VALUE!</v>
      </c>
      <c r="AZ18">
        <f>IF(Шахм!120:120,"AAAAAC7XtzM=",0)</f>
        <v>0</v>
      </c>
      <c r="BA18" t="e">
        <f>AND(Шахм!A120,"AAAAAC7XtzQ=")</f>
        <v>#VALUE!</v>
      </c>
      <c r="BB18" t="e">
        <f>AND(Шахм!B120,"AAAAAC7XtzU=")</f>
        <v>#VALUE!</v>
      </c>
      <c r="BC18" t="e">
        <f>AND(Шахм!C120,"AAAAAC7XtzY=")</f>
        <v>#VALUE!</v>
      </c>
      <c r="BD18" t="e">
        <f>AND(Шахм!D120,"AAAAAC7Xtzc=")</f>
        <v>#VALUE!</v>
      </c>
      <c r="BE18" t="e">
        <f>AND(Шахм!E120,"AAAAAC7Xtzg=")</f>
        <v>#VALUE!</v>
      </c>
      <c r="BF18" t="e">
        <f>AND(Шахм!F120,"AAAAAC7Xtzk=")</f>
        <v>#VALUE!</v>
      </c>
      <c r="BG18" t="e">
        <f>AND(Шахм!G120,"AAAAAC7Xtzo=")</f>
        <v>#VALUE!</v>
      </c>
      <c r="BH18" t="e">
        <f>AND(Шахм!H120,"AAAAAC7Xtzs=")</f>
        <v>#VALUE!</v>
      </c>
      <c r="BI18" t="e">
        <f>AND(Шахм!I120,"AAAAAC7Xtzw=")</f>
        <v>#VALUE!</v>
      </c>
      <c r="BJ18" t="e">
        <f>AND(Шахм!J120,"AAAAAC7Xtz0=")</f>
        <v>#VALUE!</v>
      </c>
      <c r="BK18" t="e">
        <f>AND(Шахм!K120,"AAAAAC7Xtz4=")</f>
        <v>#VALUE!</v>
      </c>
      <c r="BL18" t="e">
        <f>AND(Шахм!L120,"AAAAAC7Xtz8=")</f>
        <v>#VALUE!</v>
      </c>
      <c r="BM18" t="e">
        <f>AND(Шахм!M120,"AAAAAC7Xt0A=")</f>
        <v>#VALUE!</v>
      </c>
      <c r="BN18" t="e">
        <f>AND(Шахм!N120,"AAAAAC7Xt0E=")</f>
        <v>#VALUE!</v>
      </c>
      <c r="BO18" t="e">
        <f>AND(Шахм!O120,"AAAAAC7Xt0I=")</f>
        <v>#VALUE!</v>
      </c>
      <c r="BP18" t="e">
        <f>AND(Шахм!P120,"AAAAAC7Xt0M=")</f>
        <v>#VALUE!</v>
      </c>
      <c r="BQ18" t="e">
        <f>AND(Шахм!Q120,"AAAAAC7Xt0Q=")</f>
        <v>#VALUE!</v>
      </c>
      <c r="BR18" t="e">
        <f>AND(Шахм!R120,"AAAAAC7Xt0U=")</f>
        <v>#VALUE!</v>
      </c>
      <c r="BS18" t="e">
        <f>AND(Шахм!S120,"AAAAAC7Xt0Y=")</f>
        <v>#VALUE!</v>
      </c>
      <c r="BT18" t="e">
        <f>AND(Шахм!T120,"AAAAAC7Xt0c=")</f>
        <v>#VALUE!</v>
      </c>
      <c r="BU18" t="e">
        <f>AND(Шахм!U120,"AAAAAC7Xt0g=")</f>
        <v>#VALUE!</v>
      </c>
      <c r="BV18" t="e">
        <f>AND(Шахм!V120,"AAAAAC7Xt0k=")</f>
        <v>#VALUE!</v>
      </c>
      <c r="BW18" t="e">
        <f>AND(Шахм!W120,"AAAAAC7Xt0o=")</f>
        <v>#VALUE!</v>
      </c>
      <c r="BX18" t="e">
        <f>AND(Шахм!X120,"AAAAAC7Xt0s=")</f>
        <v>#VALUE!</v>
      </c>
      <c r="BY18" t="e">
        <f>AND(Шахм!Y120,"AAAAAC7Xt0w=")</f>
        <v>#VALUE!</v>
      </c>
      <c r="BZ18" t="e">
        <f>AND(Шахм!Z120,"AAAAAC7Xt00=")</f>
        <v>#VALUE!</v>
      </c>
      <c r="CA18" t="e">
        <f>AND(Шахм!AA120,"AAAAAC7Xt04=")</f>
        <v>#VALUE!</v>
      </c>
      <c r="CB18" t="e">
        <f>AND(Шахм!AB120,"AAAAAC7Xt08=")</f>
        <v>#VALUE!</v>
      </c>
      <c r="CC18" t="e">
        <f>AND(Шахм!AC120,"AAAAAC7Xt1A=")</f>
        <v>#VALUE!</v>
      </c>
      <c r="CD18" t="e">
        <f>AND(Шахм!AD120,"AAAAAC7Xt1E=")</f>
        <v>#VALUE!</v>
      </c>
      <c r="CE18" t="e">
        <f>AND(Шахм!AE120,"AAAAAC7Xt1I=")</f>
        <v>#VALUE!</v>
      </c>
      <c r="CF18" t="e">
        <f>AND(Шахм!AF120,"AAAAAC7Xt1M=")</f>
        <v>#VALUE!</v>
      </c>
      <c r="CG18" t="e">
        <f>AND(Шахм!AG120,"AAAAAC7Xt1Q=")</f>
        <v>#VALUE!</v>
      </c>
      <c r="CH18" t="e">
        <f>AND(Шахм!AH120,"AAAAAC7Xt1U=")</f>
        <v>#VALUE!</v>
      </c>
      <c r="CI18" t="e">
        <f>AND(Шахм!AI120,"AAAAAC7Xt1Y=")</f>
        <v>#VALUE!</v>
      </c>
      <c r="CJ18" t="e">
        <f>AND(Шахм!AJ120,"AAAAAC7Xt1c=")</f>
        <v>#VALUE!</v>
      </c>
      <c r="CK18">
        <f>IF(Шахм!121:121,"AAAAAC7Xt1g=",0)</f>
        <v>0</v>
      </c>
      <c r="CL18" t="e">
        <f>AND(Шахм!A121,"AAAAAC7Xt1k=")</f>
        <v>#VALUE!</v>
      </c>
      <c r="CM18" t="e">
        <f>AND(Шахм!B121,"AAAAAC7Xt1o=")</f>
        <v>#VALUE!</v>
      </c>
      <c r="CN18" t="e">
        <f>AND(Шахм!C121,"AAAAAC7Xt1s=")</f>
        <v>#VALUE!</v>
      </c>
      <c r="CO18" t="e">
        <f>AND(Шахм!D121,"AAAAAC7Xt1w=")</f>
        <v>#VALUE!</v>
      </c>
      <c r="CP18" t="e">
        <f>AND(Шахм!E121,"AAAAAC7Xt10=")</f>
        <v>#VALUE!</v>
      </c>
      <c r="CQ18" t="e">
        <f>AND(Шахм!F121,"AAAAAC7Xt14=")</f>
        <v>#VALUE!</v>
      </c>
      <c r="CR18" t="e">
        <f>AND(Шахм!G121,"AAAAAC7Xt18=")</f>
        <v>#VALUE!</v>
      </c>
      <c r="CS18" t="e">
        <f>AND(Шахм!H121,"AAAAAC7Xt2A=")</f>
        <v>#VALUE!</v>
      </c>
      <c r="CT18" t="e">
        <f>AND(Шахм!I121,"AAAAAC7Xt2E=")</f>
        <v>#VALUE!</v>
      </c>
      <c r="CU18" t="e">
        <f>AND(Шахм!J121,"AAAAAC7Xt2I=")</f>
        <v>#VALUE!</v>
      </c>
      <c r="CV18" t="e">
        <f>AND(Шахм!K121,"AAAAAC7Xt2M=")</f>
        <v>#VALUE!</v>
      </c>
      <c r="CW18" t="e">
        <f>AND(Шахм!L121,"AAAAAC7Xt2Q=")</f>
        <v>#VALUE!</v>
      </c>
      <c r="CX18" t="e">
        <f>AND(Шахм!M121,"AAAAAC7Xt2U=")</f>
        <v>#VALUE!</v>
      </c>
      <c r="CY18" t="e">
        <f>AND(Шахм!N121,"AAAAAC7Xt2Y=")</f>
        <v>#VALUE!</v>
      </c>
      <c r="CZ18" t="e">
        <f>AND(Шахм!O121,"AAAAAC7Xt2c=")</f>
        <v>#VALUE!</v>
      </c>
      <c r="DA18" t="e">
        <f>AND(Шахм!P121,"AAAAAC7Xt2g=")</f>
        <v>#VALUE!</v>
      </c>
      <c r="DB18" t="e">
        <f>AND(Шахм!Q121,"AAAAAC7Xt2k=")</f>
        <v>#VALUE!</v>
      </c>
      <c r="DC18" t="e">
        <f>AND(Шахм!R121,"AAAAAC7Xt2o=")</f>
        <v>#VALUE!</v>
      </c>
      <c r="DD18" t="e">
        <f>AND(Шахм!S121,"AAAAAC7Xt2s=")</f>
        <v>#VALUE!</v>
      </c>
      <c r="DE18" t="e">
        <f>AND(Шахм!T121,"AAAAAC7Xt2w=")</f>
        <v>#VALUE!</v>
      </c>
      <c r="DF18" t="e">
        <f>AND(Шахм!U121,"AAAAAC7Xt20=")</f>
        <v>#VALUE!</v>
      </c>
      <c r="DG18" t="e">
        <f>AND(Шахм!V121,"AAAAAC7Xt24=")</f>
        <v>#VALUE!</v>
      </c>
      <c r="DH18" t="e">
        <f>AND(Шахм!W121,"AAAAAC7Xt28=")</f>
        <v>#VALUE!</v>
      </c>
      <c r="DI18" t="e">
        <f>AND(Шахм!X121,"AAAAAC7Xt3A=")</f>
        <v>#VALUE!</v>
      </c>
      <c r="DJ18" t="e">
        <f>AND(Шахм!Y121,"AAAAAC7Xt3E=")</f>
        <v>#VALUE!</v>
      </c>
      <c r="DK18" t="e">
        <f>AND(Шахм!Z121,"AAAAAC7Xt3I=")</f>
        <v>#VALUE!</v>
      </c>
      <c r="DL18" t="e">
        <f>AND(Шахм!AA121,"AAAAAC7Xt3M=")</f>
        <v>#VALUE!</v>
      </c>
      <c r="DM18" t="e">
        <f>AND(Шахм!AB121,"AAAAAC7Xt3Q=")</f>
        <v>#VALUE!</v>
      </c>
      <c r="DN18" t="e">
        <f>AND(Шахм!AC121,"AAAAAC7Xt3U=")</f>
        <v>#VALUE!</v>
      </c>
      <c r="DO18" t="e">
        <f>AND(Шахм!AD121,"AAAAAC7Xt3Y=")</f>
        <v>#VALUE!</v>
      </c>
      <c r="DP18" t="e">
        <f>AND(Шахм!AE121,"AAAAAC7Xt3c=")</f>
        <v>#VALUE!</v>
      </c>
      <c r="DQ18" t="e">
        <f>AND(Шахм!AF121,"AAAAAC7Xt3g=")</f>
        <v>#VALUE!</v>
      </c>
      <c r="DR18" t="e">
        <f>AND(Шахм!AG121,"AAAAAC7Xt3k=")</f>
        <v>#VALUE!</v>
      </c>
      <c r="DS18" t="e">
        <f>AND(Шахм!AH121,"AAAAAC7Xt3o=")</f>
        <v>#VALUE!</v>
      </c>
      <c r="DT18" t="e">
        <f>AND(Шахм!AI121,"AAAAAC7Xt3s=")</f>
        <v>#VALUE!</v>
      </c>
      <c r="DU18" t="e">
        <f>AND(Шахм!AJ121,"AAAAAC7Xt3w=")</f>
        <v>#VALUE!</v>
      </c>
      <c r="DV18">
        <f>IF(Шахм!122:122,"AAAAAC7Xt30=",0)</f>
        <v>0</v>
      </c>
      <c r="DW18" t="e">
        <f>AND(Шахм!A122,"AAAAAC7Xt34=")</f>
        <v>#VALUE!</v>
      </c>
      <c r="DX18" t="e">
        <f>AND(Шахм!B122,"AAAAAC7Xt38=")</f>
        <v>#VALUE!</v>
      </c>
      <c r="DY18" t="e">
        <f>AND(Шахм!C122,"AAAAAC7Xt4A=")</f>
        <v>#VALUE!</v>
      </c>
      <c r="DZ18" t="e">
        <f>AND(Шахм!D122,"AAAAAC7Xt4E=")</f>
        <v>#VALUE!</v>
      </c>
      <c r="EA18" t="e">
        <f>AND(Шахм!E122,"AAAAAC7Xt4I=")</f>
        <v>#VALUE!</v>
      </c>
      <c r="EB18" t="e">
        <f>AND(Шахм!F122,"AAAAAC7Xt4M=")</f>
        <v>#VALUE!</v>
      </c>
      <c r="EC18" t="e">
        <f>AND(Шахм!G122,"AAAAAC7Xt4Q=")</f>
        <v>#VALUE!</v>
      </c>
      <c r="ED18" t="e">
        <f>AND(Шахм!H122,"AAAAAC7Xt4U=")</f>
        <v>#VALUE!</v>
      </c>
      <c r="EE18" t="e">
        <f>AND(Шахм!I122,"AAAAAC7Xt4Y=")</f>
        <v>#VALUE!</v>
      </c>
      <c r="EF18" t="e">
        <f>AND(Шахм!J122,"AAAAAC7Xt4c=")</f>
        <v>#VALUE!</v>
      </c>
      <c r="EG18" t="e">
        <f>AND(Шахм!K122,"AAAAAC7Xt4g=")</f>
        <v>#VALUE!</v>
      </c>
      <c r="EH18" t="e">
        <f>AND(Шахм!L122,"AAAAAC7Xt4k=")</f>
        <v>#VALUE!</v>
      </c>
      <c r="EI18" t="e">
        <f>AND(Шахм!M122,"AAAAAC7Xt4o=")</f>
        <v>#VALUE!</v>
      </c>
      <c r="EJ18" t="e">
        <f>AND(Шахм!N122,"AAAAAC7Xt4s=")</f>
        <v>#VALUE!</v>
      </c>
      <c r="EK18" t="e">
        <f>AND(Шахм!O122,"AAAAAC7Xt4w=")</f>
        <v>#VALUE!</v>
      </c>
      <c r="EL18" t="e">
        <f>AND(Шахм!P122,"AAAAAC7Xt40=")</f>
        <v>#VALUE!</v>
      </c>
      <c r="EM18" t="e">
        <f>AND(Шахм!Q122,"AAAAAC7Xt44=")</f>
        <v>#VALUE!</v>
      </c>
      <c r="EN18" t="e">
        <f>AND(Шахм!R122,"AAAAAC7Xt48=")</f>
        <v>#VALUE!</v>
      </c>
      <c r="EO18" t="e">
        <f>AND(Шахм!S122,"AAAAAC7Xt5A=")</f>
        <v>#VALUE!</v>
      </c>
      <c r="EP18" t="e">
        <f>AND(Шахм!T122,"AAAAAC7Xt5E=")</f>
        <v>#VALUE!</v>
      </c>
      <c r="EQ18" t="e">
        <f>AND(Шахм!U122,"AAAAAC7Xt5I=")</f>
        <v>#VALUE!</v>
      </c>
      <c r="ER18" t="e">
        <f>AND(Шахм!V122,"AAAAAC7Xt5M=")</f>
        <v>#VALUE!</v>
      </c>
      <c r="ES18" t="e">
        <f>AND(Шахм!W122,"AAAAAC7Xt5Q=")</f>
        <v>#VALUE!</v>
      </c>
      <c r="ET18" t="e">
        <f>AND(Шахм!X122,"AAAAAC7Xt5U=")</f>
        <v>#VALUE!</v>
      </c>
      <c r="EU18" t="e">
        <f>AND(Шахм!Y122,"AAAAAC7Xt5Y=")</f>
        <v>#VALUE!</v>
      </c>
      <c r="EV18" t="e">
        <f>AND(Шахм!Z122,"AAAAAC7Xt5c=")</f>
        <v>#VALUE!</v>
      </c>
      <c r="EW18" t="e">
        <f>AND(Шахм!AA122,"AAAAAC7Xt5g=")</f>
        <v>#VALUE!</v>
      </c>
      <c r="EX18" t="e">
        <f>AND(Шахм!AB122,"AAAAAC7Xt5k=")</f>
        <v>#VALUE!</v>
      </c>
      <c r="EY18" t="e">
        <f>AND(Шахм!AC122,"AAAAAC7Xt5o=")</f>
        <v>#VALUE!</v>
      </c>
      <c r="EZ18" t="e">
        <f>AND(Шахм!AD122,"AAAAAC7Xt5s=")</f>
        <v>#VALUE!</v>
      </c>
      <c r="FA18" t="e">
        <f>AND(Шахм!AE122,"AAAAAC7Xt5w=")</f>
        <v>#VALUE!</v>
      </c>
      <c r="FB18" t="e">
        <f>AND(Шахм!AF122,"AAAAAC7Xt50=")</f>
        <v>#VALUE!</v>
      </c>
      <c r="FC18" t="e">
        <f>AND(Шахм!AG122,"AAAAAC7Xt54=")</f>
        <v>#VALUE!</v>
      </c>
      <c r="FD18" t="e">
        <f>AND(Шахм!AH122,"AAAAAC7Xt58=")</f>
        <v>#VALUE!</v>
      </c>
      <c r="FE18" t="e">
        <f>AND(Шахм!AI122,"AAAAAC7Xt6A=")</f>
        <v>#VALUE!</v>
      </c>
      <c r="FF18" t="e">
        <f>AND(Шахм!AJ122,"AAAAAC7Xt6E=")</f>
        <v>#VALUE!</v>
      </c>
      <c r="FG18">
        <f>IF(Шахм!123:123,"AAAAAC7Xt6I=",0)</f>
        <v>0</v>
      </c>
      <c r="FH18" t="e">
        <f>AND(Шахм!A123,"AAAAAC7Xt6M=")</f>
        <v>#VALUE!</v>
      </c>
      <c r="FI18" t="e">
        <f>AND(Шахм!B123,"AAAAAC7Xt6Q=")</f>
        <v>#VALUE!</v>
      </c>
      <c r="FJ18" t="e">
        <f>AND(Шахм!C123,"AAAAAC7Xt6U=")</f>
        <v>#VALUE!</v>
      </c>
      <c r="FK18" t="e">
        <f>AND(Шахм!D123,"AAAAAC7Xt6Y=")</f>
        <v>#VALUE!</v>
      </c>
      <c r="FL18" t="e">
        <f>AND(Шахм!E123,"AAAAAC7Xt6c=")</f>
        <v>#VALUE!</v>
      </c>
      <c r="FM18" t="e">
        <f>AND(Шахм!F123,"AAAAAC7Xt6g=")</f>
        <v>#VALUE!</v>
      </c>
      <c r="FN18" t="e">
        <f>AND(Шахм!G123,"AAAAAC7Xt6k=")</f>
        <v>#VALUE!</v>
      </c>
      <c r="FO18" t="e">
        <f>AND(Шахм!H123,"AAAAAC7Xt6o=")</f>
        <v>#VALUE!</v>
      </c>
      <c r="FP18" t="e">
        <f>AND(Шахм!I123,"AAAAAC7Xt6s=")</f>
        <v>#VALUE!</v>
      </c>
      <c r="FQ18" t="e">
        <f>AND(Шахм!J123,"AAAAAC7Xt6w=")</f>
        <v>#VALUE!</v>
      </c>
      <c r="FR18" t="e">
        <f>AND(Шахм!K123,"AAAAAC7Xt60=")</f>
        <v>#VALUE!</v>
      </c>
      <c r="FS18" t="e">
        <f>AND(Шахм!L123,"AAAAAC7Xt64=")</f>
        <v>#VALUE!</v>
      </c>
      <c r="FT18" t="e">
        <f>AND(Шахм!M123,"AAAAAC7Xt68=")</f>
        <v>#VALUE!</v>
      </c>
      <c r="FU18" t="e">
        <f>AND(Шахм!N123,"AAAAAC7Xt7A=")</f>
        <v>#VALUE!</v>
      </c>
      <c r="FV18" t="e">
        <f>AND(Шахм!O123,"AAAAAC7Xt7E=")</f>
        <v>#VALUE!</v>
      </c>
      <c r="FW18" t="e">
        <f>AND(Шахм!P123,"AAAAAC7Xt7I=")</f>
        <v>#VALUE!</v>
      </c>
      <c r="FX18" t="e">
        <f>AND(Шахм!Q123,"AAAAAC7Xt7M=")</f>
        <v>#VALUE!</v>
      </c>
      <c r="FY18" t="e">
        <f>AND(Шахм!R123,"AAAAAC7Xt7Q=")</f>
        <v>#VALUE!</v>
      </c>
      <c r="FZ18" t="e">
        <f>AND(Шахм!S123,"AAAAAC7Xt7U=")</f>
        <v>#VALUE!</v>
      </c>
      <c r="GA18" t="e">
        <f>AND(Шахм!T123,"AAAAAC7Xt7Y=")</f>
        <v>#VALUE!</v>
      </c>
      <c r="GB18" t="e">
        <f>AND(Шахм!U123,"AAAAAC7Xt7c=")</f>
        <v>#VALUE!</v>
      </c>
      <c r="GC18" t="e">
        <f>AND(Шахм!V123,"AAAAAC7Xt7g=")</f>
        <v>#VALUE!</v>
      </c>
      <c r="GD18" t="e">
        <f>AND(Шахм!W123,"AAAAAC7Xt7k=")</f>
        <v>#VALUE!</v>
      </c>
      <c r="GE18" t="e">
        <f>AND(Шахм!X123,"AAAAAC7Xt7o=")</f>
        <v>#VALUE!</v>
      </c>
      <c r="GF18" t="e">
        <f>AND(Шахм!Y123,"AAAAAC7Xt7s=")</f>
        <v>#VALUE!</v>
      </c>
      <c r="GG18" t="e">
        <f>AND(Шахм!Z123,"AAAAAC7Xt7w=")</f>
        <v>#VALUE!</v>
      </c>
      <c r="GH18" t="e">
        <f>AND(Шахм!AA123,"AAAAAC7Xt70=")</f>
        <v>#VALUE!</v>
      </c>
      <c r="GI18" t="e">
        <f>AND(Шахм!AB123,"AAAAAC7Xt74=")</f>
        <v>#VALUE!</v>
      </c>
      <c r="GJ18" t="e">
        <f>AND(Шахм!AC123,"AAAAAC7Xt78=")</f>
        <v>#VALUE!</v>
      </c>
      <c r="GK18" t="e">
        <f>AND(Шахм!AD123,"AAAAAC7Xt8A=")</f>
        <v>#VALUE!</v>
      </c>
      <c r="GL18" t="e">
        <f>AND(Шахм!AE123,"AAAAAC7Xt8E=")</f>
        <v>#VALUE!</v>
      </c>
      <c r="GM18" t="e">
        <f>AND(Шахм!AF123,"AAAAAC7Xt8I=")</f>
        <v>#VALUE!</v>
      </c>
      <c r="GN18" t="e">
        <f>AND(Шахм!AG123,"AAAAAC7Xt8M=")</f>
        <v>#VALUE!</v>
      </c>
      <c r="GO18" t="e">
        <f>AND(Шахм!AH123,"AAAAAC7Xt8Q=")</f>
        <v>#VALUE!</v>
      </c>
      <c r="GP18" t="e">
        <f>AND(Шахм!AI123,"AAAAAC7Xt8U=")</f>
        <v>#VALUE!</v>
      </c>
      <c r="GQ18" t="e">
        <f>AND(Шахм!AJ123,"AAAAAC7Xt8Y=")</f>
        <v>#VALUE!</v>
      </c>
      <c r="GR18">
        <f>IF(Шахм!124:124,"AAAAAC7Xt8c=",0)</f>
        <v>0</v>
      </c>
      <c r="GS18" t="e">
        <f>AND(Шахм!A124,"AAAAAC7Xt8g=")</f>
        <v>#VALUE!</v>
      </c>
      <c r="GT18" t="e">
        <f>AND(Шахм!B124,"AAAAAC7Xt8k=")</f>
        <v>#VALUE!</v>
      </c>
      <c r="GU18" t="e">
        <f>AND(Шахм!C124,"AAAAAC7Xt8o=")</f>
        <v>#VALUE!</v>
      </c>
      <c r="GV18" t="e">
        <f>AND(Шахм!D124,"AAAAAC7Xt8s=")</f>
        <v>#VALUE!</v>
      </c>
      <c r="GW18" t="e">
        <f>AND(Шахм!E124,"AAAAAC7Xt8w=")</f>
        <v>#VALUE!</v>
      </c>
      <c r="GX18" t="e">
        <f>AND(Шахм!F124,"AAAAAC7Xt80=")</f>
        <v>#VALUE!</v>
      </c>
      <c r="GY18" t="e">
        <f>AND(Шахм!G124,"AAAAAC7Xt84=")</f>
        <v>#VALUE!</v>
      </c>
      <c r="GZ18" t="e">
        <f>AND(Шахм!H124,"AAAAAC7Xt88=")</f>
        <v>#VALUE!</v>
      </c>
      <c r="HA18" t="e">
        <f>AND(Шахм!I124,"AAAAAC7Xt9A=")</f>
        <v>#VALUE!</v>
      </c>
      <c r="HB18" t="e">
        <f>AND(Шахм!J124,"AAAAAC7Xt9E=")</f>
        <v>#VALUE!</v>
      </c>
      <c r="HC18" t="e">
        <f>AND(Шахм!K124,"AAAAAC7Xt9I=")</f>
        <v>#VALUE!</v>
      </c>
      <c r="HD18" t="e">
        <f>AND(Шахм!L124,"AAAAAC7Xt9M=")</f>
        <v>#VALUE!</v>
      </c>
      <c r="HE18" t="e">
        <f>AND(Шахм!M124,"AAAAAC7Xt9Q=")</f>
        <v>#VALUE!</v>
      </c>
      <c r="HF18" t="e">
        <f>AND(Шахм!N124,"AAAAAC7Xt9U=")</f>
        <v>#VALUE!</v>
      </c>
      <c r="HG18" t="e">
        <f>AND(Шахм!O124,"AAAAAC7Xt9Y=")</f>
        <v>#VALUE!</v>
      </c>
      <c r="HH18" t="e">
        <f>AND(Шахм!P124,"AAAAAC7Xt9c=")</f>
        <v>#VALUE!</v>
      </c>
      <c r="HI18" t="e">
        <f>AND(Шахм!Q124,"AAAAAC7Xt9g=")</f>
        <v>#VALUE!</v>
      </c>
      <c r="HJ18" t="e">
        <f>AND(Шахм!R124,"AAAAAC7Xt9k=")</f>
        <v>#VALUE!</v>
      </c>
      <c r="HK18" t="e">
        <f>AND(Шахм!S124,"AAAAAC7Xt9o=")</f>
        <v>#VALUE!</v>
      </c>
      <c r="HL18" t="e">
        <f>AND(Шахм!T124,"AAAAAC7Xt9s=")</f>
        <v>#VALUE!</v>
      </c>
      <c r="HM18" t="e">
        <f>AND(Шахм!U124,"AAAAAC7Xt9w=")</f>
        <v>#VALUE!</v>
      </c>
      <c r="HN18" t="e">
        <f>AND(Шахм!V124,"AAAAAC7Xt90=")</f>
        <v>#VALUE!</v>
      </c>
      <c r="HO18" t="e">
        <f>AND(Шахм!W124,"AAAAAC7Xt94=")</f>
        <v>#VALUE!</v>
      </c>
      <c r="HP18" t="e">
        <f>AND(Шахм!X124,"AAAAAC7Xt98=")</f>
        <v>#VALUE!</v>
      </c>
      <c r="HQ18" t="e">
        <f>AND(Шахм!Y124,"AAAAAC7Xt+A=")</f>
        <v>#VALUE!</v>
      </c>
      <c r="HR18" t="e">
        <f>AND(Шахм!Z124,"AAAAAC7Xt+E=")</f>
        <v>#VALUE!</v>
      </c>
      <c r="HS18" t="e">
        <f>AND(Шахм!AA124,"AAAAAC7Xt+I=")</f>
        <v>#VALUE!</v>
      </c>
      <c r="HT18" t="e">
        <f>AND(Шахм!AB124,"AAAAAC7Xt+M=")</f>
        <v>#VALUE!</v>
      </c>
      <c r="HU18" t="e">
        <f>AND(Шахм!AC124,"AAAAAC7Xt+Q=")</f>
        <v>#VALUE!</v>
      </c>
      <c r="HV18" t="e">
        <f>AND(Шахм!AD124,"AAAAAC7Xt+U=")</f>
        <v>#VALUE!</v>
      </c>
      <c r="HW18" t="e">
        <f>AND(Шахм!AE124,"AAAAAC7Xt+Y=")</f>
        <v>#VALUE!</v>
      </c>
      <c r="HX18" t="e">
        <f>AND(Шахм!AF124,"AAAAAC7Xt+c=")</f>
        <v>#VALUE!</v>
      </c>
      <c r="HY18" t="e">
        <f>AND(Шахм!AG124,"AAAAAC7Xt+g=")</f>
        <v>#VALUE!</v>
      </c>
      <c r="HZ18" t="e">
        <f>AND(Шахм!AH124,"AAAAAC7Xt+k=")</f>
        <v>#VALUE!</v>
      </c>
      <c r="IA18" t="e">
        <f>AND(Шахм!AI124,"AAAAAC7Xt+o=")</f>
        <v>#VALUE!</v>
      </c>
      <c r="IB18" t="e">
        <f>AND(Шахм!AJ124,"AAAAAC7Xt+s=")</f>
        <v>#VALUE!</v>
      </c>
      <c r="IC18">
        <f>IF(Шахм!125:125,"AAAAAC7Xt+w=",0)</f>
        <v>0</v>
      </c>
      <c r="ID18" t="e">
        <f>AND(Шахм!A125,"AAAAAC7Xt+0=")</f>
        <v>#VALUE!</v>
      </c>
      <c r="IE18" t="e">
        <f>AND(Шахм!B125,"AAAAAC7Xt+4=")</f>
        <v>#VALUE!</v>
      </c>
      <c r="IF18" t="e">
        <f>AND(Шахм!C125,"AAAAAC7Xt+8=")</f>
        <v>#VALUE!</v>
      </c>
      <c r="IG18" t="e">
        <f>AND(Шахм!D125,"AAAAAC7Xt/A=")</f>
        <v>#VALUE!</v>
      </c>
      <c r="IH18" t="e">
        <f>AND(Шахм!E125,"AAAAAC7Xt/E=")</f>
        <v>#VALUE!</v>
      </c>
      <c r="II18" t="e">
        <f>AND(Шахм!F125,"AAAAAC7Xt/I=")</f>
        <v>#VALUE!</v>
      </c>
      <c r="IJ18" t="e">
        <f>AND(Шахм!G125,"AAAAAC7Xt/M=")</f>
        <v>#VALUE!</v>
      </c>
      <c r="IK18" t="e">
        <f>AND(Шахм!H125,"AAAAAC7Xt/Q=")</f>
        <v>#VALUE!</v>
      </c>
      <c r="IL18" t="e">
        <f>AND(Шахм!I125,"AAAAAC7Xt/U=")</f>
        <v>#VALUE!</v>
      </c>
      <c r="IM18" t="e">
        <f>AND(Шахм!J125,"AAAAAC7Xt/Y=")</f>
        <v>#VALUE!</v>
      </c>
      <c r="IN18" t="e">
        <f>AND(Шахм!K125,"AAAAAC7Xt/c=")</f>
        <v>#VALUE!</v>
      </c>
      <c r="IO18" t="e">
        <f>AND(Шахм!L125,"AAAAAC7Xt/g=")</f>
        <v>#VALUE!</v>
      </c>
      <c r="IP18" t="e">
        <f>AND(Шахм!M125,"AAAAAC7Xt/k=")</f>
        <v>#VALUE!</v>
      </c>
      <c r="IQ18" t="e">
        <f>AND(Шахм!N125,"AAAAAC7Xt/o=")</f>
        <v>#VALUE!</v>
      </c>
      <c r="IR18" t="e">
        <f>AND(Шахм!O125,"AAAAAC7Xt/s=")</f>
        <v>#VALUE!</v>
      </c>
      <c r="IS18" t="e">
        <f>AND(Шахм!P125,"AAAAAC7Xt/w=")</f>
        <v>#VALUE!</v>
      </c>
      <c r="IT18" t="e">
        <f>AND(Шахм!Q125,"AAAAAC7Xt/0=")</f>
        <v>#VALUE!</v>
      </c>
      <c r="IU18" t="e">
        <f>AND(Шахм!R125,"AAAAAC7Xt/4=")</f>
        <v>#VALUE!</v>
      </c>
      <c r="IV18" t="e">
        <f>AND(Шахм!S125,"AAAAAC7Xt/8=")</f>
        <v>#VALUE!</v>
      </c>
    </row>
    <row r="19" spans="1:256">
      <c r="A19" t="e">
        <f>AND(Шахм!T125,"AAAAAH//sQA=")</f>
        <v>#VALUE!</v>
      </c>
      <c r="B19" t="e">
        <f>AND(Шахм!U125,"AAAAAH//sQE=")</f>
        <v>#VALUE!</v>
      </c>
      <c r="C19" t="e">
        <f>AND(Шахм!V125,"AAAAAH//sQI=")</f>
        <v>#VALUE!</v>
      </c>
      <c r="D19" t="e">
        <f>AND(Шахм!W125,"AAAAAH//sQM=")</f>
        <v>#VALUE!</v>
      </c>
      <c r="E19" t="e">
        <f>AND(Шахм!X125,"AAAAAH//sQQ=")</f>
        <v>#VALUE!</v>
      </c>
      <c r="F19" t="e">
        <f>AND(Шахм!Y125,"AAAAAH//sQU=")</f>
        <v>#VALUE!</v>
      </c>
      <c r="G19" t="e">
        <f>AND(Шахм!Z125,"AAAAAH//sQY=")</f>
        <v>#VALUE!</v>
      </c>
      <c r="H19" t="e">
        <f>AND(Шахм!AA125,"AAAAAH//sQc=")</f>
        <v>#VALUE!</v>
      </c>
      <c r="I19" t="e">
        <f>AND(Шахм!AB125,"AAAAAH//sQg=")</f>
        <v>#VALUE!</v>
      </c>
      <c r="J19" t="e">
        <f>AND(Шахм!AC125,"AAAAAH//sQk=")</f>
        <v>#VALUE!</v>
      </c>
      <c r="K19" t="e">
        <f>AND(Шахм!AD125,"AAAAAH//sQo=")</f>
        <v>#VALUE!</v>
      </c>
      <c r="L19" t="e">
        <f>AND(Шахм!AE125,"AAAAAH//sQs=")</f>
        <v>#VALUE!</v>
      </c>
      <c r="M19" t="e">
        <f>AND(Шахм!AF125,"AAAAAH//sQw=")</f>
        <v>#VALUE!</v>
      </c>
      <c r="N19" t="e">
        <f>AND(Шахм!AG125,"AAAAAH//sQ0=")</f>
        <v>#VALUE!</v>
      </c>
      <c r="O19" t="e">
        <f>AND(Шахм!AH125,"AAAAAH//sQ4=")</f>
        <v>#VALUE!</v>
      </c>
      <c r="P19" t="e">
        <f>AND(Шахм!AI125,"AAAAAH//sQ8=")</f>
        <v>#VALUE!</v>
      </c>
      <c r="Q19" t="e">
        <f>AND(Шахм!AJ125,"AAAAAH//sRA=")</f>
        <v>#VALUE!</v>
      </c>
      <c r="R19">
        <f>IF(Шахм!126:126,"AAAAAH//sRE=",0)</f>
        <v>0</v>
      </c>
      <c r="S19" t="e">
        <f>AND(Шахм!A126,"AAAAAH//sRI=")</f>
        <v>#VALUE!</v>
      </c>
      <c r="T19" t="e">
        <f>AND(Шахм!B126,"AAAAAH//sRM=")</f>
        <v>#VALUE!</v>
      </c>
      <c r="U19" t="e">
        <f>AND(Шахм!C126,"AAAAAH//sRQ=")</f>
        <v>#VALUE!</v>
      </c>
      <c r="V19" t="e">
        <f>AND(Шахм!D126,"AAAAAH//sRU=")</f>
        <v>#VALUE!</v>
      </c>
      <c r="W19" t="e">
        <f>AND(Шахм!E126,"AAAAAH//sRY=")</f>
        <v>#VALUE!</v>
      </c>
      <c r="X19" t="e">
        <f>AND(Шахм!F126,"AAAAAH//sRc=")</f>
        <v>#VALUE!</v>
      </c>
      <c r="Y19" t="e">
        <f>AND(Шахм!G126,"AAAAAH//sRg=")</f>
        <v>#VALUE!</v>
      </c>
      <c r="Z19" t="e">
        <f>AND(Шахм!H126,"AAAAAH//sRk=")</f>
        <v>#VALUE!</v>
      </c>
      <c r="AA19" t="e">
        <f>AND(Шахм!I126,"AAAAAH//sRo=")</f>
        <v>#VALUE!</v>
      </c>
      <c r="AB19" t="e">
        <f>AND(Шахм!J126,"AAAAAH//sRs=")</f>
        <v>#VALUE!</v>
      </c>
      <c r="AC19" t="e">
        <f>AND(Шахм!K126,"AAAAAH//sRw=")</f>
        <v>#VALUE!</v>
      </c>
      <c r="AD19" t="e">
        <f>AND(Шахм!L126,"AAAAAH//sR0=")</f>
        <v>#VALUE!</v>
      </c>
      <c r="AE19" t="e">
        <f>AND(Шахм!M126,"AAAAAH//sR4=")</f>
        <v>#VALUE!</v>
      </c>
      <c r="AF19" t="e">
        <f>AND(Шахм!N126,"AAAAAH//sR8=")</f>
        <v>#VALUE!</v>
      </c>
      <c r="AG19" t="e">
        <f>AND(Шахм!O126,"AAAAAH//sSA=")</f>
        <v>#VALUE!</v>
      </c>
      <c r="AH19" t="e">
        <f>AND(Шахм!P126,"AAAAAH//sSE=")</f>
        <v>#VALUE!</v>
      </c>
      <c r="AI19" t="e">
        <f>AND(Шахм!Q126,"AAAAAH//sSI=")</f>
        <v>#VALUE!</v>
      </c>
      <c r="AJ19" t="e">
        <f>AND(Шахм!R126,"AAAAAH//sSM=")</f>
        <v>#VALUE!</v>
      </c>
      <c r="AK19" t="e">
        <f>AND(Шахм!S126,"AAAAAH//sSQ=")</f>
        <v>#VALUE!</v>
      </c>
      <c r="AL19" t="e">
        <f>AND(Шахм!T126,"AAAAAH//sSU=")</f>
        <v>#VALUE!</v>
      </c>
      <c r="AM19" t="e">
        <f>AND(Шахм!U126,"AAAAAH//sSY=")</f>
        <v>#VALUE!</v>
      </c>
      <c r="AN19" t="e">
        <f>AND(Шахм!V126,"AAAAAH//sSc=")</f>
        <v>#VALUE!</v>
      </c>
      <c r="AO19" t="e">
        <f>AND(Шахм!W126,"AAAAAH//sSg=")</f>
        <v>#VALUE!</v>
      </c>
      <c r="AP19" t="e">
        <f>AND(Шахм!X126,"AAAAAH//sSk=")</f>
        <v>#VALUE!</v>
      </c>
      <c r="AQ19" t="e">
        <f>AND(Шахм!Y126,"AAAAAH//sSo=")</f>
        <v>#VALUE!</v>
      </c>
      <c r="AR19" t="e">
        <f>AND(Шахм!Z126,"AAAAAH//sSs=")</f>
        <v>#VALUE!</v>
      </c>
      <c r="AS19" t="e">
        <f>AND(Шахм!AA126,"AAAAAH//sSw=")</f>
        <v>#VALUE!</v>
      </c>
      <c r="AT19" t="e">
        <f>AND(Шахм!AB126,"AAAAAH//sS0=")</f>
        <v>#VALUE!</v>
      </c>
      <c r="AU19" t="e">
        <f>AND(Шахм!AC126,"AAAAAH//sS4=")</f>
        <v>#VALUE!</v>
      </c>
      <c r="AV19" t="e">
        <f>AND(Шахм!AD126,"AAAAAH//sS8=")</f>
        <v>#VALUE!</v>
      </c>
      <c r="AW19" t="e">
        <f>AND(Шахм!AE126,"AAAAAH//sTA=")</f>
        <v>#VALUE!</v>
      </c>
      <c r="AX19" t="e">
        <f>AND(Шахм!AF126,"AAAAAH//sTE=")</f>
        <v>#VALUE!</v>
      </c>
      <c r="AY19" t="e">
        <f>AND(Шахм!AG126,"AAAAAH//sTI=")</f>
        <v>#VALUE!</v>
      </c>
      <c r="AZ19" t="e">
        <f>AND(Шахм!AH126,"AAAAAH//sTM=")</f>
        <v>#VALUE!</v>
      </c>
      <c r="BA19" t="e">
        <f>AND(Шахм!AI126,"AAAAAH//sTQ=")</f>
        <v>#VALUE!</v>
      </c>
      <c r="BB19" t="e">
        <f>AND(Шахм!AJ126,"AAAAAH//sTU=")</f>
        <v>#VALUE!</v>
      </c>
      <c r="BC19">
        <f>IF(Шахм!127:127,"AAAAAH//sTY=",0)</f>
        <v>0</v>
      </c>
      <c r="BD19" t="e">
        <f>AND(Шахм!A127,"AAAAAH//sTc=")</f>
        <v>#VALUE!</v>
      </c>
      <c r="BE19" t="e">
        <f>AND(Шахм!B127,"AAAAAH//sTg=")</f>
        <v>#VALUE!</v>
      </c>
      <c r="BF19" t="e">
        <f>AND(Шахм!C127,"AAAAAH//sTk=")</f>
        <v>#VALUE!</v>
      </c>
      <c r="BG19" t="e">
        <f>AND(Шахм!D127,"AAAAAH//sTo=")</f>
        <v>#VALUE!</v>
      </c>
      <c r="BH19" t="e">
        <f>AND(Шахм!E127,"AAAAAH//sTs=")</f>
        <v>#VALUE!</v>
      </c>
      <c r="BI19" t="e">
        <f>AND(Шахм!F127,"AAAAAH//sTw=")</f>
        <v>#VALUE!</v>
      </c>
      <c r="BJ19" t="e">
        <f>AND(Шахм!G127,"AAAAAH//sT0=")</f>
        <v>#VALUE!</v>
      </c>
      <c r="BK19" t="e">
        <f>AND(Шахм!H127,"AAAAAH//sT4=")</f>
        <v>#VALUE!</v>
      </c>
      <c r="BL19" t="e">
        <f>AND(Шахм!I127,"AAAAAH//sT8=")</f>
        <v>#VALUE!</v>
      </c>
      <c r="BM19" t="e">
        <f>AND(Шахм!J127,"AAAAAH//sUA=")</f>
        <v>#VALUE!</v>
      </c>
      <c r="BN19" t="e">
        <f>AND(Шахм!K127,"AAAAAH//sUE=")</f>
        <v>#VALUE!</v>
      </c>
      <c r="BO19" t="e">
        <f>AND(Шахм!L127,"AAAAAH//sUI=")</f>
        <v>#VALUE!</v>
      </c>
      <c r="BP19" t="e">
        <f>AND(Шахм!M127,"AAAAAH//sUM=")</f>
        <v>#VALUE!</v>
      </c>
      <c r="BQ19" t="e">
        <f>AND(Шахм!N127,"AAAAAH//sUQ=")</f>
        <v>#VALUE!</v>
      </c>
      <c r="BR19" t="e">
        <f>AND(Шахм!O127,"AAAAAH//sUU=")</f>
        <v>#VALUE!</v>
      </c>
      <c r="BS19" t="e">
        <f>AND(Шахм!P127,"AAAAAH//sUY=")</f>
        <v>#VALUE!</v>
      </c>
      <c r="BT19" t="e">
        <f>AND(Шахм!Q127,"AAAAAH//sUc=")</f>
        <v>#VALUE!</v>
      </c>
      <c r="BU19" t="e">
        <f>AND(Шахм!R127,"AAAAAH//sUg=")</f>
        <v>#VALUE!</v>
      </c>
      <c r="BV19" t="e">
        <f>AND(Шахм!S127,"AAAAAH//sUk=")</f>
        <v>#VALUE!</v>
      </c>
      <c r="BW19" t="e">
        <f>AND(Шахм!T127,"AAAAAH//sUo=")</f>
        <v>#VALUE!</v>
      </c>
      <c r="BX19" t="e">
        <f>AND(Шахм!U127,"AAAAAH//sUs=")</f>
        <v>#VALUE!</v>
      </c>
      <c r="BY19" t="e">
        <f>AND(Шахм!V127,"AAAAAH//sUw=")</f>
        <v>#VALUE!</v>
      </c>
      <c r="BZ19" t="e">
        <f>AND(Шахм!W127,"AAAAAH//sU0=")</f>
        <v>#VALUE!</v>
      </c>
      <c r="CA19" t="e">
        <f>AND(Шахм!X127,"AAAAAH//sU4=")</f>
        <v>#VALUE!</v>
      </c>
      <c r="CB19" t="e">
        <f>AND(Шахм!Y127,"AAAAAH//sU8=")</f>
        <v>#VALUE!</v>
      </c>
      <c r="CC19" t="e">
        <f>AND(Шахм!Z127,"AAAAAH//sVA=")</f>
        <v>#VALUE!</v>
      </c>
      <c r="CD19" t="e">
        <f>AND(Шахм!AA127,"AAAAAH//sVE=")</f>
        <v>#VALUE!</v>
      </c>
      <c r="CE19" t="e">
        <f>AND(Шахм!AB127,"AAAAAH//sVI=")</f>
        <v>#VALUE!</v>
      </c>
      <c r="CF19" t="e">
        <f>AND(Шахм!AC127,"AAAAAH//sVM=")</f>
        <v>#VALUE!</v>
      </c>
      <c r="CG19" t="e">
        <f>AND(Шахм!AD127,"AAAAAH//sVQ=")</f>
        <v>#VALUE!</v>
      </c>
      <c r="CH19" t="e">
        <f>AND(Шахм!AE127,"AAAAAH//sVU=")</f>
        <v>#VALUE!</v>
      </c>
      <c r="CI19" t="e">
        <f>AND(Шахм!AF127,"AAAAAH//sVY=")</f>
        <v>#VALUE!</v>
      </c>
      <c r="CJ19" t="e">
        <f>AND(Шахм!AG127,"AAAAAH//sVc=")</f>
        <v>#VALUE!</v>
      </c>
      <c r="CK19" t="e">
        <f>AND(Шахм!AH127,"AAAAAH//sVg=")</f>
        <v>#VALUE!</v>
      </c>
      <c r="CL19" t="e">
        <f>AND(Шахм!AI127,"AAAAAH//sVk=")</f>
        <v>#VALUE!</v>
      </c>
      <c r="CM19" t="e">
        <f>AND(Шахм!AJ127,"AAAAAH//sVo=")</f>
        <v>#VALUE!</v>
      </c>
      <c r="CN19">
        <f>IF(Шахм!128:128,"AAAAAH//sVs=",0)</f>
        <v>0</v>
      </c>
      <c r="CO19" t="e">
        <f>AND(Шахм!A128,"AAAAAH//sVw=")</f>
        <v>#VALUE!</v>
      </c>
      <c r="CP19" t="e">
        <f>AND(Шахм!B128,"AAAAAH//sV0=")</f>
        <v>#VALUE!</v>
      </c>
      <c r="CQ19" t="e">
        <f>AND(Шахм!C128,"AAAAAH//sV4=")</f>
        <v>#VALUE!</v>
      </c>
      <c r="CR19" t="e">
        <f>AND(Шахм!D128,"AAAAAH//sV8=")</f>
        <v>#VALUE!</v>
      </c>
      <c r="CS19" t="e">
        <f>AND(Шахм!E128,"AAAAAH//sWA=")</f>
        <v>#VALUE!</v>
      </c>
      <c r="CT19" t="e">
        <f>AND(Шахм!F128,"AAAAAH//sWE=")</f>
        <v>#VALUE!</v>
      </c>
      <c r="CU19" t="e">
        <f>AND(Шахм!G128,"AAAAAH//sWI=")</f>
        <v>#VALUE!</v>
      </c>
      <c r="CV19" t="e">
        <f>AND(Шахм!H128,"AAAAAH//sWM=")</f>
        <v>#VALUE!</v>
      </c>
      <c r="CW19" t="e">
        <f>AND(Шахм!I128,"AAAAAH//sWQ=")</f>
        <v>#VALUE!</v>
      </c>
      <c r="CX19" t="e">
        <f>AND(Шахм!J128,"AAAAAH//sWU=")</f>
        <v>#VALUE!</v>
      </c>
      <c r="CY19" t="e">
        <f>AND(Шахм!K128,"AAAAAH//sWY=")</f>
        <v>#VALUE!</v>
      </c>
      <c r="CZ19" t="e">
        <f>AND(Шахм!L128,"AAAAAH//sWc=")</f>
        <v>#VALUE!</v>
      </c>
      <c r="DA19" t="e">
        <f>AND(Шахм!M128,"AAAAAH//sWg=")</f>
        <v>#VALUE!</v>
      </c>
      <c r="DB19" t="e">
        <f>AND(Шахм!N128,"AAAAAH//sWk=")</f>
        <v>#VALUE!</v>
      </c>
      <c r="DC19" t="e">
        <f>AND(Шахм!O128,"AAAAAH//sWo=")</f>
        <v>#VALUE!</v>
      </c>
      <c r="DD19" t="e">
        <f>AND(Шахм!P128,"AAAAAH//sWs=")</f>
        <v>#VALUE!</v>
      </c>
      <c r="DE19" t="e">
        <f>AND(Шахм!Q128,"AAAAAH//sWw=")</f>
        <v>#VALUE!</v>
      </c>
      <c r="DF19" t="e">
        <f>AND(Шахм!R128,"AAAAAH//sW0=")</f>
        <v>#VALUE!</v>
      </c>
      <c r="DG19" t="e">
        <f>AND(Шахм!S128,"AAAAAH//sW4=")</f>
        <v>#VALUE!</v>
      </c>
      <c r="DH19" t="e">
        <f>AND(Шахм!T128,"AAAAAH//sW8=")</f>
        <v>#VALUE!</v>
      </c>
      <c r="DI19" t="e">
        <f>AND(Шахм!U128,"AAAAAH//sXA=")</f>
        <v>#VALUE!</v>
      </c>
      <c r="DJ19" t="e">
        <f>AND(Шахм!V128,"AAAAAH//sXE=")</f>
        <v>#VALUE!</v>
      </c>
      <c r="DK19" t="e">
        <f>AND(Шахм!W128,"AAAAAH//sXI=")</f>
        <v>#VALUE!</v>
      </c>
      <c r="DL19" t="e">
        <f>AND(Шахм!X128,"AAAAAH//sXM=")</f>
        <v>#VALUE!</v>
      </c>
      <c r="DM19" t="e">
        <f>AND(Шахм!Y128,"AAAAAH//sXQ=")</f>
        <v>#VALUE!</v>
      </c>
      <c r="DN19" t="e">
        <f>AND(Шахм!Z128,"AAAAAH//sXU=")</f>
        <v>#VALUE!</v>
      </c>
      <c r="DO19" t="e">
        <f>AND(Шахм!AA128,"AAAAAH//sXY=")</f>
        <v>#VALUE!</v>
      </c>
      <c r="DP19" t="e">
        <f>AND(Шахм!AB128,"AAAAAH//sXc=")</f>
        <v>#VALUE!</v>
      </c>
      <c r="DQ19" t="e">
        <f>AND(Шахм!AC128,"AAAAAH//sXg=")</f>
        <v>#VALUE!</v>
      </c>
      <c r="DR19" t="e">
        <f>AND(Шахм!AD128,"AAAAAH//sXk=")</f>
        <v>#VALUE!</v>
      </c>
      <c r="DS19" t="e">
        <f>AND(Шахм!AE128,"AAAAAH//sXo=")</f>
        <v>#VALUE!</v>
      </c>
      <c r="DT19" t="e">
        <f>AND(Шахм!AF128,"AAAAAH//sXs=")</f>
        <v>#VALUE!</v>
      </c>
      <c r="DU19" t="e">
        <f>AND(Шахм!AG128,"AAAAAH//sXw=")</f>
        <v>#VALUE!</v>
      </c>
      <c r="DV19" t="e">
        <f>AND(Шахм!AH128,"AAAAAH//sX0=")</f>
        <v>#VALUE!</v>
      </c>
      <c r="DW19" t="e">
        <f>AND(Шахм!AI128,"AAAAAH//sX4=")</f>
        <v>#VALUE!</v>
      </c>
      <c r="DX19" t="e">
        <f>AND(Шахм!AJ128,"AAAAAH//sX8=")</f>
        <v>#VALUE!</v>
      </c>
      <c r="DY19">
        <f>IF(Шахм!129:129,"AAAAAH//sYA=",0)</f>
        <v>0</v>
      </c>
      <c r="DZ19" t="e">
        <f>AND(Шахм!A129,"AAAAAH//sYE=")</f>
        <v>#VALUE!</v>
      </c>
      <c r="EA19" t="e">
        <f>AND(Шахм!B129,"AAAAAH//sYI=")</f>
        <v>#VALUE!</v>
      </c>
      <c r="EB19" t="e">
        <f>AND(Шахм!C129,"AAAAAH//sYM=")</f>
        <v>#VALUE!</v>
      </c>
      <c r="EC19" t="e">
        <f>AND(Шахм!D129,"AAAAAH//sYQ=")</f>
        <v>#VALUE!</v>
      </c>
      <c r="ED19" t="e">
        <f>AND(Шахм!E129,"AAAAAH//sYU=")</f>
        <v>#VALUE!</v>
      </c>
      <c r="EE19" t="e">
        <f>AND(Шахм!F129,"AAAAAH//sYY=")</f>
        <v>#VALUE!</v>
      </c>
      <c r="EF19" t="e">
        <f>AND(Шахм!G129,"AAAAAH//sYc=")</f>
        <v>#VALUE!</v>
      </c>
      <c r="EG19" t="e">
        <f>AND(Шахм!H129,"AAAAAH//sYg=")</f>
        <v>#VALUE!</v>
      </c>
      <c r="EH19" t="e">
        <f>AND(Шахм!I129,"AAAAAH//sYk=")</f>
        <v>#VALUE!</v>
      </c>
      <c r="EI19" t="e">
        <f>AND(Шахм!J129,"AAAAAH//sYo=")</f>
        <v>#VALUE!</v>
      </c>
      <c r="EJ19" t="e">
        <f>AND(Шахм!K129,"AAAAAH//sYs=")</f>
        <v>#VALUE!</v>
      </c>
      <c r="EK19" t="e">
        <f>AND(Шахм!L129,"AAAAAH//sYw=")</f>
        <v>#VALUE!</v>
      </c>
      <c r="EL19" t="e">
        <f>AND(Шахм!M129,"AAAAAH//sY0=")</f>
        <v>#VALUE!</v>
      </c>
      <c r="EM19" t="e">
        <f>AND(Шахм!N129,"AAAAAH//sY4=")</f>
        <v>#VALUE!</v>
      </c>
      <c r="EN19" t="e">
        <f>AND(Шахм!O129,"AAAAAH//sY8=")</f>
        <v>#VALUE!</v>
      </c>
      <c r="EO19" t="e">
        <f>AND(Шахм!P129,"AAAAAH//sZA=")</f>
        <v>#VALUE!</v>
      </c>
      <c r="EP19" t="e">
        <f>AND(Шахм!Q129,"AAAAAH//sZE=")</f>
        <v>#VALUE!</v>
      </c>
      <c r="EQ19" t="e">
        <f>AND(Шахм!R129,"AAAAAH//sZI=")</f>
        <v>#VALUE!</v>
      </c>
      <c r="ER19" t="e">
        <f>AND(Шахм!S129,"AAAAAH//sZM=")</f>
        <v>#VALUE!</v>
      </c>
      <c r="ES19" t="e">
        <f>AND(Шахм!T129,"AAAAAH//sZQ=")</f>
        <v>#VALUE!</v>
      </c>
      <c r="ET19" t="e">
        <f>AND(Шахм!U129,"AAAAAH//sZU=")</f>
        <v>#VALUE!</v>
      </c>
      <c r="EU19" t="e">
        <f>AND(Шахм!V129,"AAAAAH//sZY=")</f>
        <v>#VALUE!</v>
      </c>
      <c r="EV19" t="e">
        <f>AND(Шахм!W129,"AAAAAH//sZc=")</f>
        <v>#VALUE!</v>
      </c>
      <c r="EW19" t="e">
        <f>AND(Шахм!X129,"AAAAAH//sZg=")</f>
        <v>#VALUE!</v>
      </c>
      <c r="EX19" t="e">
        <f>AND(Шахм!Y129,"AAAAAH//sZk=")</f>
        <v>#VALUE!</v>
      </c>
      <c r="EY19" t="e">
        <f>AND(Шахм!Z129,"AAAAAH//sZo=")</f>
        <v>#VALUE!</v>
      </c>
      <c r="EZ19" t="e">
        <f>AND(Шахм!AA129,"AAAAAH//sZs=")</f>
        <v>#VALUE!</v>
      </c>
      <c r="FA19" t="e">
        <f>AND(Шахм!AB129,"AAAAAH//sZw=")</f>
        <v>#VALUE!</v>
      </c>
      <c r="FB19" t="e">
        <f>AND(Шахм!AC129,"AAAAAH//sZ0=")</f>
        <v>#VALUE!</v>
      </c>
      <c r="FC19" t="e">
        <f>AND(Шахм!AD129,"AAAAAH//sZ4=")</f>
        <v>#VALUE!</v>
      </c>
      <c r="FD19" t="e">
        <f>AND(Шахм!AE129,"AAAAAH//sZ8=")</f>
        <v>#VALUE!</v>
      </c>
      <c r="FE19" t="e">
        <f>AND(Шахм!AF129,"AAAAAH//saA=")</f>
        <v>#VALUE!</v>
      </c>
      <c r="FF19" t="e">
        <f>AND(Шахм!AG129,"AAAAAH//saE=")</f>
        <v>#VALUE!</v>
      </c>
      <c r="FG19" t="e">
        <f>AND(Шахм!AH129,"AAAAAH//saI=")</f>
        <v>#VALUE!</v>
      </c>
      <c r="FH19" t="e">
        <f>AND(Шахм!AI129,"AAAAAH//saM=")</f>
        <v>#VALUE!</v>
      </c>
      <c r="FI19" t="e">
        <f>AND(Шахм!AJ129,"AAAAAH//saQ=")</f>
        <v>#VALUE!</v>
      </c>
      <c r="FJ19">
        <f>IF(Шахм!130:130,"AAAAAH//saU=",0)</f>
        <v>0</v>
      </c>
      <c r="FK19" t="e">
        <f>AND(Шахм!A130,"AAAAAH//saY=")</f>
        <v>#VALUE!</v>
      </c>
      <c r="FL19" t="e">
        <f>AND(Шахм!B130,"AAAAAH//sac=")</f>
        <v>#VALUE!</v>
      </c>
      <c r="FM19" t="e">
        <f>AND(Шахм!C130,"AAAAAH//sag=")</f>
        <v>#VALUE!</v>
      </c>
      <c r="FN19" t="e">
        <f>AND(Шахм!D130,"AAAAAH//sak=")</f>
        <v>#VALUE!</v>
      </c>
      <c r="FO19" t="e">
        <f>AND(Шахм!E130,"AAAAAH//sao=")</f>
        <v>#VALUE!</v>
      </c>
      <c r="FP19" t="e">
        <f>AND(Шахм!F130,"AAAAAH//sas=")</f>
        <v>#VALUE!</v>
      </c>
      <c r="FQ19" t="e">
        <f>AND(Шахм!G130,"AAAAAH//saw=")</f>
        <v>#VALUE!</v>
      </c>
      <c r="FR19" t="e">
        <f>AND(Шахм!H130,"AAAAAH//sa0=")</f>
        <v>#VALUE!</v>
      </c>
      <c r="FS19" t="e">
        <f>AND(Шахм!I130,"AAAAAH//sa4=")</f>
        <v>#VALUE!</v>
      </c>
      <c r="FT19" t="e">
        <f>AND(Шахм!J130,"AAAAAH//sa8=")</f>
        <v>#VALUE!</v>
      </c>
      <c r="FU19" t="e">
        <f>AND(Шахм!K130,"AAAAAH//sbA=")</f>
        <v>#VALUE!</v>
      </c>
      <c r="FV19" t="e">
        <f>AND(Шахм!L130,"AAAAAH//sbE=")</f>
        <v>#VALUE!</v>
      </c>
      <c r="FW19" t="e">
        <f>AND(Шахм!M130,"AAAAAH//sbI=")</f>
        <v>#VALUE!</v>
      </c>
      <c r="FX19" t="e">
        <f>AND(Шахм!N130,"AAAAAH//sbM=")</f>
        <v>#VALUE!</v>
      </c>
      <c r="FY19" t="e">
        <f>AND(Шахм!O130,"AAAAAH//sbQ=")</f>
        <v>#VALUE!</v>
      </c>
      <c r="FZ19" t="e">
        <f>AND(Шахм!P130,"AAAAAH//sbU=")</f>
        <v>#VALUE!</v>
      </c>
      <c r="GA19" t="e">
        <f>AND(Шахм!Q130,"AAAAAH//sbY=")</f>
        <v>#VALUE!</v>
      </c>
      <c r="GB19" t="e">
        <f>AND(Шахм!R130,"AAAAAH//sbc=")</f>
        <v>#VALUE!</v>
      </c>
      <c r="GC19" t="e">
        <f>AND(Шахм!S130,"AAAAAH//sbg=")</f>
        <v>#VALUE!</v>
      </c>
      <c r="GD19" t="e">
        <f>AND(Шахм!T130,"AAAAAH//sbk=")</f>
        <v>#VALUE!</v>
      </c>
      <c r="GE19" t="e">
        <f>AND(Шахм!U130,"AAAAAH//sbo=")</f>
        <v>#VALUE!</v>
      </c>
      <c r="GF19" t="e">
        <f>AND(Шахм!V130,"AAAAAH//sbs=")</f>
        <v>#VALUE!</v>
      </c>
      <c r="GG19" t="e">
        <f>AND(Шахм!W130,"AAAAAH//sbw=")</f>
        <v>#VALUE!</v>
      </c>
      <c r="GH19" t="e">
        <f>AND(Шахм!X130,"AAAAAH//sb0=")</f>
        <v>#VALUE!</v>
      </c>
      <c r="GI19" t="e">
        <f>AND(Шахм!Y130,"AAAAAH//sb4=")</f>
        <v>#VALUE!</v>
      </c>
      <c r="GJ19" t="e">
        <f>AND(Шахм!Z130,"AAAAAH//sb8=")</f>
        <v>#VALUE!</v>
      </c>
      <c r="GK19" t="e">
        <f>AND(Шахм!AA130,"AAAAAH//scA=")</f>
        <v>#VALUE!</v>
      </c>
      <c r="GL19" t="e">
        <f>AND(Шахм!AB130,"AAAAAH//scE=")</f>
        <v>#VALUE!</v>
      </c>
      <c r="GM19" t="e">
        <f>AND(Шахм!AC130,"AAAAAH//scI=")</f>
        <v>#VALUE!</v>
      </c>
      <c r="GN19" t="e">
        <f>AND(Шахм!AD130,"AAAAAH//scM=")</f>
        <v>#VALUE!</v>
      </c>
      <c r="GO19" t="e">
        <f>AND(Шахм!AE130,"AAAAAH//scQ=")</f>
        <v>#VALUE!</v>
      </c>
      <c r="GP19" t="e">
        <f>AND(Шахм!AF130,"AAAAAH//scU=")</f>
        <v>#VALUE!</v>
      </c>
      <c r="GQ19" t="e">
        <f>AND(Шахм!AG130,"AAAAAH//scY=")</f>
        <v>#VALUE!</v>
      </c>
      <c r="GR19" t="e">
        <f>AND(Шахм!AH130,"AAAAAH//scc=")</f>
        <v>#VALUE!</v>
      </c>
      <c r="GS19" t="e">
        <f>AND(Шахм!AI130,"AAAAAH//scg=")</f>
        <v>#VALUE!</v>
      </c>
      <c r="GT19" t="e">
        <f>AND(Шахм!AJ130,"AAAAAH//sck=")</f>
        <v>#VALUE!</v>
      </c>
      <c r="GU19">
        <f>IF(Шахм!131:131,"AAAAAH//sco=",0)</f>
        <v>0</v>
      </c>
      <c r="GV19" t="e">
        <f>AND(Шахм!A131,"AAAAAH//scs=")</f>
        <v>#VALUE!</v>
      </c>
      <c r="GW19" t="e">
        <f>AND(Шахм!B131,"AAAAAH//scw=")</f>
        <v>#VALUE!</v>
      </c>
      <c r="GX19" t="e">
        <f>AND(Шахм!C131,"AAAAAH//sc0=")</f>
        <v>#VALUE!</v>
      </c>
      <c r="GY19" t="e">
        <f>AND(Шахм!D131,"AAAAAH//sc4=")</f>
        <v>#VALUE!</v>
      </c>
      <c r="GZ19" t="e">
        <f>AND(Шахм!E131,"AAAAAH//sc8=")</f>
        <v>#VALUE!</v>
      </c>
      <c r="HA19" t="e">
        <f>AND(Шахм!F131,"AAAAAH//sdA=")</f>
        <v>#VALUE!</v>
      </c>
      <c r="HB19" t="e">
        <f>AND(Шахм!G131,"AAAAAH//sdE=")</f>
        <v>#VALUE!</v>
      </c>
      <c r="HC19" t="e">
        <f>AND(Шахм!H131,"AAAAAH//sdI=")</f>
        <v>#VALUE!</v>
      </c>
      <c r="HD19" t="e">
        <f>AND(Шахм!I131,"AAAAAH//sdM=")</f>
        <v>#VALUE!</v>
      </c>
      <c r="HE19" t="e">
        <f>AND(Шахм!J131,"AAAAAH//sdQ=")</f>
        <v>#VALUE!</v>
      </c>
      <c r="HF19" t="e">
        <f>AND(Шахм!K131,"AAAAAH//sdU=")</f>
        <v>#VALUE!</v>
      </c>
      <c r="HG19" t="e">
        <f>AND(Шахм!L131,"AAAAAH//sdY=")</f>
        <v>#VALUE!</v>
      </c>
      <c r="HH19" t="e">
        <f>AND(Шахм!M131,"AAAAAH//sdc=")</f>
        <v>#VALUE!</v>
      </c>
      <c r="HI19" t="e">
        <f>AND(Шахм!N131,"AAAAAH//sdg=")</f>
        <v>#VALUE!</v>
      </c>
      <c r="HJ19" t="e">
        <f>AND(Шахм!O131,"AAAAAH//sdk=")</f>
        <v>#VALUE!</v>
      </c>
      <c r="HK19" t="e">
        <f>AND(Шахм!P131,"AAAAAH//sdo=")</f>
        <v>#VALUE!</v>
      </c>
      <c r="HL19" t="e">
        <f>AND(Шахм!Q131,"AAAAAH//sds=")</f>
        <v>#VALUE!</v>
      </c>
      <c r="HM19" t="e">
        <f>AND(Шахм!R131,"AAAAAH//sdw=")</f>
        <v>#VALUE!</v>
      </c>
      <c r="HN19" t="e">
        <f>AND(Шахм!S131,"AAAAAH//sd0=")</f>
        <v>#VALUE!</v>
      </c>
      <c r="HO19" t="e">
        <f>AND(Шахм!T131,"AAAAAH//sd4=")</f>
        <v>#VALUE!</v>
      </c>
      <c r="HP19" t="e">
        <f>AND(Шахм!U131,"AAAAAH//sd8=")</f>
        <v>#VALUE!</v>
      </c>
      <c r="HQ19" t="e">
        <f>AND(Шахм!V131,"AAAAAH//seA=")</f>
        <v>#VALUE!</v>
      </c>
      <c r="HR19" t="e">
        <f>AND(Шахм!W131,"AAAAAH//seE=")</f>
        <v>#VALUE!</v>
      </c>
      <c r="HS19" t="e">
        <f>AND(Шахм!X131,"AAAAAH//seI=")</f>
        <v>#VALUE!</v>
      </c>
      <c r="HT19" t="e">
        <f>AND(Шахм!Y131,"AAAAAH//seM=")</f>
        <v>#VALUE!</v>
      </c>
      <c r="HU19" t="e">
        <f>AND(Шахм!Z131,"AAAAAH//seQ=")</f>
        <v>#VALUE!</v>
      </c>
      <c r="HV19" t="e">
        <f>AND(Шахм!AA131,"AAAAAH//seU=")</f>
        <v>#VALUE!</v>
      </c>
      <c r="HW19" t="e">
        <f>AND(Шахм!AB131,"AAAAAH//seY=")</f>
        <v>#VALUE!</v>
      </c>
      <c r="HX19" t="e">
        <f>AND(Шахм!AC131,"AAAAAH//sec=")</f>
        <v>#VALUE!</v>
      </c>
      <c r="HY19" t="e">
        <f>AND(Шахм!AD131,"AAAAAH//seg=")</f>
        <v>#VALUE!</v>
      </c>
      <c r="HZ19" t="e">
        <f>AND(Шахм!AE131,"AAAAAH//sek=")</f>
        <v>#VALUE!</v>
      </c>
      <c r="IA19" t="e">
        <f>AND(Шахм!AF131,"AAAAAH//seo=")</f>
        <v>#VALUE!</v>
      </c>
      <c r="IB19" t="e">
        <f>AND(Шахм!AG131,"AAAAAH//ses=")</f>
        <v>#VALUE!</v>
      </c>
      <c r="IC19" t="e">
        <f>AND(Шахм!AH131,"AAAAAH//sew=")</f>
        <v>#VALUE!</v>
      </c>
      <c r="ID19" t="e">
        <f>AND(Шахм!AI131,"AAAAAH//se0=")</f>
        <v>#VALUE!</v>
      </c>
      <c r="IE19" t="e">
        <f>AND(Шахм!AJ131,"AAAAAH//se4=")</f>
        <v>#VALUE!</v>
      </c>
      <c r="IF19">
        <f>IF(Шахм!132:132,"AAAAAH//se8=",0)</f>
        <v>0</v>
      </c>
      <c r="IG19" t="e">
        <f>AND(Шахм!A132,"AAAAAH//sfA=")</f>
        <v>#VALUE!</v>
      </c>
      <c r="IH19" t="e">
        <f>AND(Шахм!B132,"AAAAAH//sfE=")</f>
        <v>#VALUE!</v>
      </c>
      <c r="II19" t="e">
        <f>AND(Шахм!C132,"AAAAAH//sfI=")</f>
        <v>#VALUE!</v>
      </c>
      <c r="IJ19" t="e">
        <f>AND(Шахм!D132,"AAAAAH//sfM=")</f>
        <v>#VALUE!</v>
      </c>
      <c r="IK19" t="e">
        <f>AND(Шахм!E132,"AAAAAH//sfQ=")</f>
        <v>#VALUE!</v>
      </c>
      <c r="IL19" t="e">
        <f>AND(Шахм!F132,"AAAAAH//sfU=")</f>
        <v>#VALUE!</v>
      </c>
      <c r="IM19" t="e">
        <f>AND(Шахм!G132,"AAAAAH//sfY=")</f>
        <v>#VALUE!</v>
      </c>
      <c r="IN19" t="e">
        <f>AND(Шахм!H132,"AAAAAH//sfc=")</f>
        <v>#VALUE!</v>
      </c>
      <c r="IO19" t="e">
        <f>AND(Шахм!I132,"AAAAAH//sfg=")</f>
        <v>#VALUE!</v>
      </c>
      <c r="IP19" t="e">
        <f>AND(Шахм!J132,"AAAAAH//sfk=")</f>
        <v>#VALUE!</v>
      </c>
      <c r="IQ19" t="e">
        <f>AND(Шахм!K132,"AAAAAH//sfo=")</f>
        <v>#VALUE!</v>
      </c>
      <c r="IR19" t="e">
        <f>AND(Шахм!L132,"AAAAAH//sfs=")</f>
        <v>#VALUE!</v>
      </c>
      <c r="IS19" t="e">
        <f>AND(Шахм!M132,"AAAAAH//sfw=")</f>
        <v>#VALUE!</v>
      </c>
      <c r="IT19" t="e">
        <f>AND(Шахм!N132,"AAAAAH//sf0=")</f>
        <v>#VALUE!</v>
      </c>
      <c r="IU19" t="e">
        <f>AND(Шахм!O132,"AAAAAH//sf4=")</f>
        <v>#VALUE!</v>
      </c>
      <c r="IV19" t="e">
        <f>AND(Шахм!P132,"AAAAAH//sf8=")</f>
        <v>#VALUE!</v>
      </c>
    </row>
    <row r="20" spans="1:256">
      <c r="A20" t="e">
        <f>AND(Шахм!Q132,"AAAAADbf5wA=")</f>
        <v>#VALUE!</v>
      </c>
      <c r="B20" t="e">
        <f>AND(Шахм!R132,"AAAAADbf5wE=")</f>
        <v>#VALUE!</v>
      </c>
      <c r="C20" t="e">
        <f>AND(Шахм!S132,"AAAAADbf5wI=")</f>
        <v>#VALUE!</v>
      </c>
      <c r="D20" t="e">
        <f>AND(Шахм!T132,"AAAAADbf5wM=")</f>
        <v>#VALUE!</v>
      </c>
      <c r="E20" t="e">
        <f>AND(Шахм!U132,"AAAAADbf5wQ=")</f>
        <v>#VALUE!</v>
      </c>
      <c r="F20" t="e">
        <f>AND(Шахм!V132,"AAAAADbf5wU=")</f>
        <v>#VALUE!</v>
      </c>
      <c r="G20" t="e">
        <f>AND(Шахм!W132,"AAAAADbf5wY=")</f>
        <v>#VALUE!</v>
      </c>
      <c r="H20" t="e">
        <f>AND(Шахм!X132,"AAAAADbf5wc=")</f>
        <v>#VALUE!</v>
      </c>
      <c r="I20" t="e">
        <f>AND(Шахм!Y132,"AAAAADbf5wg=")</f>
        <v>#VALUE!</v>
      </c>
      <c r="J20" t="e">
        <f>AND(Шахм!Z132,"AAAAADbf5wk=")</f>
        <v>#VALUE!</v>
      </c>
      <c r="K20" t="e">
        <f>AND(Шахм!AA132,"AAAAADbf5wo=")</f>
        <v>#VALUE!</v>
      </c>
      <c r="L20" t="e">
        <f>AND(Шахм!AB132,"AAAAADbf5ws=")</f>
        <v>#VALUE!</v>
      </c>
      <c r="M20" t="e">
        <f>AND(Шахм!AC132,"AAAAADbf5ww=")</f>
        <v>#VALUE!</v>
      </c>
      <c r="N20" t="e">
        <f>AND(Шахм!AD132,"AAAAADbf5w0=")</f>
        <v>#VALUE!</v>
      </c>
      <c r="O20" t="e">
        <f>AND(Шахм!AE132,"AAAAADbf5w4=")</f>
        <v>#VALUE!</v>
      </c>
      <c r="P20" t="e">
        <f>AND(Шахм!AF132,"AAAAADbf5w8=")</f>
        <v>#VALUE!</v>
      </c>
      <c r="Q20" t="e">
        <f>AND(Шахм!AG132,"AAAAADbf5xA=")</f>
        <v>#VALUE!</v>
      </c>
      <c r="R20" t="e">
        <f>AND(Шахм!AH132,"AAAAADbf5xE=")</f>
        <v>#VALUE!</v>
      </c>
      <c r="S20" t="e">
        <f>AND(Шахм!AI132,"AAAAADbf5xI=")</f>
        <v>#VALUE!</v>
      </c>
      <c r="T20" t="e">
        <f>AND(Шахм!AJ132,"AAAAADbf5xM=")</f>
        <v>#VALUE!</v>
      </c>
      <c r="U20">
        <f>IF(Шахм!133:133,"AAAAADbf5xQ=",0)</f>
        <v>0</v>
      </c>
      <c r="V20" t="e">
        <f>AND(Шахм!A133,"AAAAADbf5xU=")</f>
        <v>#VALUE!</v>
      </c>
      <c r="W20" t="e">
        <f>AND(Шахм!B133,"AAAAADbf5xY=")</f>
        <v>#VALUE!</v>
      </c>
      <c r="X20" t="e">
        <f>AND(Шахм!C133,"AAAAADbf5xc=")</f>
        <v>#VALUE!</v>
      </c>
      <c r="Y20" t="e">
        <f>AND(Шахм!D133,"AAAAADbf5xg=")</f>
        <v>#VALUE!</v>
      </c>
      <c r="Z20" t="e">
        <f>AND(Шахм!E133,"AAAAADbf5xk=")</f>
        <v>#VALUE!</v>
      </c>
      <c r="AA20" t="e">
        <f>AND(Шахм!F133,"AAAAADbf5xo=")</f>
        <v>#VALUE!</v>
      </c>
      <c r="AB20" t="e">
        <f>AND(Шахм!G133,"AAAAADbf5xs=")</f>
        <v>#VALUE!</v>
      </c>
      <c r="AC20" t="e">
        <f>AND(Шахм!H133,"AAAAADbf5xw=")</f>
        <v>#VALUE!</v>
      </c>
      <c r="AD20" t="e">
        <f>AND(Шахм!I133,"AAAAADbf5x0=")</f>
        <v>#VALUE!</v>
      </c>
      <c r="AE20" t="e">
        <f>AND(Шахм!J133,"AAAAADbf5x4=")</f>
        <v>#VALUE!</v>
      </c>
      <c r="AF20" t="e">
        <f>AND(Шахм!K133,"AAAAADbf5x8=")</f>
        <v>#VALUE!</v>
      </c>
      <c r="AG20" t="e">
        <f>AND(Шахм!L133,"AAAAADbf5yA=")</f>
        <v>#VALUE!</v>
      </c>
      <c r="AH20" t="e">
        <f>AND(Шахм!M133,"AAAAADbf5yE=")</f>
        <v>#VALUE!</v>
      </c>
      <c r="AI20" t="e">
        <f>AND(Шахм!N133,"AAAAADbf5yI=")</f>
        <v>#VALUE!</v>
      </c>
      <c r="AJ20" t="e">
        <f>AND(Шахм!O133,"AAAAADbf5yM=")</f>
        <v>#VALUE!</v>
      </c>
      <c r="AK20" t="e">
        <f>AND(Шахм!P133,"AAAAADbf5yQ=")</f>
        <v>#VALUE!</v>
      </c>
      <c r="AL20" t="e">
        <f>AND(Шахм!Q133,"AAAAADbf5yU=")</f>
        <v>#VALUE!</v>
      </c>
      <c r="AM20" t="e">
        <f>AND(Шахм!R133,"AAAAADbf5yY=")</f>
        <v>#VALUE!</v>
      </c>
      <c r="AN20" t="e">
        <f>AND(Шахм!S133,"AAAAADbf5yc=")</f>
        <v>#VALUE!</v>
      </c>
      <c r="AO20" t="e">
        <f>AND(Шахм!T133,"AAAAADbf5yg=")</f>
        <v>#VALUE!</v>
      </c>
      <c r="AP20" t="e">
        <f>AND(Шахм!U133,"AAAAADbf5yk=")</f>
        <v>#VALUE!</v>
      </c>
      <c r="AQ20" t="e">
        <f>AND(Шахм!V133,"AAAAADbf5yo=")</f>
        <v>#VALUE!</v>
      </c>
      <c r="AR20" t="e">
        <f>AND(Шахм!W133,"AAAAADbf5ys=")</f>
        <v>#VALUE!</v>
      </c>
      <c r="AS20" t="e">
        <f>AND(Шахм!X133,"AAAAADbf5yw=")</f>
        <v>#VALUE!</v>
      </c>
      <c r="AT20" t="e">
        <f>AND(Шахм!Y133,"AAAAADbf5y0=")</f>
        <v>#VALUE!</v>
      </c>
      <c r="AU20" t="e">
        <f>AND(Шахм!Z133,"AAAAADbf5y4=")</f>
        <v>#VALUE!</v>
      </c>
      <c r="AV20" t="e">
        <f>AND(Шахм!AA133,"AAAAADbf5y8=")</f>
        <v>#VALUE!</v>
      </c>
      <c r="AW20" t="e">
        <f>AND(Шахм!AB133,"AAAAADbf5zA=")</f>
        <v>#VALUE!</v>
      </c>
      <c r="AX20" t="e">
        <f>AND(Шахм!AC133,"AAAAADbf5zE=")</f>
        <v>#VALUE!</v>
      </c>
      <c r="AY20" t="e">
        <f>AND(Шахм!AD133,"AAAAADbf5zI=")</f>
        <v>#VALUE!</v>
      </c>
      <c r="AZ20" t="e">
        <f>AND(Шахм!AE133,"AAAAADbf5zM=")</f>
        <v>#VALUE!</v>
      </c>
      <c r="BA20" t="e">
        <f>AND(Шахм!AF133,"AAAAADbf5zQ=")</f>
        <v>#VALUE!</v>
      </c>
      <c r="BB20" t="e">
        <f>AND(Шахм!AG133,"AAAAADbf5zU=")</f>
        <v>#VALUE!</v>
      </c>
      <c r="BC20" t="e">
        <f>AND(Шахм!AH133,"AAAAADbf5zY=")</f>
        <v>#VALUE!</v>
      </c>
      <c r="BD20" t="e">
        <f>AND(Шахм!AI133,"AAAAADbf5zc=")</f>
        <v>#VALUE!</v>
      </c>
      <c r="BE20" t="e">
        <f>AND(Шахм!AJ133,"AAAAADbf5zg=")</f>
        <v>#VALUE!</v>
      </c>
      <c r="BF20">
        <f>IF(Шахм!134:134,"AAAAADbf5zk=",0)</f>
        <v>0</v>
      </c>
      <c r="BG20" t="e">
        <f>AND(Шахм!A134,"AAAAADbf5zo=")</f>
        <v>#VALUE!</v>
      </c>
      <c r="BH20" t="e">
        <f>AND(Шахм!B134,"AAAAADbf5zs=")</f>
        <v>#VALUE!</v>
      </c>
      <c r="BI20" t="e">
        <f>AND(Шахм!C134,"AAAAADbf5zw=")</f>
        <v>#VALUE!</v>
      </c>
      <c r="BJ20" t="e">
        <f>AND(Шахм!D134,"AAAAADbf5z0=")</f>
        <v>#VALUE!</v>
      </c>
      <c r="BK20" t="e">
        <f>AND(Шахм!E134,"AAAAADbf5z4=")</f>
        <v>#VALUE!</v>
      </c>
      <c r="BL20" t="e">
        <f>AND(Шахм!F134,"AAAAADbf5z8=")</f>
        <v>#VALUE!</v>
      </c>
      <c r="BM20" t="e">
        <f>AND(Шахм!G134,"AAAAADbf50A=")</f>
        <v>#VALUE!</v>
      </c>
      <c r="BN20" t="e">
        <f>AND(Шахм!H134,"AAAAADbf50E=")</f>
        <v>#VALUE!</v>
      </c>
      <c r="BO20" t="e">
        <f>AND(Шахм!I134,"AAAAADbf50I=")</f>
        <v>#VALUE!</v>
      </c>
      <c r="BP20" t="e">
        <f>AND(Шахм!J134,"AAAAADbf50M=")</f>
        <v>#VALUE!</v>
      </c>
      <c r="BQ20" t="e">
        <f>AND(Шахм!K134,"AAAAADbf50Q=")</f>
        <v>#VALUE!</v>
      </c>
      <c r="BR20" t="e">
        <f>AND(Шахм!L134,"AAAAADbf50U=")</f>
        <v>#VALUE!</v>
      </c>
      <c r="BS20" t="e">
        <f>AND(Шахм!M134,"AAAAADbf50Y=")</f>
        <v>#VALUE!</v>
      </c>
      <c r="BT20" t="e">
        <f>AND(Шахм!N134,"AAAAADbf50c=")</f>
        <v>#VALUE!</v>
      </c>
      <c r="BU20" t="e">
        <f>AND(Шахм!O134,"AAAAADbf50g=")</f>
        <v>#VALUE!</v>
      </c>
      <c r="BV20" t="e">
        <f>AND(Шахм!P134,"AAAAADbf50k=")</f>
        <v>#VALUE!</v>
      </c>
      <c r="BW20" t="e">
        <f>AND(Шахм!Q134,"AAAAADbf50o=")</f>
        <v>#VALUE!</v>
      </c>
      <c r="BX20" t="e">
        <f>AND(Шахм!R134,"AAAAADbf50s=")</f>
        <v>#VALUE!</v>
      </c>
      <c r="BY20" t="e">
        <f>AND(Шахм!S134,"AAAAADbf50w=")</f>
        <v>#VALUE!</v>
      </c>
      <c r="BZ20" t="e">
        <f>AND(Шахм!T134,"AAAAADbf500=")</f>
        <v>#VALUE!</v>
      </c>
      <c r="CA20" t="e">
        <f>AND(Шахм!U134,"AAAAADbf504=")</f>
        <v>#VALUE!</v>
      </c>
      <c r="CB20" t="e">
        <f>AND(Шахм!V134,"AAAAADbf508=")</f>
        <v>#VALUE!</v>
      </c>
      <c r="CC20" t="e">
        <f>AND(Шахм!W134,"AAAAADbf51A=")</f>
        <v>#VALUE!</v>
      </c>
      <c r="CD20" t="e">
        <f>AND(Шахм!X134,"AAAAADbf51E=")</f>
        <v>#VALUE!</v>
      </c>
      <c r="CE20" t="e">
        <f>AND(Шахм!Y134,"AAAAADbf51I=")</f>
        <v>#VALUE!</v>
      </c>
      <c r="CF20" t="e">
        <f>AND(Шахм!Z134,"AAAAADbf51M=")</f>
        <v>#VALUE!</v>
      </c>
      <c r="CG20" t="e">
        <f>AND(Шахм!AA134,"AAAAADbf51Q=")</f>
        <v>#VALUE!</v>
      </c>
      <c r="CH20" t="e">
        <f>AND(Шахм!AB134,"AAAAADbf51U=")</f>
        <v>#VALUE!</v>
      </c>
      <c r="CI20" t="e">
        <f>AND(Шахм!AC134,"AAAAADbf51Y=")</f>
        <v>#VALUE!</v>
      </c>
      <c r="CJ20" t="e">
        <f>AND(Шахм!AD134,"AAAAADbf51c=")</f>
        <v>#VALUE!</v>
      </c>
      <c r="CK20" t="e">
        <f>AND(Шахм!AE134,"AAAAADbf51g=")</f>
        <v>#VALUE!</v>
      </c>
      <c r="CL20" t="e">
        <f>AND(Шахм!AF134,"AAAAADbf51k=")</f>
        <v>#VALUE!</v>
      </c>
      <c r="CM20" t="e">
        <f>AND(Шахм!AG134,"AAAAADbf51o=")</f>
        <v>#VALUE!</v>
      </c>
      <c r="CN20" t="e">
        <f>AND(Шахм!AH134,"AAAAADbf51s=")</f>
        <v>#VALUE!</v>
      </c>
      <c r="CO20" t="e">
        <f>AND(Шахм!AI134,"AAAAADbf51w=")</f>
        <v>#VALUE!</v>
      </c>
      <c r="CP20" t="e">
        <f>AND(Шахм!AJ134,"AAAAADbf510=")</f>
        <v>#VALUE!</v>
      </c>
      <c r="CQ20">
        <f>IF(Шахм!135:135,"AAAAADbf514=",0)</f>
        <v>0</v>
      </c>
      <c r="CR20" t="e">
        <f>AND(Шахм!A135,"AAAAADbf518=")</f>
        <v>#VALUE!</v>
      </c>
      <c r="CS20" t="e">
        <f>AND(Шахм!B135,"AAAAADbf52A=")</f>
        <v>#VALUE!</v>
      </c>
      <c r="CT20" t="e">
        <f>AND(Шахм!C135,"AAAAADbf52E=")</f>
        <v>#VALUE!</v>
      </c>
      <c r="CU20" t="e">
        <f>AND(Шахм!D135,"AAAAADbf52I=")</f>
        <v>#VALUE!</v>
      </c>
      <c r="CV20" t="e">
        <f>AND(Шахм!E135,"AAAAADbf52M=")</f>
        <v>#VALUE!</v>
      </c>
      <c r="CW20" t="e">
        <f>AND(Шахм!F135,"AAAAADbf52Q=")</f>
        <v>#VALUE!</v>
      </c>
      <c r="CX20" t="e">
        <f>AND(Шахм!G135,"AAAAADbf52U=")</f>
        <v>#VALUE!</v>
      </c>
      <c r="CY20" t="e">
        <f>AND(Шахм!H135,"AAAAADbf52Y=")</f>
        <v>#VALUE!</v>
      </c>
      <c r="CZ20" t="e">
        <f>AND(Шахм!I135,"AAAAADbf52c=")</f>
        <v>#VALUE!</v>
      </c>
      <c r="DA20" t="e">
        <f>AND(Шахм!J135,"AAAAADbf52g=")</f>
        <v>#VALUE!</v>
      </c>
      <c r="DB20" t="e">
        <f>AND(Шахм!K135,"AAAAADbf52k=")</f>
        <v>#VALUE!</v>
      </c>
      <c r="DC20" t="e">
        <f>AND(Шахм!L135,"AAAAADbf52o=")</f>
        <v>#VALUE!</v>
      </c>
      <c r="DD20" t="e">
        <f>AND(Шахм!M135,"AAAAADbf52s=")</f>
        <v>#VALUE!</v>
      </c>
      <c r="DE20" t="e">
        <f>AND(Шахм!N135,"AAAAADbf52w=")</f>
        <v>#VALUE!</v>
      </c>
      <c r="DF20" t="e">
        <f>AND(Шахм!O135,"AAAAADbf520=")</f>
        <v>#VALUE!</v>
      </c>
      <c r="DG20" t="e">
        <f>AND(Шахм!P135,"AAAAADbf524=")</f>
        <v>#VALUE!</v>
      </c>
      <c r="DH20" t="e">
        <f>AND(Шахм!Q135,"AAAAADbf528=")</f>
        <v>#VALUE!</v>
      </c>
      <c r="DI20" t="e">
        <f>AND(Шахм!R135,"AAAAADbf53A=")</f>
        <v>#VALUE!</v>
      </c>
      <c r="DJ20" t="e">
        <f>AND(Шахм!S135,"AAAAADbf53E=")</f>
        <v>#VALUE!</v>
      </c>
      <c r="DK20" t="e">
        <f>AND(Шахм!T135,"AAAAADbf53I=")</f>
        <v>#VALUE!</v>
      </c>
      <c r="DL20" t="e">
        <f>AND(Шахм!U135,"AAAAADbf53M=")</f>
        <v>#VALUE!</v>
      </c>
      <c r="DM20" t="e">
        <f>AND(Шахм!V135,"AAAAADbf53Q=")</f>
        <v>#VALUE!</v>
      </c>
      <c r="DN20" t="e">
        <f>AND(Шахм!W135,"AAAAADbf53U=")</f>
        <v>#VALUE!</v>
      </c>
      <c r="DO20" t="e">
        <f>AND(Шахм!X135,"AAAAADbf53Y=")</f>
        <v>#VALUE!</v>
      </c>
      <c r="DP20" t="e">
        <f>AND(Шахм!Y135,"AAAAADbf53c=")</f>
        <v>#VALUE!</v>
      </c>
      <c r="DQ20" t="e">
        <f>AND(Шахм!Z135,"AAAAADbf53g=")</f>
        <v>#VALUE!</v>
      </c>
      <c r="DR20" t="e">
        <f>AND(Шахм!AA135,"AAAAADbf53k=")</f>
        <v>#VALUE!</v>
      </c>
      <c r="DS20" t="e">
        <f>AND(Шахм!AB135,"AAAAADbf53o=")</f>
        <v>#VALUE!</v>
      </c>
      <c r="DT20" t="e">
        <f>AND(Шахм!AC135,"AAAAADbf53s=")</f>
        <v>#VALUE!</v>
      </c>
      <c r="DU20" t="e">
        <f>AND(Шахм!AD135,"AAAAADbf53w=")</f>
        <v>#VALUE!</v>
      </c>
      <c r="DV20" t="e">
        <f>AND(Шахм!AE135,"AAAAADbf530=")</f>
        <v>#VALUE!</v>
      </c>
      <c r="DW20" t="e">
        <f>AND(Шахм!AF135,"AAAAADbf534=")</f>
        <v>#VALUE!</v>
      </c>
      <c r="DX20" t="e">
        <f>AND(Шахм!AG135,"AAAAADbf538=")</f>
        <v>#VALUE!</v>
      </c>
      <c r="DY20" t="e">
        <f>AND(Шахм!AH135,"AAAAADbf54A=")</f>
        <v>#VALUE!</v>
      </c>
      <c r="DZ20" t="e">
        <f>AND(Шахм!AI135,"AAAAADbf54E=")</f>
        <v>#VALUE!</v>
      </c>
      <c r="EA20" t="e">
        <f>AND(Шахм!AJ135,"AAAAADbf54I=")</f>
        <v>#VALUE!</v>
      </c>
      <c r="EB20">
        <f>IF(Шахм!136:136,"AAAAADbf54M=",0)</f>
        <v>0</v>
      </c>
      <c r="EC20" t="e">
        <f>AND(Шахм!A136,"AAAAADbf54Q=")</f>
        <v>#VALUE!</v>
      </c>
      <c r="ED20" t="e">
        <f>AND(Шахм!B136,"AAAAADbf54U=")</f>
        <v>#VALUE!</v>
      </c>
      <c r="EE20" t="e">
        <f>AND(Шахм!C136,"AAAAADbf54Y=")</f>
        <v>#VALUE!</v>
      </c>
      <c r="EF20" t="e">
        <f>AND(Шахм!D136,"AAAAADbf54c=")</f>
        <v>#VALUE!</v>
      </c>
      <c r="EG20" t="e">
        <f>AND(Шахм!E136,"AAAAADbf54g=")</f>
        <v>#VALUE!</v>
      </c>
      <c r="EH20" t="e">
        <f>AND(Шахм!F136,"AAAAADbf54k=")</f>
        <v>#VALUE!</v>
      </c>
      <c r="EI20" t="e">
        <f>AND(Шахм!G136,"AAAAADbf54o=")</f>
        <v>#VALUE!</v>
      </c>
      <c r="EJ20" t="e">
        <f>AND(Шахм!H136,"AAAAADbf54s=")</f>
        <v>#VALUE!</v>
      </c>
      <c r="EK20" t="e">
        <f>AND(Шахм!I136,"AAAAADbf54w=")</f>
        <v>#VALUE!</v>
      </c>
      <c r="EL20" t="e">
        <f>AND(Шахм!J136,"AAAAADbf540=")</f>
        <v>#VALUE!</v>
      </c>
      <c r="EM20" t="e">
        <f>AND(Шахм!K136,"AAAAADbf544=")</f>
        <v>#VALUE!</v>
      </c>
      <c r="EN20" t="e">
        <f>AND(Шахм!L136,"AAAAADbf548=")</f>
        <v>#VALUE!</v>
      </c>
      <c r="EO20" t="e">
        <f>AND(Шахм!M136,"AAAAADbf55A=")</f>
        <v>#VALUE!</v>
      </c>
      <c r="EP20" t="e">
        <f>AND(Шахм!N136,"AAAAADbf55E=")</f>
        <v>#VALUE!</v>
      </c>
      <c r="EQ20" t="e">
        <f>AND(Шахм!O136,"AAAAADbf55I=")</f>
        <v>#VALUE!</v>
      </c>
      <c r="ER20" t="e">
        <f>AND(Шахм!P136,"AAAAADbf55M=")</f>
        <v>#VALUE!</v>
      </c>
      <c r="ES20" t="e">
        <f>AND(Шахм!Q136,"AAAAADbf55Q=")</f>
        <v>#VALUE!</v>
      </c>
      <c r="ET20" t="e">
        <f>AND(Шахм!R136,"AAAAADbf55U=")</f>
        <v>#VALUE!</v>
      </c>
      <c r="EU20" t="e">
        <f>AND(Шахм!S136,"AAAAADbf55Y=")</f>
        <v>#VALUE!</v>
      </c>
      <c r="EV20" t="e">
        <f>AND(Шахм!T136,"AAAAADbf55c=")</f>
        <v>#VALUE!</v>
      </c>
      <c r="EW20" t="e">
        <f>AND(Шахм!U136,"AAAAADbf55g=")</f>
        <v>#VALUE!</v>
      </c>
      <c r="EX20" t="e">
        <f>AND(Шахм!V136,"AAAAADbf55k=")</f>
        <v>#VALUE!</v>
      </c>
      <c r="EY20" t="e">
        <f>AND(Шахм!W136,"AAAAADbf55o=")</f>
        <v>#VALUE!</v>
      </c>
      <c r="EZ20" t="e">
        <f>AND(Шахм!X136,"AAAAADbf55s=")</f>
        <v>#VALUE!</v>
      </c>
      <c r="FA20" t="e">
        <f>AND(Шахм!Y136,"AAAAADbf55w=")</f>
        <v>#VALUE!</v>
      </c>
      <c r="FB20" t="e">
        <f>AND(Шахм!Z136,"AAAAADbf550=")</f>
        <v>#VALUE!</v>
      </c>
      <c r="FC20" t="e">
        <f>AND(Шахм!AA136,"AAAAADbf554=")</f>
        <v>#VALUE!</v>
      </c>
      <c r="FD20" t="e">
        <f>AND(Шахм!AB136,"AAAAADbf558=")</f>
        <v>#VALUE!</v>
      </c>
      <c r="FE20" t="e">
        <f>AND(Шахм!AC136,"AAAAADbf56A=")</f>
        <v>#VALUE!</v>
      </c>
      <c r="FF20" t="e">
        <f>AND(Шахм!AD136,"AAAAADbf56E=")</f>
        <v>#VALUE!</v>
      </c>
      <c r="FG20" t="e">
        <f>AND(Шахм!AE136,"AAAAADbf56I=")</f>
        <v>#VALUE!</v>
      </c>
      <c r="FH20" t="e">
        <f>AND(Шахм!AF136,"AAAAADbf56M=")</f>
        <v>#VALUE!</v>
      </c>
      <c r="FI20" t="e">
        <f>AND(Шахм!AG136,"AAAAADbf56Q=")</f>
        <v>#VALUE!</v>
      </c>
      <c r="FJ20" t="e">
        <f>AND(Шахм!AH136,"AAAAADbf56U=")</f>
        <v>#VALUE!</v>
      </c>
      <c r="FK20" t="e">
        <f>AND(Шахм!AI136,"AAAAADbf56Y=")</f>
        <v>#VALUE!</v>
      </c>
      <c r="FL20" t="e">
        <f>AND(Шахм!AJ136,"AAAAADbf56c=")</f>
        <v>#VALUE!</v>
      </c>
      <c r="FM20">
        <f>IF(Шахм!137:137,"AAAAADbf56g=",0)</f>
        <v>0</v>
      </c>
      <c r="FN20" t="e">
        <f>AND(Шахм!A137,"AAAAADbf56k=")</f>
        <v>#VALUE!</v>
      </c>
      <c r="FO20" t="e">
        <f>AND(Шахм!B137,"AAAAADbf56o=")</f>
        <v>#VALUE!</v>
      </c>
      <c r="FP20" t="e">
        <f>AND(Шахм!C137,"AAAAADbf56s=")</f>
        <v>#VALUE!</v>
      </c>
      <c r="FQ20" t="e">
        <f>AND(Шахм!D137,"AAAAADbf56w=")</f>
        <v>#VALUE!</v>
      </c>
      <c r="FR20" t="e">
        <f>AND(Шахм!E137,"AAAAADbf560=")</f>
        <v>#VALUE!</v>
      </c>
      <c r="FS20" t="e">
        <f>AND(Шахм!F137,"AAAAADbf564=")</f>
        <v>#VALUE!</v>
      </c>
      <c r="FT20" t="e">
        <f>AND(Шахм!G137,"AAAAADbf568=")</f>
        <v>#VALUE!</v>
      </c>
      <c r="FU20" t="e">
        <f>AND(Шахм!H137,"AAAAADbf57A=")</f>
        <v>#VALUE!</v>
      </c>
      <c r="FV20" t="e">
        <f>AND(Шахм!I137,"AAAAADbf57E=")</f>
        <v>#VALUE!</v>
      </c>
      <c r="FW20" t="e">
        <f>AND(Шахм!J137,"AAAAADbf57I=")</f>
        <v>#VALUE!</v>
      </c>
      <c r="FX20" t="e">
        <f>AND(Шахм!K137,"AAAAADbf57M=")</f>
        <v>#VALUE!</v>
      </c>
      <c r="FY20" t="e">
        <f>AND(Шахм!L137,"AAAAADbf57Q=")</f>
        <v>#VALUE!</v>
      </c>
      <c r="FZ20" t="e">
        <f>AND(Шахм!M137,"AAAAADbf57U=")</f>
        <v>#VALUE!</v>
      </c>
      <c r="GA20" t="e">
        <f>AND(Шахм!N137,"AAAAADbf57Y=")</f>
        <v>#VALUE!</v>
      </c>
      <c r="GB20" t="e">
        <f>AND(Шахм!O137,"AAAAADbf57c=")</f>
        <v>#VALUE!</v>
      </c>
      <c r="GC20" t="e">
        <f>AND(Шахм!P137,"AAAAADbf57g=")</f>
        <v>#VALUE!</v>
      </c>
      <c r="GD20" t="e">
        <f>AND(Шахм!Q137,"AAAAADbf57k=")</f>
        <v>#VALUE!</v>
      </c>
      <c r="GE20" t="e">
        <f>AND(Шахм!R137,"AAAAADbf57o=")</f>
        <v>#VALUE!</v>
      </c>
      <c r="GF20" t="e">
        <f>AND(Шахм!S137,"AAAAADbf57s=")</f>
        <v>#VALUE!</v>
      </c>
      <c r="GG20" t="e">
        <f>AND(Шахм!T137,"AAAAADbf57w=")</f>
        <v>#VALUE!</v>
      </c>
      <c r="GH20" t="e">
        <f>AND(Шахм!U137,"AAAAADbf570=")</f>
        <v>#VALUE!</v>
      </c>
      <c r="GI20" t="e">
        <f>AND(Шахм!V137,"AAAAADbf574=")</f>
        <v>#VALUE!</v>
      </c>
      <c r="GJ20" t="e">
        <f>AND(Шахм!W137,"AAAAADbf578=")</f>
        <v>#VALUE!</v>
      </c>
      <c r="GK20" t="e">
        <f>AND(Шахм!X137,"AAAAADbf58A=")</f>
        <v>#VALUE!</v>
      </c>
      <c r="GL20" t="e">
        <f>AND(Шахм!Y137,"AAAAADbf58E=")</f>
        <v>#VALUE!</v>
      </c>
      <c r="GM20" t="e">
        <f>AND(Шахм!Z137,"AAAAADbf58I=")</f>
        <v>#VALUE!</v>
      </c>
      <c r="GN20" t="e">
        <f>AND(Шахм!AA137,"AAAAADbf58M=")</f>
        <v>#VALUE!</v>
      </c>
      <c r="GO20" t="e">
        <f>AND(Шахм!AB137,"AAAAADbf58Q=")</f>
        <v>#VALUE!</v>
      </c>
      <c r="GP20" t="e">
        <f>AND(Шахм!AC137,"AAAAADbf58U=")</f>
        <v>#VALUE!</v>
      </c>
      <c r="GQ20" t="e">
        <f>AND(Шахм!AD137,"AAAAADbf58Y=")</f>
        <v>#VALUE!</v>
      </c>
      <c r="GR20" t="e">
        <f>AND(Шахм!AE137,"AAAAADbf58c=")</f>
        <v>#VALUE!</v>
      </c>
      <c r="GS20" t="e">
        <f>AND(Шахм!AF137,"AAAAADbf58g=")</f>
        <v>#VALUE!</v>
      </c>
      <c r="GT20" t="e">
        <f>AND(Шахм!AG137,"AAAAADbf58k=")</f>
        <v>#VALUE!</v>
      </c>
      <c r="GU20" t="e">
        <f>AND(Шахм!AH137,"AAAAADbf58o=")</f>
        <v>#VALUE!</v>
      </c>
      <c r="GV20" t="e">
        <f>AND(Шахм!AI137,"AAAAADbf58s=")</f>
        <v>#VALUE!</v>
      </c>
      <c r="GW20" t="e">
        <f>AND(Шахм!AJ137,"AAAAADbf58w=")</f>
        <v>#VALUE!</v>
      </c>
      <c r="GX20">
        <f>IF(Шахм!138:138,"AAAAADbf580=",0)</f>
        <v>0</v>
      </c>
      <c r="GY20" t="e">
        <f>AND(Шахм!A138,"AAAAADbf584=")</f>
        <v>#VALUE!</v>
      </c>
      <c r="GZ20" t="e">
        <f>AND(Шахм!B138,"AAAAADbf588=")</f>
        <v>#VALUE!</v>
      </c>
      <c r="HA20" t="e">
        <f>AND(Шахм!C138,"AAAAADbf59A=")</f>
        <v>#VALUE!</v>
      </c>
      <c r="HB20" t="e">
        <f>AND(Шахм!D138,"AAAAADbf59E=")</f>
        <v>#VALUE!</v>
      </c>
      <c r="HC20" t="e">
        <f>AND(Шахм!E138,"AAAAADbf59I=")</f>
        <v>#VALUE!</v>
      </c>
      <c r="HD20" t="e">
        <f>AND(Шахм!F138,"AAAAADbf59M=")</f>
        <v>#VALUE!</v>
      </c>
      <c r="HE20" t="e">
        <f>AND(Шахм!G138,"AAAAADbf59Q=")</f>
        <v>#VALUE!</v>
      </c>
      <c r="HF20" t="e">
        <f>AND(Шахм!H138,"AAAAADbf59U=")</f>
        <v>#VALUE!</v>
      </c>
      <c r="HG20" t="e">
        <f>AND(Шахм!I138,"AAAAADbf59Y=")</f>
        <v>#VALUE!</v>
      </c>
      <c r="HH20" t="e">
        <f>AND(Шахм!J138,"AAAAADbf59c=")</f>
        <v>#VALUE!</v>
      </c>
      <c r="HI20" t="e">
        <f>AND(Шахм!K138,"AAAAADbf59g=")</f>
        <v>#VALUE!</v>
      </c>
      <c r="HJ20" t="e">
        <f>AND(Шахм!L138,"AAAAADbf59k=")</f>
        <v>#VALUE!</v>
      </c>
      <c r="HK20" t="e">
        <f>AND(Шахм!M138,"AAAAADbf59o=")</f>
        <v>#VALUE!</v>
      </c>
      <c r="HL20" t="e">
        <f>AND(Шахм!N138,"AAAAADbf59s=")</f>
        <v>#VALUE!</v>
      </c>
      <c r="HM20" t="e">
        <f>AND(Шахм!O138,"AAAAADbf59w=")</f>
        <v>#VALUE!</v>
      </c>
      <c r="HN20" t="e">
        <f>AND(Шахм!P138,"AAAAADbf590=")</f>
        <v>#VALUE!</v>
      </c>
      <c r="HO20" t="e">
        <f>AND(Шахм!Q138,"AAAAADbf594=")</f>
        <v>#VALUE!</v>
      </c>
      <c r="HP20" t="e">
        <f>AND(Шахм!R138,"AAAAADbf598=")</f>
        <v>#VALUE!</v>
      </c>
      <c r="HQ20" t="e">
        <f>AND(Шахм!S138,"AAAAADbf5+A=")</f>
        <v>#VALUE!</v>
      </c>
      <c r="HR20" t="e">
        <f>AND(Шахм!T138,"AAAAADbf5+E=")</f>
        <v>#VALUE!</v>
      </c>
      <c r="HS20" t="e">
        <f>AND(Шахм!U138,"AAAAADbf5+I=")</f>
        <v>#VALUE!</v>
      </c>
      <c r="HT20" t="e">
        <f>AND(Шахм!V138,"AAAAADbf5+M=")</f>
        <v>#VALUE!</v>
      </c>
      <c r="HU20" t="e">
        <f>AND(Шахм!W138,"AAAAADbf5+Q=")</f>
        <v>#VALUE!</v>
      </c>
      <c r="HV20" t="e">
        <f>AND(Шахм!X138,"AAAAADbf5+U=")</f>
        <v>#VALUE!</v>
      </c>
      <c r="HW20" t="e">
        <f>AND(Шахм!Y138,"AAAAADbf5+Y=")</f>
        <v>#VALUE!</v>
      </c>
      <c r="HX20" t="e">
        <f>AND(Шахм!Z138,"AAAAADbf5+c=")</f>
        <v>#VALUE!</v>
      </c>
      <c r="HY20" t="e">
        <f>AND(Шахм!AA138,"AAAAADbf5+g=")</f>
        <v>#VALUE!</v>
      </c>
      <c r="HZ20" t="e">
        <f>AND(Шахм!AB138,"AAAAADbf5+k=")</f>
        <v>#VALUE!</v>
      </c>
      <c r="IA20" t="e">
        <f>AND(Шахм!AC138,"AAAAADbf5+o=")</f>
        <v>#VALUE!</v>
      </c>
      <c r="IB20" t="e">
        <f>AND(Шахм!AD138,"AAAAADbf5+s=")</f>
        <v>#VALUE!</v>
      </c>
      <c r="IC20" t="e">
        <f>AND(Шахм!AE138,"AAAAADbf5+w=")</f>
        <v>#VALUE!</v>
      </c>
      <c r="ID20" t="e">
        <f>AND(Шахм!AF138,"AAAAADbf5+0=")</f>
        <v>#VALUE!</v>
      </c>
      <c r="IE20" t="e">
        <f>AND(Шахм!AG138,"AAAAADbf5+4=")</f>
        <v>#VALUE!</v>
      </c>
      <c r="IF20" t="e">
        <f>AND(Шахм!AH138,"AAAAADbf5+8=")</f>
        <v>#VALUE!</v>
      </c>
      <c r="IG20" t="e">
        <f>AND(Шахм!AI138,"AAAAADbf5/A=")</f>
        <v>#VALUE!</v>
      </c>
      <c r="IH20" t="e">
        <f>AND(Шахм!AJ138,"AAAAADbf5/E=")</f>
        <v>#VALUE!</v>
      </c>
      <c r="II20">
        <f>IF(Шахм!139:139,"AAAAADbf5/I=",0)</f>
        <v>0</v>
      </c>
      <c r="IJ20" t="e">
        <f>AND(Шахм!A139,"AAAAADbf5/M=")</f>
        <v>#VALUE!</v>
      </c>
      <c r="IK20" t="e">
        <f>AND(Шахм!B139,"AAAAADbf5/Q=")</f>
        <v>#VALUE!</v>
      </c>
      <c r="IL20" t="e">
        <f>AND(Шахм!C139,"AAAAADbf5/U=")</f>
        <v>#VALUE!</v>
      </c>
      <c r="IM20" t="e">
        <f>AND(Шахм!D139,"AAAAADbf5/Y=")</f>
        <v>#VALUE!</v>
      </c>
      <c r="IN20" t="e">
        <f>AND(Шахм!E139,"AAAAADbf5/c=")</f>
        <v>#VALUE!</v>
      </c>
      <c r="IO20" t="e">
        <f>AND(Шахм!F139,"AAAAADbf5/g=")</f>
        <v>#VALUE!</v>
      </c>
      <c r="IP20" t="e">
        <f>AND(Шахм!G139,"AAAAADbf5/k=")</f>
        <v>#VALUE!</v>
      </c>
      <c r="IQ20" t="e">
        <f>AND(Шахм!H139,"AAAAADbf5/o=")</f>
        <v>#VALUE!</v>
      </c>
      <c r="IR20" t="e">
        <f>AND(Шахм!I139,"AAAAADbf5/s=")</f>
        <v>#VALUE!</v>
      </c>
      <c r="IS20" t="e">
        <f>AND(Шахм!J139,"AAAAADbf5/w=")</f>
        <v>#VALUE!</v>
      </c>
      <c r="IT20" t="e">
        <f>AND(Шахм!K139,"AAAAADbf5/0=")</f>
        <v>#VALUE!</v>
      </c>
      <c r="IU20" t="e">
        <f>AND(Шахм!L139,"AAAAADbf5/4=")</f>
        <v>#VALUE!</v>
      </c>
      <c r="IV20" t="e">
        <f>AND(Шахм!M139,"AAAAADbf5/8=")</f>
        <v>#VALUE!</v>
      </c>
    </row>
    <row r="21" spans="1:256">
      <c r="A21" t="e">
        <f>AND(Шахм!N139,"AAAAADdF/gA=")</f>
        <v>#VALUE!</v>
      </c>
      <c r="B21" t="e">
        <f>AND(Шахм!O139,"AAAAADdF/gE=")</f>
        <v>#VALUE!</v>
      </c>
      <c r="C21" t="e">
        <f>AND(Шахм!P139,"AAAAADdF/gI=")</f>
        <v>#VALUE!</v>
      </c>
      <c r="D21" t="e">
        <f>AND(Шахм!Q139,"AAAAADdF/gM=")</f>
        <v>#VALUE!</v>
      </c>
      <c r="E21" t="e">
        <f>AND(Шахм!R139,"AAAAADdF/gQ=")</f>
        <v>#VALUE!</v>
      </c>
      <c r="F21" t="e">
        <f>AND(Шахм!S139,"AAAAADdF/gU=")</f>
        <v>#VALUE!</v>
      </c>
      <c r="G21" t="e">
        <f>AND(Шахм!T139,"AAAAADdF/gY=")</f>
        <v>#VALUE!</v>
      </c>
      <c r="H21" t="e">
        <f>AND(Шахм!U139,"AAAAADdF/gc=")</f>
        <v>#VALUE!</v>
      </c>
      <c r="I21" t="e">
        <f>AND(Шахм!V139,"AAAAADdF/gg=")</f>
        <v>#VALUE!</v>
      </c>
      <c r="J21" t="e">
        <f>AND(Шахм!W139,"AAAAADdF/gk=")</f>
        <v>#VALUE!</v>
      </c>
      <c r="K21" t="e">
        <f>AND(Шахм!X139,"AAAAADdF/go=")</f>
        <v>#VALUE!</v>
      </c>
      <c r="L21" t="e">
        <f>AND(Шахм!Y139,"AAAAADdF/gs=")</f>
        <v>#VALUE!</v>
      </c>
      <c r="M21" t="e">
        <f>AND(Шахм!Z139,"AAAAADdF/gw=")</f>
        <v>#VALUE!</v>
      </c>
      <c r="N21" t="e">
        <f>AND(Шахм!AA139,"AAAAADdF/g0=")</f>
        <v>#VALUE!</v>
      </c>
      <c r="O21" t="e">
        <f>AND(Шахм!AB139,"AAAAADdF/g4=")</f>
        <v>#VALUE!</v>
      </c>
      <c r="P21" t="e">
        <f>AND(Шахм!AC139,"AAAAADdF/g8=")</f>
        <v>#VALUE!</v>
      </c>
      <c r="Q21" t="e">
        <f>AND(Шахм!AD139,"AAAAADdF/hA=")</f>
        <v>#VALUE!</v>
      </c>
      <c r="R21" t="e">
        <f>AND(Шахм!AE139,"AAAAADdF/hE=")</f>
        <v>#VALUE!</v>
      </c>
      <c r="S21" t="e">
        <f>AND(Шахм!AF139,"AAAAADdF/hI=")</f>
        <v>#VALUE!</v>
      </c>
      <c r="T21" t="e">
        <f>AND(Шахм!AG139,"AAAAADdF/hM=")</f>
        <v>#VALUE!</v>
      </c>
      <c r="U21" t="e">
        <f>AND(Шахм!AH139,"AAAAADdF/hQ=")</f>
        <v>#VALUE!</v>
      </c>
      <c r="V21" t="e">
        <f>AND(Шахм!AI139,"AAAAADdF/hU=")</f>
        <v>#VALUE!</v>
      </c>
      <c r="W21" t="e">
        <f>AND(Шахм!AJ139,"AAAAADdF/hY=")</f>
        <v>#VALUE!</v>
      </c>
      <c r="X21">
        <f>IF(Шахм!140:140,"AAAAADdF/hc=",0)</f>
        <v>0</v>
      </c>
      <c r="Y21" t="e">
        <f>AND(Шахм!A140,"AAAAADdF/hg=")</f>
        <v>#VALUE!</v>
      </c>
      <c r="Z21" t="e">
        <f>AND(Шахм!B140,"AAAAADdF/hk=")</f>
        <v>#VALUE!</v>
      </c>
      <c r="AA21" t="e">
        <f>AND(Шахм!C140,"AAAAADdF/ho=")</f>
        <v>#VALUE!</v>
      </c>
      <c r="AB21" t="e">
        <f>AND(Шахм!D140,"AAAAADdF/hs=")</f>
        <v>#VALUE!</v>
      </c>
      <c r="AC21" t="e">
        <f>AND(Шахм!E140,"AAAAADdF/hw=")</f>
        <v>#VALUE!</v>
      </c>
      <c r="AD21" t="e">
        <f>AND(Шахм!F140,"AAAAADdF/h0=")</f>
        <v>#VALUE!</v>
      </c>
      <c r="AE21" t="e">
        <f>AND(Шахм!G140,"AAAAADdF/h4=")</f>
        <v>#VALUE!</v>
      </c>
      <c r="AF21" t="e">
        <f>AND(Шахм!H140,"AAAAADdF/h8=")</f>
        <v>#VALUE!</v>
      </c>
      <c r="AG21" t="e">
        <f>AND(Шахм!I140,"AAAAADdF/iA=")</f>
        <v>#VALUE!</v>
      </c>
      <c r="AH21" t="e">
        <f>AND(Шахм!J140,"AAAAADdF/iE=")</f>
        <v>#VALUE!</v>
      </c>
      <c r="AI21" t="e">
        <f>AND(Шахм!K140,"AAAAADdF/iI=")</f>
        <v>#VALUE!</v>
      </c>
      <c r="AJ21" t="e">
        <f>AND(Шахм!L140,"AAAAADdF/iM=")</f>
        <v>#VALUE!</v>
      </c>
      <c r="AK21" t="e">
        <f>AND(Шахм!M140,"AAAAADdF/iQ=")</f>
        <v>#VALUE!</v>
      </c>
      <c r="AL21" t="e">
        <f>AND(Шахм!N140,"AAAAADdF/iU=")</f>
        <v>#VALUE!</v>
      </c>
      <c r="AM21" t="e">
        <f>AND(Шахм!O140,"AAAAADdF/iY=")</f>
        <v>#VALUE!</v>
      </c>
      <c r="AN21" t="e">
        <f>AND(Шахм!P140,"AAAAADdF/ic=")</f>
        <v>#VALUE!</v>
      </c>
      <c r="AO21" t="e">
        <f>AND(Шахм!Q140,"AAAAADdF/ig=")</f>
        <v>#VALUE!</v>
      </c>
      <c r="AP21" t="e">
        <f>AND(Шахм!R140,"AAAAADdF/ik=")</f>
        <v>#VALUE!</v>
      </c>
      <c r="AQ21" t="e">
        <f>AND(Шахм!S140,"AAAAADdF/io=")</f>
        <v>#VALUE!</v>
      </c>
      <c r="AR21" t="e">
        <f>AND(Шахм!T140,"AAAAADdF/is=")</f>
        <v>#VALUE!</v>
      </c>
      <c r="AS21" t="e">
        <f>AND(Шахм!U140,"AAAAADdF/iw=")</f>
        <v>#VALUE!</v>
      </c>
      <c r="AT21" t="e">
        <f>AND(Шахм!V140,"AAAAADdF/i0=")</f>
        <v>#VALUE!</v>
      </c>
      <c r="AU21" t="e">
        <f>AND(Шахм!W140,"AAAAADdF/i4=")</f>
        <v>#VALUE!</v>
      </c>
      <c r="AV21" t="e">
        <f>AND(Шахм!X140,"AAAAADdF/i8=")</f>
        <v>#VALUE!</v>
      </c>
      <c r="AW21" t="e">
        <f>AND(Шахм!Y140,"AAAAADdF/jA=")</f>
        <v>#VALUE!</v>
      </c>
      <c r="AX21" t="e">
        <f>AND(Шахм!Z140,"AAAAADdF/jE=")</f>
        <v>#VALUE!</v>
      </c>
      <c r="AY21" t="e">
        <f>AND(Шахм!AA140,"AAAAADdF/jI=")</f>
        <v>#VALUE!</v>
      </c>
      <c r="AZ21" t="e">
        <f>AND(Шахм!AB140,"AAAAADdF/jM=")</f>
        <v>#VALUE!</v>
      </c>
      <c r="BA21" t="e">
        <f>AND(Шахм!AC140,"AAAAADdF/jQ=")</f>
        <v>#VALUE!</v>
      </c>
      <c r="BB21" t="e">
        <f>AND(Шахм!AD140,"AAAAADdF/jU=")</f>
        <v>#VALUE!</v>
      </c>
      <c r="BC21" t="e">
        <f>AND(Шахм!AE140,"AAAAADdF/jY=")</f>
        <v>#VALUE!</v>
      </c>
      <c r="BD21" t="e">
        <f>AND(Шахм!AF140,"AAAAADdF/jc=")</f>
        <v>#VALUE!</v>
      </c>
      <c r="BE21" t="e">
        <f>AND(Шахм!AG140,"AAAAADdF/jg=")</f>
        <v>#VALUE!</v>
      </c>
      <c r="BF21" t="e">
        <f>AND(Шахм!AH140,"AAAAADdF/jk=")</f>
        <v>#VALUE!</v>
      </c>
      <c r="BG21" t="e">
        <f>AND(Шахм!AI140,"AAAAADdF/jo=")</f>
        <v>#VALUE!</v>
      </c>
      <c r="BH21" t="e">
        <f>AND(Шахм!AJ140,"AAAAADdF/js=")</f>
        <v>#VALUE!</v>
      </c>
      <c r="BI21">
        <f>IF(Шахм!141:141,"AAAAADdF/jw=",0)</f>
        <v>0</v>
      </c>
      <c r="BJ21" t="e">
        <f>AND(Шахм!A141,"AAAAADdF/j0=")</f>
        <v>#VALUE!</v>
      </c>
      <c r="BK21" t="e">
        <f>AND(Шахм!B141,"AAAAADdF/j4=")</f>
        <v>#VALUE!</v>
      </c>
      <c r="BL21" t="e">
        <f>AND(Шахм!C141,"AAAAADdF/j8=")</f>
        <v>#VALUE!</v>
      </c>
      <c r="BM21" t="e">
        <f>AND(Шахм!D141,"AAAAADdF/kA=")</f>
        <v>#VALUE!</v>
      </c>
      <c r="BN21" t="e">
        <f>AND(Шахм!E141,"AAAAADdF/kE=")</f>
        <v>#VALUE!</v>
      </c>
      <c r="BO21" t="e">
        <f>AND(Шахм!F141,"AAAAADdF/kI=")</f>
        <v>#VALUE!</v>
      </c>
      <c r="BP21" t="e">
        <f>AND(Шахм!G141,"AAAAADdF/kM=")</f>
        <v>#VALUE!</v>
      </c>
      <c r="BQ21" t="e">
        <f>AND(Шахм!H141,"AAAAADdF/kQ=")</f>
        <v>#VALUE!</v>
      </c>
      <c r="BR21" t="e">
        <f>AND(Шахм!I141,"AAAAADdF/kU=")</f>
        <v>#VALUE!</v>
      </c>
      <c r="BS21" t="e">
        <f>AND(Шахм!J141,"AAAAADdF/kY=")</f>
        <v>#VALUE!</v>
      </c>
      <c r="BT21" t="e">
        <f>AND(Шахм!K141,"AAAAADdF/kc=")</f>
        <v>#VALUE!</v>
      </c>
      <c r="BU21" t="e">
        <f>AND(Шахм!L141,"AAAAADdF/kg=")</f>
        <v>#VALUE!</v>
      </c>
      <c r="BV21" t="e">
        <f>AND(Шахм!M141,"AAAAADdF/kk=")</f>
        <v>#VALUE!</v>
      </c>
      <c r="BW21" t="e">
        <f>AND(Шахм!N141,"AAAAADdF/ko=")</f>
        <v>#VALUE!</v>
      </c>
      <c r="BX21" t="e">
        <f>AND(Шахм!O141,"AAAAADdF/ks=")</f>
        <v>#VALUE!</v>
      </c>
      <c r="BY21" t="e">
        <f>AND(Шахм!P141,"AAAAADdF/kw=")</f>
        <v>#VALUE!</v>
      </c>
      <c r="BZ21" t="e">
        <f>AND(Шахм!Q141,"AAAAADdF/k0=")</f>
        <v>#VALUE!</v>
      </c>
      <c r="CA21" t="e">
        <f>AND(Шахм!R141,"AAAAADdF/k4=")</f>
        <v>#VALUE!</v>
      </c>
      <c r="CB21" t="e">
        <f>AND(Шахм!S141,"AAAAADdF/k8=")</f>
        <v>#VALUE!</v>
      </c>
      <c r="CC21" t="e">
        <f>AND(Шахм!T141,"AAAAADdF/lA=")</f>
        <v>#VALUE!</v>
      </c>
      <c r="CD21" t="e">
        <f>AND(Шахм!U141,"AAAAADdF/lE=")</f>
        <v>#VALUE!</v>
      </c>
      <c r="CE21" t="e">
        <f>AND(Шахм!V141,"AAAAADdF/lI=")</f>
        <v>#VALUE!</v>
      </c>
      <c r="CF21" t="e">
        <f>AND(Шахм!W141,"AAAAADdF/lM=")</f>
        <v>#VALUE!</v>
      </c>
      <c r="CG21" t="e">
        <f>AND(Шахм!X141,"AAAAADdF/lQ=")</f>
        <v>#VALUE!</v>
      </c>
      <c r="CH21" t="e">
        <f>AND(Шахм!Y141,"AAAAADdF/lU=")</f>
        <v>#VALUE!</v>
      </c>
      <c r="CI21" t="e">
        <f>AND(Шахм!Z141,"AAAAADdF/lY=")</f>
        <v>#VALUE!</v>
      </c>
      <c r="CJ21" t="e">
        <f>AND(Шахм!AA141,"AAAAADdF/lc=")</f>
        <v>#VALUE!</v>
      </c>
      <c r="CK21" t="e">
        <f>AND(Шахм!AB141,"AAAAADdF/lg=")</f>
        <v>#VALUE!</v>
      </c>
      <c r="CL21" t="e">
        <f>AND(Шахм!AC141,"AAAAADdF/lk=")</f>
        <v>#VALUE!</v>
      </c>
      <c r="CM21" t="e">
        <f>AND(Шахм!AD141,"AAAAADdF/lo=")</f>
        <v>#VALUE!</v>
      </c>
      <c r="CN21" t="e">
        <f>AND(Шахм!AE141,"AAAAADdF/ls=")</f>
        <v>#VALUE!</v>
      </c>
      <c r="CO21" t="e">
        <f>AND(Шахм!AF141,"AAAAADdF/lw=")</f>
        <v>#VALUE!</v>
      </c>
      <c r="CP21" t="e">
        <f>AND(Шахм!AG141,"AAAAADdF/l0=")</f>
        <v>#VALUE!</v>
      </c>
      <c r="CQ21" t="e">
        <f>AND(Шахм!AH141,"AAAAADdF/l4=")</f>
        <v>#VALUE!</v>
      </c>
      <c r="CR21" t="e">
        <f>AND(Шахм!AI141,"AAAAADdF/l8=")</f>
        <v>#VALUE!</v>
      </c>
      <c r="CS21" t="e">
        <f>AND(Шахм!AJ141,"AAAAADdF/mA=")</f>
        <v>#VALUE!</v>
      </c>
      <c r="CT21">
        <f>IF(Шахм!142:142,"AAAAADdF/mE=",0)</f>
        <v>0</v>
      </c>
      <c r="CU21" t="e">
        <f>AND(Шахм!A142,"AAAAADdF/mI=")</f>
        <v>#VALUE!</v>
      </c>
      <c r="CV21" t="e">
        <f>AND(Шахм!B142,"AAAAADdF/mM=")</f>
        <v>#VALUE!</v>
      </c>
      <c r="CW21" t="e">
        <f>AND(Шахм!C142,"AAAAADdF/mQ=")</f>
        <v>#VALUE!</v>
      </c>
      <c r="CX21" t="e">
        <f>AND(Шахм!D142,"AAAAADdF/mU=")</f>
        <v>#VALUE!</v>
      </c>
      <c r="CY21" t="e">
        <f>AND(Шахм!E142,"AAAAADdF/mY=")</f>
        <v>#VALUE!</v>
      </c>
      <c r="CZ21" t="e">
        <f>AND(Шахм!F142,"AAAAADdF/mc=")</f>
        <v>#VALUE!</v>
      </c>
      <c r="DA21" t="e">
        <f>AND(Шахм!G142,"AAAAADdF/mg=")</f>
        <v>#VALUE!</v>
      </c>
      <c r="DB21" t="e">
        <f>AND(Шахм!H142,"AAAAADdF/mk=")</f>
        <v>#VALUE!</v>
      </c>
      <c r="DC21" t="e">
        <f>AND(Шахм!I142,"AAAAADdF/mo=")</f>
        <v>#VALUE!</v>
      </c>
      <c r="DD21" t="e">
        <f>AND(Шахм!J142,"AAAAADdF/ms=")</f>
        <v>#VALUE!</v>
      </c>
      <c r="DE21" t="e">
        <f>AND(Шахм!K142,"AAAAADdF/mw=")</f>
        <v>#VALUE!</v>
      </c>
      <c r="DF21" t="e">
        <f>AND(Шахм!L142,"AAAAADdF/m0=")</f>
        <v>#VALUE!</v>
      </c>
      <c r="DG21" t="e">
        <f>AND(Шахм!M142,"AAAAADdF/m4=")</f>
        <v>#VALUE!</v>
      </c>
      <c r="DH21" t="e">
        <f>AND(Шахм!N142,"AAAAADdF/m8=")</f>
        <v>#VALUE!</v>
      </c>
      <c r="DI21" t="e">
        <f>AND(Шахм!O142,"AAAAADdF/nA=")</f>
        <v>#VALUE!</v>
      </c>
      <c r="DJ21" t="e">
        <f>AND(Шахм!P142,"AAAAADdF/nE=")</f>
        <v>#VALUE!</v>
      </c>
      <c r="DK21" t="e">
        <f>AND(Шахм!Q142,"AAAAADdF/nI=")</f>
        <v>#VALUE!</v>
      </c>
      <c r="DL21" t="e">
        <f>AND(Шахм!R142,"AAAAADdF/nM=")</f>
        <v>#VALUE!</v>
      </c>
      <c r="DM21" t="e">
        <f>AND(Шахм!S142,"AAAAADdF/nQ=")</f>
        <v>#VALUE!</v>
      </c>
      <c r="DN21" t="e">
        <f>AND(Шахм!T142,"AAAAADdF/nU=")</f>
        <v>#VALUE!</v>
      </c>
      <c r="DO21" t="e">
        <f>AND(Шахм!U142,"AAAAADdF/nY=")</f>
        <v>#VALUE!</v>
      </c>
      <c r="DP21" t="e">
        <f>AND(Шахм!V142,"AAAAADdF/nc=")</f>
        <v>#VALUE!</v>
      </c>
      <c r="DQ21" t="e">
        <f>AND(Шахм!W142,"AAAAADdF/ng=")</f>
        <v>#VALUE!</v>
      </c>
      <c r="DR21" t="e">
        <f>AND(Шахм!X142,"AAAAADdF/nk=")</f>
        <v>#VALUE!</v>
      </c>
      <c r="DS21" t="e">
        <f>AND(Шахм!Y142,"AAAAADdF/no=")</f>
        <v>#VALUE!</v>
      </c>
      <c r="DT21" t="e">
        <f>AND(Шахм!Z142,"AAAAADdF/ns=")</f>
        <v>#VALUE!</v>
      </c>
      <c r="DU21" t="e">
        <f>AND(Шахм!AA142,"AAAAADdF/nw=")</f>
        <v>#VALUE!</v>
      </c>
      <c r="DV21" t="e">
        <f>AND(Шахм!AB142,"AAAAADdF/n0=")</f>
        <v>#VALUE!</v>
      </c>
      <c r="DW21" t="e">
        <f>AND(Шахм!AC142,"AAAAADdF/n4=")</f>
        <v>#VALUE!</v>
      </c>
      <c r="DX21" t="e">
        <f>AND(Шахм!AD142,"AAAAADdF/n8=")</f>
        <v>#VALUE!</v>
      </c>
      <c r="DY21" t="e">
        <f>AND(Шахм!AE142,"AAAAADdF/oA=")</f>
        <v>#VALUE!</v>
      </c>
      <c r="DZ21" t="e">
        <f>AND(Шахм!AF142,"AAAAADdF/oE=")</f>
        <v>#VALUE!</v>
      </c>
      <c r="EA21" t="e">
        <f>AND(Шахм!AG142,"AAAAADdF/oI=")</f>
        <v>#VALUE!</v>
      </c>
      <c r="EB21" t="e">
        <f>AND(Шахм!AH142,"AAAAADdF/oM=")</f>
        <v>#VALUE!</v>
      </c>
      <c r="EC21" t="e">
        <f>AND(Шахм!AI142,"AAAAADdF/oQ=")</f>
        <v>#VALUE!</v>
      </c>
      <c r="ED21" t="e">
        <f>AND(Шахм!AJ142,"AAAAADdF/oU=")</f>
        <v>#VALUE!</v>
      </c>
      <c r="EE21">
        <f>IF(Шахм!143:143,"AAAAADdF/oY=",0)</f>
        <v>0</v>
      </c>
      <c r="EF21" t="e">
        <f>AND(Шахм!A143,"AAAAADdF/oc=")</f>
        <v>#VALUE!</v>
      </c>
      <c r="EG21" t="e">
        <f>AND(Шахм!B143,"AAAAADdF/og=")</f>
        <v>#VALUE!</v>
      </c>
      <c r="EH21" t="e">
        <f>AND(Шахм!C143,"AAAAADdF/ok=")</f>
        <v>#VALUE!</v>
      </c>
      <c r="EI21" t="e">
        <f>AND(Шахм!D143,"AAAAADdF/oo=")</f>
        <v>#VALUE!</v>
      </c>
      <c r="EJ21" t="e">
        <f>AND(Шахм!E143,"AAAAADdF/os=")</f>
        <v>#VALUE!</v>
      </c>
      <c r="EK21" t="e">
        <f>AND(Шахм!F143,"AAAAADdF/ow=")</f>
        <v>#VALUE!</v>
      </c>
      <c r="EL21" t="e">
        <f>AND(Шахм!G143,"AAAAADdF/o0=")</f>
        <v>#VALUE!</v>
      </c>
      <c r="EM21" t="e">
        <f>AND(Шахм!H143,"AAAAADdF/o4=")</f>
        <v>#VALUE!</v>
      </c>
      <c r="EN21" t="e">
        <f>AND(Шахм!I143,"AAAAADdF/o8=")</f>
        <v>#VALUE!</v>
      </c>
      <c r="EO21" t="e">
        <f>AND(Шахм!J143,"AAAAADdF/pA=")</f>
        <v>#VALUE!</v>
      </c>
      <c r="EP21" t="e">
        <f>AND(Шахм!K143,"AAAAADdF/pE=")</f>
        <v>#VALUE!</v>
      </c>
      <c r="EQ21" t="e">
        <f>AND(Шахм!L143,"AAAAADdF/pI=")</f>
        <v>#VALUE!</v>
      </c>
      <c r="ER21" t="e">
        <f>AND(Шахм!M143,"AAAAADdF/pM=")</f>
        <v>#VALUE!</v>
      </c>
      <c r="ES21" t="e">
        <f>AND(Шахм!N143,"AAAAADdF/pQ=")</f>
        <v>#VALUE!</v>
      </c>
      <c r="ET21" t="e">
        <f>AND(Шахм!O143,"AAAAADdF/pU=")</f>
        <v>#VALUE!</v>
      </c>
      <c r="EU21" t="e">
        <f>AND(Шахм!P143,"AAAAADdF/pY=")</f>
        <v>#VALUE!</v>
      </c>
      <c r="EV21" t="e">
        <f>AND(Шахм!Q143,"AAAAADdF/pc=")</f>
        <v>#VALUE!</v>
      </c>
      <c r="EW21" t="e">
        <f>AND(Шахм!R143,"AAAAADdF/pg=")</f>
        <v>#VALUE!</v>
      </c>
      <c r="EX21" t="e">
        <f>AND(Шахм!S143,"AAAAADdF/pk=")</f>
        <v>#VALUE!</v>
      </c>
      <c r="EY21" t="e">
        <f>AND(Шахм!T143,"AAAAADdF/po=")</f>
        <v>#VALUE!</v>
      </c>
      <c r="EZ21" t="e">
        <f>AND(Шахм!U143,"AAAAADdF/ps=")</f>
        <v>#VALUE!</v>
      </c>
      <c r="FA21" t="e">
        <f>AND(Шахм!V143,"AAAAADdF/pw=")</f>
        <v>#VALUE!</v>
      </c>
      <c r="FB21" t="e">
        <f>AND(Шахм!W143,"AAAAADdF/p0=")</f>
        <v>#VALUE!</v>
      </c>
      <c r="FC21" t="e">
        <f>AND(Шахм!X143,"AAAAADdF/p4=")</f>
        <v>#VALUE!</v>
      </c>
      <c r="FD21" t="e">
        <f>AND(Шахм!Y143,"AAAAADdF/p8=")</f>
        <v>#VALUE!</v>
      </c>
      <c r="FE21" t="e">
        <f>AND(Шахм!Z143,"AAAAADdF/qA=")</f>
        <v>#VALUE!</v>
      </c>
      <c r="FF21" t="e">
        <f>AND(Шахм!AA143,"AAAAADdF/qE=")</f>
        <v>#VALUE!</v>
      </c>
      <c r="FG21" t="e">
        <f>AND(Шахм!AB143,"AAAAADdF/qI=")</f>
        <v>#VALUE!</v>
      </c>
      <c r="FH21" t="e">
        <f>AND(Шахм!AC143,"AAAAADdF/qM=")</f>
        <v>#VALUE!</v>
      </c>
      <c r="FI21" t="e">
        <f>AND(Шахм!AD143,"AAAAADdF/qQ=")</f>
        <v>#VALUE!</v>
      </c>
      <c r="FJ21" t="e">
        <f>AND(Шахм!AE143,"AAAAADdF/qU=")</f>
        <v>#VALUE!</v>
      </c>
      <c r="FK21" t="e">
        <f>AND(Шахм!AF143,"AAAAADdF/qY=")</f>
        <v>#VALUE!</v>
      </c>
      <c r="FL21" t="e">
        <f>AND(Шахм!AG143,"AAAAADdF/qc=")</f>
        <v>#VALUE!</v>
      </c>
      <c r="FM21" t="e">
        <f>AND(Шахм!AH143,"AAAAADdF/qg=")</f>
        <v>#VALUE!</v>
      </c>
      <c r="FN21" t="e">
        <f>AND(Шахм!AI143,"AAAAADdF/qk=")</f>
        <v>#VALUE!</v>
      </c>
      <c r="FO21" t="e">
        <f>AND(Шахм!AJ143,"AAAAADdF/qo=")</f>
        <v>#VALUE!</v>
      </c>
      <c r="FP21">
        <f>IF(Шахм!144:144,"AAAAADdF/qs=",0)</f>
        <v>0</v>
      </c>
      <c r="FQ21" t="e">
        <f>AND(Шахм!A144,"AAAAADdF/qw=")</f>
        <v>#VALUE!</v>
      </c>
      <c r="FR21" t="e">
        <f>AND(Шахм!B144,"AAAAADdF/q0=")</f>
        <v>#VALUE!</v>
      </c>
      <c r="FS21" t="e">
        <f>AND(Шахм!C144,"AAAAADdF/q4=")</f>
        <v>#VALUE!</v>
      </c>
      <c r="FT21" t="e">
        <f>AND(Шахм!D144,"AAAAADdF/q8=")</f>
        <v>#VALUE!</v>
      </c>
      <c r="FU21" t="e">
        <f>AND(Шахм!E144,"AAAAADdF/rA=")</f>
        <v>#VALUE!</v>
      </c>
      <c r="FV21" t="e">
        <f>AND(Шахм!F144,"AAAAADdF/rE=")</f>
        <v>#VALUE!</v>
      </c>
      <c r="FW21" t="e">
        <f>AND(Шахм!G144,"AAAAADdF/rI=")</f>
        <v>#VALUE!</v>
      </c>
      <c r="FX21" t="e">
        <f>AND(Шахм!H144,"AAAAADdF/rM=")</f>
        <v>#VALUE!</v>
      </c>
      <c r="FY21" t="e">
        <f>AND(Шахм!I144,"AAAAADdF/rQ=")</f>
        <v>#VALUE!</v>
      </c>
      <c r="FZ21" t="e">
        <f>AND(Шахм!J144,"AAAAADdF/rU=")</f>
        <v>#VALUE!</v>
      </c>
      <c r="GA21" t="e">
        <f>AND(Шахм!K144,"AAAAADdF/rY=")</f>
        <v>#VALUE!</v>
      </c>
      <c r="GB21" t="e">
        <f>AND(Шахм!L144,"AAAAADdF/rc=")</f>
        <v>#VALUE!</v>
      </c>
      <c r="GC21" t="e">
        <f>AND(Шахм!M144,"AAAAADdF/rg=")</f>
        <v>#VALUE!</v>
      </c>
      <c r="GD21" t="e">
        <f>AND(Шахм!N144,"AAAAADdF/rk=")</f>
        <v>#VALUE!</v>
      </c>
      <c r="GE21" t="e">
        <f>AND(Шахм!O144,"AAAAADdF/ro=")</f>
        <v>#VALUE!</v>
      </c>
      <c r="GF21" t="e">
        <f>AND(Шахм!P144,"AAAAADdF/rs=")</f>
        <v>#VALUE!</v>
      </c>
      <c r="GG21" t="e">
        <f>AND(Шахм!Q144,"AAAAADdF/rw=")</f>
        <v>#VALUE!</v>
      </c>
      <c r="GH21" t="e">
        <f>AND(Шахм!R144,"AAAAADdF/r0=")</f>
        <v>#VALUE!</v>
      </c>
      <c r="GI21" t="e">
        <f>AND(Шахм!S144,"AAAAADdF/r4=")</f>
        <v>#VALUE!</v>
      </c>
      <c r="GJ21" t="e">
        <f>AND(Шахм!T144,"AAAAADdF/r8=")</f>
        <v>#VALUE!</v>
      </c>
      <c r="GK21" t="e">
        <f>AND(Шахм!U144,"AAAAADdF/sA=")</f>
        <v>#VALUE!</v>
      </c>
      <c r="GL21" t="e">
        <f>AND(Шахм!V144,"AAAAADdF/sE=")</f>
        <v>#VALUE!</v>
      </c>
      <c r="GM21" t="e">
        <f>AND(Шахм!W144,"AAAAADdF/sI=")</f>
        <v>#VALUE!</v>
      </c>
      <c r="GN21" t="e">
        <f>AND(Шахм!X144,"AAAAADdF/sM=")</f>
        <v>#VALUE!</v>
      </c>
      <c r="GO21" t="e">
        <f>AND(Шахм!Y144,"AAAAADdF/sQ=")</f>
        <v>#VALUE!</v>
      </c>
      <c r="GP21" t="e">
        <f>AND(Шахм!Z144,"AAAAADdF/sU=")</f>
        <v>#VALUE!</v>
      </c>
      <c r="GQ21" t="e">
        <f>AND(Шахм!AA144,"AAAAADdF/sY=")</f>
        <v>#VALUE!</v>
      </c>
      <c r="GR21" t="e">
        <f>AND(Шахм!AB144,"AAAAADdF/sc=")</f>
        <v>#VALUE!</v>
      </c>
      <c r="GS21" t="e">
        <f>AND(Шахм!AC144,"AAAAADdF/sg=")</f>
        <v>#VALUE!</v>
      </c>
      <c r="GT21" t="e">
        <f>AND(Шахм!AD144,"AAAAADdF/sk=")</f>
        <v>#VALUE!</v>
      </c>
      <c r="GU21" t="e">
        <f>AND(Шахм!AE144,"AAAAADdF/so=")</f>
        <v>#VALUE!</v>
      </c>
      <c r="GV21" t="e">
        <f>AND(Шахм!AF144,"AAAAADdF/ss=")</f>
        <v>#VALUE!</v>
      </c>
      <c r="GW21" t="e">
        <f>AND(Шахм!AG144,"AAAAADdF/sw=")</f>
        <v>#VALUE!</v>
      </c>
      <c r="GX21" t="e">
        <f>AND(Шахм!AH144,"AAAAADdF/s0=")</f>
        <v>#VALUE!</v>
      </c>
      <c r="GY21" t="e">
        <f>AND(Шахм!AI144,"AAAAADdF/s4=")</f>
        <v>#VALUE!</v>
      </c>
      <c r="GZ21" t="e">
        <f>AND(Шахм!AJ144,"AAAAADdF/s8=")</f>
        <v>#VALUE!</v>
      </c>
      <c r="HA21">
        <f>IF(Шахм!145:145,"AAAAADdF/tA=",0)</f>
        <v>0</v>
      </c>
      <c r="HB21" t="e">
        <f>AND(Шахм!A145,"AAAAADdF/tE=")</f>
        <v>#VALUE!</v>
      </c>
      <c r="HC21" t="e">
        <f>AND(Шахм!B145,"AAAAADdF/tI=")</f>
        <v>#VALUE!</v>
      </c>
      <c r="HD21" t="e">
        <f>AND(Шахм!C145,"AAAAADdF/tM=")</f>
        <v>#VALUE!</v>
      </c>
      <c r="HE21" t="e">
        <f>AND(Шахм!D145,"AAAAADdF/tQ=")</f>
        <v>#VALUE!</v>
      </c>
      <c r="HF21" t="e">
        <f>AND(Шахм!E145,"AAAAADdF/tU=")</f>
        <v>#VALUE!</v>
      </c>
      <c r="HG21" t="e">
        <f>AND(Шахм!F145,"AAAAADdF/tY=")</f>
        <v>#VALUE!</v>
      </c>
      <c r="HH21" t="e">
        <f>AND(Шахм!G145,"AAAAADdF/tc=")</f>
        <v>#VALUE!</v>
      </c>
      <c r="HI21" t="e">
        <f>AND(Шахм!H145,"AAAAADdF/tg=")</f>
        <v>#VALUE!</v>
      </c>
      <c r="HJ21" t="e">
        <f>AND(Шахм!I145,"AAAAADdF/tk=")</f>
        <v>#VALUE!</v>
      </c>
      <c r="HK21" t="e">
        <f>AND(Шахм!J145,"AAAAADdF/to=")</f>
        <v>#VALUE!</v>
      </c>
      <c r="HL21" t="e">
        <f>AND(Шахм!K145,"AAAAADdF/ts=")</f>
        <v>#VALUE!</v>
      </c>
      <c r="HM21" t="e">
        <f>AND(Шахм!L145,"AAAAADdF/tw=")</f>
        <v>#VALUE!</v>
      </c>
      <c r="HN21" t="e">
        <f>AND(Шахм!M145,"AAAAADdF/t0=")</f>
        <v>#VALUE!</v>
      </c>
      <c r="HO21" t="e">
        <f>AND(Шахм!N145,"AAAAADdF/t4=")</f>
        <v>#VALUE!</v>
      </c>
      <c r="HP21" t="e">
        <f>AND(Шахм!O145,"AAAAADdF/t8=")</f>
        <v>#VALUE!</v>
      </c>
      <c r="HQ21" t="e">
        <f>AND(Шахм!P145,"AAAAADdF/uA=")</f>
        <v>#VALUE!</v>
      </c>
      <c r="HR21" t="e">
        <f>AND(Шахм!Q145,"AAAAADdF/uE=")</f>
        <v>#VALUE!</v>
      </c>
      <c r="HS21" t="e">
        <f>AND(Шахм!R145,"AAAAADdF/uI=")</f>
        <v>#VALUE!</v>
      </c>
      <c r="HT21" t="e">
        <f>AND(Шахм!S145,"AAAAADdF/uM=")</f>
        <v>#VALUE!</v>
      </c>
      <c r="HU21" t="e">
        <f>AND(Шахм!T145,"AAAAADdF/uQ=")</f>
        <v>#VALUE!</v>
      </c>
      <c r="HV21" t="e">
        <f>AND(Шахм!U145,"AAAAADdF/uU=")</f>
        <v>#VALUE!</v>
      </c>
      <c r="HW21" t="e">
        <f>AND(Шахм!V145,"AAAAADdF/uY=")</f>
        <v>#VALUE!</v>
      </c>
      <c r="HX21" t="e">
        <f>AND(Шахм!W145,"AAAAADdF/uc=")</f>
        <v>#VALUE!</v>
      </c>
      <c r="HY21" t="e">
        <f>AND(Шахм!X145,"AAAAADdF/ug=")</f>
        <v>#VALUE!</v>
      </c>
      <c r="HZ21" t="e">
        <f>AND(Шахм!Y145,"AAAAADdF/uk=")</f>
        <v>#VALUE!</v>
      </c>
      <c r="IA21" t="e">
        <f>AND(Шахм!Z145,"AAAAADdF/uo=")</f>
        <v>#VALUE!</v>
      </c>
      <c r="IB21" t="e">
        <f>AND(Шахм!AA145,"AAAAADdF/us=")</f>
        <v>#VALUE!</v>
      </c>
      <c r="IC21" t="e">
        <f>AND(Шахм!AB145,"AAAAADdF/uw=")</f>
        <v>#VALUE!</v>
      </c>
      <c r="ID21" t="e">
        <f>AND(Шахм!AC145,"AAAAADdF/u0=")</f>
        <v>#VALUE!</v>
      </c>
      <c r="IE21" t="e">
        <f>AND(Шахм!AD145,"AAAAADdF/u4=")</f>
        <v>#VALUE!</v>
      </c>
      <c r="IF21" t="e">
        <f>AND(Шахм!AE145,"AAAAADdF/u8=")</f>
        <v>#VALUE!</v>
      </c>
      <c r="IG21" t="e">
        <f>AND(Шахм!AF145,"AAAAADdF/vA=")</f>
        <v>#VALUE!</v>
      </c>
      <c r="IH21" t="e">
        <f>AND(Шахм!AG145,"AAAAADdF/vE=")</f>
        <v>#VALUE!</v>
      </c>
      <c r="II21" t="e">
        <f>AND(Шахм!AH145,"AAAAADdF/vI=")</f>
        <v>#VALUE!</v>
      </c>
      <c r="IJ21" t="e">
        <f>AND(Шахм!AI145,"AAAAADdF/vM=")</f>
        <v>#VALUE!</v>
      </c>
      <c r="IK21" t="e">
        <f>AND(Шахм!AJ145,"AAAAADdF/vQ=")</f>
        <v>#VALUE!</v>
      </c>
      <c r="IL21">
        <f>IF(Шахм!146:146,"AAAAADdF/vU=",0)</f>
        <v>0</v>
      </c>
      <c r="IM21" t="e">
        <f>AND(Шахм!A146,"AAAAADdF/vY=")</f>
        <v>#VALUE!</v>
      </c>
      <c r="IN21" t="e">
        <f>AND(Шахм!B146,"AAAAADdF/vc=")</f>
        <v>#VALUE!</v>
      </c>
      <c r="IO21" t="e">
        <f>AND(Шахм!C146,"AAAAADdF/vg=")</f>
        <v>#VALUE!</v>
      </c>
      <c r="IP21" t="e">
        <f>AND(Шахм!D146,"AAAAADdF/vk=")</f>
        <v>#VALUE!</v>
      </c>
      <c r="IQ21" t="e">
        <f>AND(Шахм!E146,"AAAAADdF/vo=")</f>
        <v>#VALUE!</v>
      </c>
      <c r="IR21" t="e">
        <f>AND(Шахм!F146,"AAAAADdF/vs=")</f>
        <v>#VALUE!</v>
      </c>
      <c r="IS21" t="e">
        <f>AND(Шахм!G146,"AAAAADdF/vw=")</f>
        <v>#VALUE!</v>
      </c>
      <c r="IT21" t="e">
        <f>AND(Шахм!H146,"AAAAADdF/v0=")</f>
        <v>#VALUE!</v>
      </c>
      <c r="IU21" t="e">
        <f>AND(Шахм!I146,"AAAAADdF/v4=")</f>
        <v>#VALUE!</v>
      </c>
      <c r="IV21" t="e">
        <f>AND(Шахм!J146,"AAAAADdF/v8=")</f>
        <v>#VALUE!</v>
      </c>
    </row>
    <row r="22" spans="1:256">
      <c r="A22" t="e">
        <f>AND(Шахм!K146,"AAAAAFh47wA=")</f>
        <v>#VALUE!</v>
      </c>
      <c r="B22" t="e">
        <f>AND(Шахм!L146,"AAAAAFh47wE=")</f>
        <v>#VALUE!</v>
      </c>
      <c r="C22" t="e">
        <f>AND(Шахм!M146,"AAAAAFh47wI=")</f>
        <v>#VALUE!</v>
      </c>
      <c r="D22" t="e">
        <f>AND(Шахм!N146,"AAAAAFh47wM=")</f>
        <v>#VALUE!</v>
      </c>
      <c r="E22" t="e">
        <f>AND(Шахм!O146,"AAAAAFh47wQ=")</f>
        <v>#VALUE!</v>
      </c>
      <c r="F22" t="e">
        <f>AND(Шахм!P146,"AAAAAFh47wU=")</f>
        <v>#VALUE!</v>
      </c>
      <c r="G22" t="e">
        <f>AND(Шахм!Q146,"AAAAAFh47wY=")</f>
        <v>#VALUE!</v>
      </c>
      <c r="H22" t="e">
        <f>AND(Шахм!R146,"AAAAAFh47wc=")</f>
        <v>#VALUE!</v>
      </c>
      <c r="I22" t="e">
        <f>AND(Шахм!S146,"AAAAAFh47wg=")</f>
        <v>#VALUE!</v>
      </c>
      <c r="J22" t="e">
        <f>AND(Шахм!T146,"AAAAAFh47wk=")</f>
        <v>#VALUE!</v>
      </c>
      <c r="K22" t="e">
        <f>AND(Шахм!U146,"AAAAAFh47wo=")</f>
        <v>#VALUE!</v>
      </c>
      <c r="L22" t="e">
        <f>AND(Шахм!V146,"AAAAAFh47ws=")</f>
        <v>#VALUE!</v>
      </c>
      <c r="M22" t="e">
        <f>AND(Шахм!W146,"AAAAAFh47ww=")</f>
        <v>#VALUE!</v>
      </c>
      <c r="N22" t="e">
        <f>AND(Шахм!X146,"AAAAAFh47w0=")</f>
        <v>#VALUE!</v>
      </c>
      <c r="O22" t="e">
        <f>AND(Шахм!Y146,"AAAAAFh47w4=")</f>
        <v>#VALUE!</v>
      </c>
      <c r="P22" t="e">
        <f>AND(Шахм!Z146,"AAAAAFh47w8=")</f>
        <v>#VALUE!</v>
      </c>
      <c r="Q22" t="e">
        <f>AND(Шахм!AA146,"AAAAAFh47xA=")</f>
        <v>#VALUE!</v>
      </c>
      <c r="R22" t="e">
        <f>AND(Шахм!AB146,"AAAAAFh47xE=")</f>
        <v>#VALUE!</v>
      </c>
      <c r="S22" t="e">
        <f>AND(Шахм!AC146,"AAAAAFh47xI=")</f>
        <v>#VALUE!</v>
      </c>
      <c r="T22" t="e">
        <f>AND(Шахм!AD146,"AAAAAFh47xM=")</f>
        <v>#VALUE!</v>
      </c>
      <c r="U22" t="e">
        <f>AND(Шахм!AE146,"AAAAAFh47xQ=")</f>
        <v>#VALUE!</v>
      </c>
      <c r="V22" t="e">
        <f>AND(Шахм!AF146,"AAAAAFh47xU=")</f>
        <v>#VALUE!</v>
      </c>
      <c r="W22" t="e">
        <f>AND(Шахм!AG146,"AAAAAFh47xY=")</f>
        <v>#VALUE!</v>
      </c>
      <c r="X22" t="e">
        <f>AND(Шахм!AH146,"AAAAAFh47xc=")</f>
        <v>#VALUE!</v>
      </c>
      <c r="Y22" t="e">
        <f>AND(Шахм!AI146,"AAAAAFh47xg=")</f>
        <v>#VALUE!</v>
      </c>
      <c r="Z22" t="e">
        <f>AND(Шахм!AJ146,"AAAAAFh47xk=")</f>
        <v>#VALUE!</v>
      </c>
      <c r="AA22">
        <f>IF(Шахм!147:147,"AAAAAFh47xo=",0)</f>
        <v>0</v>
      </c>
      <c r="AB22" t="e">
        <f>AND(Шахм!A147,"AAAAAFh47xs=")</f>
        <v>#VALUE!</v>
      </c>
      <c r="AC22" t="e">
        <f>AND(Шахм!B147,"AAAAAFh47xw=")</f>
        <v>#VALUE!</v>
      </c>
      <c r="AD22" t="e">
        <f>AND(Шахм!C147,"AAAAAFh47x0=")</f>
        <v>#VALUE!</v>
      </c>
      <c r="AE22" t="e">
        <f>AND(Шахм!D147,"AAAAAFh47x4=")</f>
        <v>#VALUE!</v>
      </c>
      <c r="AF22" t="e">
        <f>AND(Шахм!E147,"AAAAAFh47x8=")</f>
        <v>#VALUE!</v>
      </c>
      <c r="AG22" t="e">
        <f>AND(Шахм!F147,"AAAAAFh47yA=")</f>
        <v>#VALUE!</v>
      </c>
      <c r="AH22" t="e">
        <f>AND(Шахм!G147,"AAAAAFh47yE=")</f>
        <v>#VALUE!</v>
      </c>
      <c r="AI22" t="e">
        <f>AND(Шахм!H147,"AAAAAFh47yI=")</f>
        <v>#VALUE!</v>
      </c>
      <c r="AJ22" t="e">
        <f>AND(Шахм!I147,"AAAAAFh47yM=")</f>
        <v>#VALUE!</v>
      </c>
      <c r="AK22" t="e">
        <f>AND(Шахм!J147,"AAAAAFh47yQ=")</f>
        <v>#VALUE!</v>
      </c>
      <c r="AL22" t="e">
        <f>AND(Шахм!K147,"AAAAAFh47yU=")</f>
        <v>#VALUE!</v>
      </c>
      <c r="AM22" t="e">
        <f>AND(Шахм!L147,"AAAAAFh47yY=")</f>
        <v>#VALUE!</v>
      </c>
      <c r="AN22" t="e">
        <f>AND(Шахм!M147,"AAAAAFh47yc=")</f>
        <v>#VALUE!</v>
      </c>
      <c r="AO22" t="e">
        <f>AND(Шахм!N147,"AAAAAFh47yg=")</f>
        <v>#VALUE!</v>
      </c>
      <c r="AP22" t="e">
        <f>AND(Шахм!O147,"AAAAAFh47yk=")</f>
        <v>#VALUE!</v>
      </c>
      <c r="AQ22" t="e">
        <f>AND(Шахм!P147,"AAAAAFh47yo=")</f>
        <v>#VALUE!</v>
      </c>
      <c r="AR22" t="e">
        <f>AND(Шахм!Q147,"AAAAAFh47ys=")</f>
        <v>#VALUE!</v>
      </c>
      <c r="AS22" t="e">
        <f>AND(Шахм!R147,"AAAAAFh47yw=")</f>
        <v>#VALUE!</v>
      </c>
      <c r="AT22" t="e">
        <f>AND(Шахм!S147,"AAAAAFh47y0=")</f>
        <v>#VALUE!</v>
      </c>
      <c r="AU22" t="e">
        <f>AND(Шахм!T147,"AAAAAFh47y4=")</f>
        <v>#VALUE!</v>
      </c>
      <c r="AV22" t="e">
        <f>AND(Шахм!U147,"AAAAAFh47y8=")</f>
        <v>#VALUE!</v>
      </c>
      <c r="AW22" t="e">
        <f>AND(Шахм!V147,"AAAAAFh47zA=")</f>
        <v>#VALUE!</v>
      </c>
      <c r="AX22" t="e">
        <f>AND(Шахм!W147,"AAAAAFh47zE=")</f>
        <v>#VALUE!</v>
      </c>
      <c r="AY22" t="e">
        <f>AND(Шахм!X147,"AAAAAFh47zI=")</f>
        <v>#VALUE!</v>
      </c>
      <c r="AZ22" t="e">
        <f>AND(Шахм!Y147,"AAAAAFh47zM=")</f>
        <v>#VALUE!</v>
      </c>
      <c r="BA22" t="e">
        <f>AND(Шахм!Z147,"AAAAAFh47zQ=")</f>
        <v>#VALUE!</v>
      </c>
      <c r="BB22" t="e">
        <f>AND(Шахм!AA147,"AAAAAFh47zU=")</f>
        <v>#VALUE!</v>
      </c>
      <c r="BC22" t="e">
        <f>AND(Шахм!AB147,"AAAAAFh47zY=")</f>
        <v>#VALUE!</v>
      </c>
      <c r="BD22" t="e">
        <f>AND(Шахм!AC147,"AAAAAFh47zc=")</f>
        <v>#VALUE!</v>
      </c>
      <c r="BE22" t="e">
        <f>AND(Шахм!AD147,"AAAAAFh47zg=")</f>
        <v>#VALUE!</v>
      </c>
      <c r="BF22" t="e">
        <f>AND(Шахм!AE147,"AAAAAFh47zk=")</f>
        <v>#VALUE!</v>
      </c>
      <c r="BG22" t="e">
        <f>AND(Шахм!AF147,"AAAAAFh47zo=")</f>
        <v>#VALUE!</v>
      </c>
      <c r="BH22" t="e">
        <f>AND(Шахм!AG147,"AAAAAFh47zs=")</f>
        <v>#VALUE!</v>
      </c>
      <c r="BI22" t="e">
        <f>AND(Шахм!AH147,"AAAAAFh47zw=")</f>
        <v>#VALUE!</v>
      </c>
      <c r="BJ22" t="e">
        <f>AND(Шахм!AI147,"AAAAAFh47z0=")</f>
        <v>#VALUE!</v>
      </c>
      <c r="BK22" t="e">
        <f>AND(Шахм!AJ147,"AAAAAFh47z4=")</f>
        <v>#VALUE!</v>
      </c>
      <c r="BL22">
        <f>IF(Шахм!148:148,"AAAAAFh47z8=",0)</f>
        <v>0</v>
      </c>
      <c r="BM22" t="e">
        <f>AND(Шахм!A148,"AAAAAFh470A=")</f>
        <v>#VALUE!</v>
      </c>
      <c r="BN22" t="e">
        <f>AND(Шахм!B148,"AAAAAFh470E=")</f>
        <v>#VALUE!</v>
      </c>
      <c r="BO22" t="e">
        <f>AND(Шахм!C148,"AAAAAFh470I=")</f>
        <v>#VALUE!</v>
      </c>
      <c r="BP22" t="e">
        <f>AND(Шахм!D148,"AAAAAFh470M=")</f>
        <v>#VALUE!</v>
      </c>
      <c r="BQ22" t="e">
        <f>AND(Шахм!E148,"AAAAAFh470Q=")</f>
        <v>#VALUE!</v>
      </c>
      <c r="BR22" t="e">
        <f>AND(Шахм!F148,"AAAAAFh470U=")</f>
        <v>#VALUE!</v>
      </c>
      <c r="BS22" t="e">
        <f>AND(Шахм!G148,"AAAAAFh470Y=")</f>
        <v>#VALUE!</v>
      </c>
      <c r="BT22" t="e">
        <f>AND(Шахм!H148,"AAAAAFh470c=")</f>
        <v>#VALUE!</v>
      </c>
      <c r="BU22" t="e">
        <f>AND(Шахм!I148,"AAAAAFh470g=")</f>
        <v>#VALUE!</v>
      </c>
      <c r="BV22" t="e">
        <f>AND(Шахм!J148,"AAAAAFh470k=")</f>
        <v>#VALUE!</v>
      </c>
      <c r="BW22" t="e">
        <f>AND(Шахм!K148,"AAAAAFh470o=")</f>
        <v>#VALUE!</v>
      </c>
      <c r="BX22" t="e">
        <f>AND(Шахм!L148,"AAAAAFh470s=")</f>
        <v>#VALUE!</v>
      </c>
      <c r="BY22" t="e">
        <f>AND(Шахм!M148,"AAAAAFh470w=")</f>
        <v>#VALUE!</v>
      </c>
      <c r="BZ22" t="e">
        <f>AND(Шахм!N148,"AAAAAFh4700=")</f>
        <v>#VALUE!</v>
      </c>
      <c r="CA22" t="e">
        <f>AND(Шахм!O148,"AAAAAFh4704=")</f>
        <v>#VALUE!</v>
      </c>
      <c r="CB22" t="e">
        <f>AND(Шахм!P148,"AAAAAFh4708=")</f>
        <v>#VALUE!</v>
      </c>
      <c r="CC22" t="e">
        <f>AND(Шахм!Q148,"AAAAAFh471A=")</f>
        <v>#VALUE!</v>
      </c>
      <c r="CD22" t="e">
        <f>AND(Шахм!R148,"AAAAAFh471E=")</f>
        <v>#VALUE!</v>
      </c>
      <c r="CE22" t="e">
        <f>AND(Шахм!S148,"AAAAAFh471I=")</f>
        <v>#VALUE!</v>
      </c>
      <c r="CF22" t="e">
        <f>AND(Шахм!T148,"AAAAAFh471M=")</f>
        <v>#VALUE!</v>
      </c>
      <c r="CG22" t="e">
        <f>AND(Шахм!U148,"AAAAAFh471Q=")</f>
        <v>#VALUE!</v>
      </c>
      <c r="CH22" t="e">
        <f>AND(Шахм!V148,"AAAAAFh471U=")</f>
        <v>#VALUE!</v>
      </c>
      <c r="CI22" t="e">
        <f>AND(Шахм!W148,"AAAAAFh471Y=")</f>
        <v>#VALUE!</v>
      </c>
      <c r="CJ22" t="e">
        <f>AND(Шахм!X148,"AAAAAFh471c=")</f>
        <v>#VALUE!</v>
      </c>
      <c r="CK22" t="e">
        <f>AND(Шахм!Y148,"AAAAAFh471g=")</f>
        <v>#VALUE!</v>
      </c>
      <c r="CL22" t="e">
        <f>AND(Шахм!Z148,"AAAAAFh471k=")</f>
        <v>#VALUE!</v>
      </c>
      <c r="CM22" t="e">
        <f>AND(Шахм!AA148,"AAAAAFh471o=")</f>
        <v>#VALUE!</v>
      </c>
      <c r="CN22" t="e">
        <f>AND(Шахм!AB148,"AAAAAFh471s=")</f>
        <v>#VALUE!</v>
      </c>
      <c r="CO22" t="e">
        <f>AND(Шахм!AC148,"AAAAAFh471w=")</f>
        <v>#VALUE!</v>
      </c>
      <c r="CP22" t="e">
        <f>AND(Шахм!AD148,"AAAAAFh4710=")</f>
        <v>#VALUE!</v>
      </c>
      <c r="CQ22" t="e">
        <f>AND(Шахм!AE148,"AAAAAFh4714=")</f>
        <v>#VALUE!</v>
      </c>
      <c r="CR22" t="e">
        <f>AND(Шахм!AF148,"AAAAAFh4718=")</f>
        <v>#VALUE!</v>
      </c>
      <c r="CS22" t="e">
        <f>AND(Шахм!AG148,"AAAAAFh472A=")</f>
        <v>#VALUE!</v>
      </c>
      <c r="CT22" t="e">
        <f>AND(Шахм!AH148,"AAAAAFh472E=")</f>
        <v>#VALUE!</v>
      </c>
      <c r="CU22" t="e">
        <f>AND(Шахм!AI148,"AAAAAFh472I=")</f>
        <v>#VALUE!</v>
      </c>
      <c r="CV22" t="e">
        <f>AND(Шахм!AJ148,"AAAAAFh472M=")</f>
        <v>#VALUE!</v>
      </c>
      <c r="CW22">
        <f>IF(Шахм!149:149,"AAAAAFh472Q=",0)</f>
        <v>0</v>
      </c>
      <c r="CX22" t="e">
        <f>AND(Шахм!A149,"AAAAAFh472U=")</f>
        <v>#VALUE!</v>
      </c>
      <c r="CY22" t="e">
        <f>AND(Шахм!B149,"AAAAAFh472Y=")</f>
        <v>#VALUE!</v>
      </c>
      <c r="CZ22" t="e">
        <f>AND(Шахм!C149,"AAAAAFh472c=")</f>
        <v>#VALUE!</v>
      </c>
      <c r="DA22" t="e">
        <f>AND(Шахм!D149,"AAAAAFh472g=")</f>
        <v>#VALUE!</v>
      </c>
      <c r="DB22" t="e">
        <f>AND(Шахм!E149,"AAAAAFh472k=")</f>
        <v>#VALUE!</v>
      </c>
      <c r="DC22" t="e">
        <f>AND(Шахм!F149,"AAAAAFh472o=")</f>
        <v>#VALUE!</v>
      </c>
      <c r="DD22" t="e">
        <f>AND(Шахм!G149,"AAAAAFh472s=")</f>
        <v>#VALUE!</v>
      </c>
      <c r="DE22" t="e">
        <f>AND(Шахм!H149,"AAAAAFh472w=")</f>
        <v>#VALUE!</v>
      </c>
      <c r="DF22" t="e">
        <f>AND(Шахм!I149,"AAAAAFh4720=")</f>
        <v>#VALUE!</v>
      </c>
      <c r="DG22" t="e">
        <f>AND(Шахм!J149,"AAAAAFh4724=")</f>
        <v>#VALUE!</v>
      </c>
      <c r="DH22" t="e">
        <f>AND(Шахм!K149,"AAAAAFh4728=")</f>
        <v>#VALUE!</v>
      </c>
      <c r="DI22" t="e">
        <f>AND(Шахм!L149,"AAAAAFh473A=")</f>
        <v>#VALUE!</v>
      </c>
      <c r="DJ22" t="e">
        <f>AND(Шахм!M149,"AAAAAFh473E=")</f>
        <v>#VALUE!</v>
      </c>
      <c r="DK22" t="e">
        <f>AND(Шахм!N149,"AAAAAFh473I=")</f>
        <v>#VALUE!</v>
      </c>
      <c r="DL22" t="e">
        <f>AND(Шахм!O149,"AAAAAFh473M=")</f>
        <v>#VALUE!</v>
      </c>
      <c r="DM22" t="e">
        <f>AND(Шахм!P149,"AAAAAFh473Q=")</f>
        <v>#VALUE!</v>
      </c>
      <c r="DN22" t="e">
        <f>AND(Шахм!Q149,"AAAAAFh473U=")</f>
        <v>#VALUE!</v>
      </c>
      <c r="DO22" t="e">
        <f>AND(Шахм!R149,"AAAAAFh473Y=")</f>
        <v>#VALUE!</v>
      </c>
      <c r="DP22" t="e">
        <f>AND(Шахм!S149,"AAAAAFh473c=")</f>
        <v>#VALUE!</v>
      </c>
      <c r="DQ22" t="e">
        <f>AND(Шахм!T149,"AAAAAFh473g=")</f>
        <v>#VALUE!</v>
      </c>
      <c r="DR22" t="e">
        <f>AND(Шахм!U149,"AAAAAFh473k=")</f>
        <v>#VALUE!</v>
      </c>
      <c r="DS22" t="e">
        <f>AND(Шахм!V149,"AAAAAFh473o=")</f>
        <v>#VALUE!</v>
      </c>
      <c r="DT22" t="e">
        <f>AND(Шахм!W149,"AAAAAFh473s=")</f>
        <v>#VALUE!</v>
      </c>
      <c r="DU22" t="e">
        <f>AND(Шахм!X149,"AAAAAFh473w=")</f>
        <v>#VALUE!</v>
      </c>
      <c r="DV22" t="e">
        <f>AND(Шахм!Y149,"AAAAAFh4730=")</f>
        <v>#VALUE!</v>
      </c>
      <c r="DW22" t="e">
        <f>AND(Шахм!Z149,"AAAAAFh4734=")</f>
        <v>#VALUE!</v>
      </c>
      <c r="DX22" t="e">
        <f>AND(Шахм!AA149,"AAAAAFh4738=")</f>
        <v>#VALUE!</v>
      </c>
      <c r="DY22" t="e">
        <f>AND(Шахм!AB149,"AAAAAFh474A=")</f>
        <v>#VALUE!</v>
      </c>
      <c r="DZ22" t="e">
        <f>AND(Шахм!AC149,"AAAAAFh474E=")</f>
        <v>#VALUE!</v>
      </c>
      <c r="EA22" t="e">
        <f>AND(Шахм!AD149,"AAAAAFh474I=")</f>
        <v>#VALUE!</v>
      </c>
      <c r="EB22" t="e">
        <f>AND(Шахм!AE149,"AAAAAFh474M=")</f>
        <v>#VALUE!</v>
      </c>
      <c r="EC22" t="e">
        <f>AND(Шахм!AF149,"AAAAAFh474Q=")</f>
        <v>#VALUE!</v>
      </c>
      <c r="ED22" t="e">
        <f>AND(Шахм!AG149,"AAAAAFh474U=")</f>
        <v>#VALUE!</v>
      </c>
      <c r="EE22" t="e">
        <f>AND(Шахм!AH149,"AAAAAFh474Y=")</f>
        <v>#VALUE!</v>
      </c>
      <c r="EF22" t="e">
        <f>AND(Шахм!AI149,"AAAAAFh474c=")</f>
        <v>#VALUE!</v>
      </c>
      <c r="EG22" t="e">
        <f>AND(Шахм!AJ149,"AAAAAFh474g=")</f>
        <v>#VALUE!</v>
      </c>
      <c r="EH22">
        <f>IF(Шахм!150:150,"AAAAAFh474k=",0)</f>
        <v>0</v>
      </c>
      <c r="EI22" t="e">
        <f>AND(Шахм!A150,"AAAAAFh474o=")</f>
        <v>#VALUE!</v>
      </c>
      <c r="EJ22" t="e">
        <f>AND(Шахм!B150,"AAAAAFh474s=")</f>
        <v>#VALUE!</v>
      </c>
      <c r="EK22" t="e">
        <f>AND(Шахм!C150,"AAAAAFh474w=")</f>
        <v>#VALUE!</v>
      </c>
      <c r="EL22" t="e">
        <f>AND(Шахм!D150,"AAAAAFh4740=")</f>
        <v>#VALUE!</v>
      </c>
      <c r="EM22" t="e">
        <f>AND(Шахм!E150,"AAAAAFh4744=")</f>
        <v>#VALUE!</v>
      </c>
      <c r="EN22" t="e">
        <f>AND(Шахм!F150,"AAAAAFh4748=")</f>
        <v>#VALUE!</v>
      </c>
      <c r="EO22" t="e">
        <f>AND(Шахм!G150,"AAAAAFh475A=")</f>
        <v>#VALUE!</v>
      </c>
      <c r="EP22" t="e">
        <f>AND(Шахм!H150,"AAAAAFh475E=")</f>
        <v>#VALUE!</v>
      </c>
      <c r="EQ22" t="e">
        <f>AND(Шахм!I150,"AAAAAFh475I=")</f>
        <v>#VALUE!</v>
      </c>
      <c r="ER22" t="e">
        <f>AND(Шахм!J150,"AAAAAFh475M=")</f>
        <v>#VALUE!</v>
      </c>
      <c r="ES22" t="e">
        <f>AND(Шахм!K150,"AAAAAFh475Q=")</f>
        <v>#VALUE!</v>
      </c>
      <c r="ET22" t="e">
        <f>AND(Шахм!L150,"AAAAAFh475U=")</f>
        <v>#VALUE!</v>
      </c>
      <c r="EU22" t="e">
        <f>AND(Шахм!M150,"AAAAAFh475Y=")</f>
        <v>#VALUE!</v>
      </c>
      <c r="EV22" t="e">
        <f>AND(Шахм!N150,"AAAAAFh475c=")</f>
        <v>#VALUE!</v>
      </c>
      <c r="EW22" t="e">
        <f>AND(Шахм!O150,"AAAAAFh475g=")</f>
        <v>#VALUE!</v>
      </c>
      <c r="EX22" t="e">
        <f>AND(Шахм!P150,"AAAAAFh475k=")</f>
        <v>#VALUE!</v>
      </c>
      <c r="EY22" t="e">
        <f>AND(Шахм!Q150,"AAAAAFh475o=")</f>
        <v>#VALUE!</v>
      </c>
      <c r="EZ22" t="e">
        <f>AND(Шахм!R150,"AAAAAFh475s=")</f>
        <v>#VALUE!</v>
      </c>
      <c r="FA22" t="e">
        <f>AND(Шахм!S150,"AAAAAFh475w=")</f>
        <v>#VALUE!</v>
      </c>
      <c r="FB22" t="e">
        <f>AND(Шахм!T150,"AAAAAFh4750=")</f>
        <v>#VALUE!</v>
      </c>
      <c r="FC22" t="e">
        <f>AND(Шахм!U150,"AAAAAFh4754=")</f>
        <v>#VALUE!</v>
      </c>
      <c r="FD22" t="e">
        <f>AND(Шахм!V150,"AAAAAFh4758=")</f>
        <v>#VALUE!</v>
      </c>
      <c r="FE22" t="e">
        <f>AND(Шахм!W150,"AAAAAFh476A=")</f>
        <v>#VALUE!</v>
      </c>
      <c r="FF22" t="e">
        <f>AND(Шахм!X150,"AAAAAFh476E=")</f>
        <v>#VALUE!</v>
      </c>
      <c r="FG22" t="e">
        <f>AND(Шахм!Y150,"AAAAAFh476I=")</f>
        <v>#VALUE!</v>
      </c>
      <c r="FH22" t="e">
        <f>AND(Шахм!Z150,"AAAAAFh476M=")</f>
        <v>#VALUE!</v>
      </c>
      <c r="FI22" t="e">
        <f>AND(Шахм!AA150,"AAAAAFh476Q=")</f>
        <v>#VALUE!</v>
      </c>
      <c r="FJ22" t="e">
        <f>AND(Шахм!AB150,"AAAAAFh476U=")</f>
        <v>#VALUE!</v>
      </c>
      <c r="FK22" t="e">
        <f>AND(Шахм!AC150,"AAAAAFh476Y=")</f>
        <v>#VALUE!</v>
      </c>
      <c r="FL22" t="e">
        <f>AND(Шахм!AD150,"AAAAAFh476c=")</f>
        <v>#VALUE!</v>
      </c>
      <c r="FM22" t="e">
        <f>AND(Шахм!AE150,"AAAAAFh476g=")</f>
        <v>#VALUE!</v>
      </c>
      <c r="FN22" t="e">
        <f>AND(Шахм!AF150,"AAAAAFh476k=")</f>
        <v>#VALUE!</v>
      </c>
      <c r="FO22" t="e">
        <f>AND(Шахм!AG150,"AAAAAFh476o=")</f>
        <v>#VALUE!</v>
      </c>
      <c r="FP22" t="e">
        <f>AND(Шахм!AH150,"AAAAAFh476s=")</f>
        <v>#VALUE!</v>
      </c>
      <c r="FQ22" t="e">
        <f>AND(Шахм!AI150,"AAAAAFh476w=")</f>
        <v>#VALUE!</v>
      </c>
      <c r="FR22" t="e">
        <f>AND(Шахм!AJ150,"AAAAAFh4760=")</f>
        <v>#VALUE!</v>
      </c>
      <c r="FS22">
        <f>IF(Шахм!151:151,"AAAAAFh4764=",0)</f>
        <v>0</v>
      </c>
      <c r="FT22" t="e">
        <f>AND(Шахм!A151,"AAAAAFh4768=")</f>
        <v>#VALUE!</v>
      </c>
      <c r="FU22" t="e">
        <f>AND(Шахм!B151,"AAAAAFh477A=")</f>
        <v>#VALUE!</v>
      </c>
      <c r="FV22" t="e">
        <f>AND(Шахм!C151,"AAAAAFh477E=")</f>
        <v>#VALUE!</v>
      </c>
      <c r="FW22" t="e">
        <f>AND(Шахм!D151,"AAAAAFh477I=")</f>
        <v>#VALUE!</v>
      </c>
      <c r="FX22" t="e">
        <f>AND(Шахм!E151,"AAAAAFh477M=")</f>
        <v>#VALUE!</v>
      </c>
      <c r="FY22" t="e">
        <f>AND(Шахм!F151,"AAAAAFh477Q=")</f>
        <v>#VALUE!</v>
      </c>
      <c r="FZ22" t="e">
        <f>AND(Шахм!G151,"AAAAAFh477U=")</f>
        <v>#VALUE!</v>
      </c>
      <c r="GA22" t="e">
        <f>AND(Шахм!H151,"AAAAAFh477Y=")</f>
        <v>#VALUE!</v>
      </c>
      <c r="GB22" t="e">
        <f>AND(Шахм!I151,"AAAAAFh477c=")</f>
        <v>#VALUE!</v>
      </c>
      <c r="GC22" t="e">
        <f>AND(Шахм!J151,"AAAAAFh477g=")</f>
        <v>#VALUE!</v>
      </c>
      <c r="GD22" t="e">
        <f>AND(Шахм!K151,"AAAAAFh477k=")</f>
        <v>#VALUE!</v>
      </c>
      <c r="GE22" t="e">
        <f>AND(Шахм!L151,"AAAAAFh477o=")</f>
        <v>#VALUE!</v>
      </c>
      <c r="GF22" t="e">
        <f>AND(Шахм!M151,"AAAAAFh477s=")</f>
        <v>#VALUE!</v>
      </c>
      <c r="GG22" t="e">
        <f>AND(Шахм!N151,"AAAAAFh477w=")</f>
        <v>#VALUE!</v>
      </c>
      <c r="GH22" t="e">
        <f>AND(Шахм!O151,"AAAAAFh4770=")</f>
        <v>#VALUE!</v>
      </c>
      <c r="GI22" t="e">
        <f>AND(Шахм!P151,"AAAAAFh4774=")</f>
        <v>#VALUE!</v>
      </c>
      <c r="GJ22" t="e">
        <f>AND(Шахм!Q151,"AAAAAFh4778=")</f>
        <v>#VALUE!</v>
      </c>
      <c r="GK22" t="e">
        <f>AND(Шахм!R151,"AAAAAFh478A=")</f>
        <v>#VALUE!</v>
      </c>
      <c r="GL22" t="e">
        <f>AND(Шахм!S151,"AAAAAFh478E=")</f>
        <v>#VALUE!</v>
      </c>
      <c r="GM22" t="e">
        <f>AND(Шахм!T151,"AAAAAFh478I=")</f>
        <v>#VALUE!</v>
      </c>
      <c r="GN22" t="e">
        <f>AND(Шахм!U151,"AAAAAFh478M=")</f>
        <v>#VALUE!</v>
      </c>
      <c r="GO22" t="e">
        <f>AND(Шахм!V151,"AAAAAFh478Q=")</f>
        <v>#VALUE!</v>
      </c>
      <c r="GP22" t="e">
        <f>AND(Шахм!W151,"AAAAAFh478U=")</f>
        <v>#VALUE!</v>
      </c>
      <c r="GQ22" t="e">
        <f>AND(Шахм!X151,"AAAAAFh478Y=")</f>
        <v>#VALUE!</v>
      </c>
      <c r="GR22" t="e">
        <f>AND(Шахм!Y151,"AAAAAFh478c=")</f>
        <v>#VALUE!</v>
      </c>
      <c r="GS22" t="e">
        <f>AND(Шахм!Z151,"AAAAAFh478g=")</f>
        <v>#VALUE!</v>
      </c>
      <c r="GT22" t="e">
        <f>AND(Шахм!AA151,"AAAAAFh478k=")</f>
        <v>#VALUE!</v>
      </c>
      <c r="GU22" t="e">
        <f>AND(Шахм!AB151,"AAAAAFh478o=")</f>
        <v>#VALUE!</v>
      </c>
      <c r="GV22" t="e">
        <f>AND(Шахм!AC151,"AAAAAFh478s=")</f>
        <v>#VALUE!</v>
      </c>
      <c r="GW22" t="e">
        <f>AND(Шахм!AD151,"AAAAAFh478w=")</f>
        <v>#VALUE!</v>
      </c>
      <c r="GX22" t="e">
        <f>AND(Шахм!AE151,"AAAAAFh4780=")</f>
        <v>#VALUE!</v>
      </c>
      <c r="GY22" t="e">
        <f>AND(Шахм!AF151,"AAAAAFh4784=")</f>
        <v>#VALUE!</v>
      </c>
      <c r="GZ22" t="e">
        <f>AND(Шахм!AG151,"AAAAAFh4788=")</f>
        <v>#VALUE!</v>
      </c>
      <c r="HA22" t="e">
        <f>AND(Шахм!AH151,"AAAAAFh479A=")</f>
        <v>#VALUE!</v>
      </c>
      <c r="HB22" t="e">
        <f>AND(Шахм!AI151,"AAAAAFh479E=")</f>
        <v>#VALUE!</v>
      </c>
      <c r="HC22" t="e">
        <f>AND(Шахм!AJ151,"AAAAAFh479I=")</f>
        <v>#VALUE!</v>
      </c>
      <c r="HD22">
        <f>IF(Шахм!152:152,"AAAAAFh479M=",0)</f>
        <v>0</v>
      </c>
      <c r="HE22" t="e">
        <f>AND(Шахм!A152,"AAAAAFh479Q=")</f>
        <v>#VALUE!</v>
      </c>
      <c r="HF22" t="e">
        <f>AND(Шахм!B152,"AAAAAFh479U=")</f>
        <v>#VALUE!</v>
      </c>
      <c r="HG22" t="e">
        <f>AND(Шахм!C152,"AAAAAFh479Y=")</f>
        <v>#VALUE!</v>
      </c>
      <c r="HH22" t="e">
        <f>AND(Шахм!D152,"AAAAAFh479c=")</f>
        <v>#VALUE!</v>
      </c>
      <c r="HI22" t="e">
        <f>AND(Шахм!E152,"AAAAAFh479g=")</f>
        <v>#VALUE!</v>
      </c>
      <c r="HJ22" t="e">
        <f>AND(Шахм!F152,"AAAAAFh479k=")</f>
        <v>#VALUE!</v>
      </c>
      <c r="HK22" t="e">
        <f>AND(Шахм!G152,"AAAAAFh479o=")</f>
        <v>#VALUE!</v>
      </c>
      <c r="HL22" t="e">
        <f>AND(Шахм!H152,"AAAAAFh479s=")</f>
        <v>#VALUE!</v>
      </c>
      <c r="HM22" t="e">
        <f>AND(Шахм!I152,"AAAAAFh479w=")</f>
        <v>#VALUE!</v>
      </c>
      <c r="HN22" t="e">
        <f>AND(Шахм!J152,"AAAAAFh4790=")</f>
        <v>#VALUE!</v>
      </c>
      <c r="HO22" t="e">
        <f>AND(Шахм!K152,"AAAAAFh4794=")</f>
        <v>#VALUE!</v>
      </c>
      <c r="HP22" t="e">
        <f>AND(Шахм!L152,"AAAAAFh4798=")</f>
        <v>#VALUE!</v>
      </c>
      <c r="HQ22" t="e">
        <f>AND(Шахм!M152,"AAAAAFh47+A=")</f>
        <v>#VALUE!</v>
      </c>
      <c r="HR22" t="e">
        <f>AND(Шахм!N152,"AAAAAFh47+E=")</f>
        <v>#VALUE!</v>
      </c>
      <c r="HS22" t="e">
        <f>AND(Шахм!O152,"AAAAAFh47+I=")</f>
        <v>#VALUE!</v>
      </c>
      <c r="HT22" t="e">
        <f>AND(Шахм!P152,"AAAAAFh47+M=")</f>
        <v>#VALUE!</v>
      </c>
      <c r="HU22" t="e">
        <f>AND(Шахм!Q152,"AAAAAFh47+Q=")</f>
        <v>#VALUE!</v>
      </c>
      <c r="HV22" t="e">
        <f>AND(Шахм!R152,"AAAAAFh47+U=")</f>
        <v>#VALUE!</v>
      </c>
      <c r="HW22" t="e">
        <f>AND(Шахм!S152,"AAAAAFh47+Y=")</f>
        <v>#VALUE!</v>
      </c>
      <c r="HX22" t="e">
        <f>AND(Шахм!T152,"AAAAAFh47+c=")</f>
        <v>#VALUE!</v>
      </c>
      <c r="HY22" t="e">
        <f>AND(Шахм!U152,"AAAAAFh47+g=")</f>
        <v>#VALUE!</v>
      </c>
      <c r="HZ22" t="e">
        <f>AND(Шахм!V152,"AAAAAFh47+k=")</f>
        <v>#VALUE!</v>
      </c>
      <c r="IA22" t="e">
        <f>AND(Шахм!W152,"AAAAAFh47+o=")</f>
        <v>#VALUE!</v>
      </c>
      <c r="IB22" t="e">
        <f>AND(Шахм!X152,"AAAAAFh47+s=")</f>
        <v>#VALUE!</v>
      </c>
      <c r="IC22" t="e">
        <f>AND(Шахм!Y152,"AAAAAFh47+w=")</f>
        <v>#VALUE!</v>
      </c>
      <c r="ID22" t="e">
        <f>AND(Шахм!Z152,"AAAAAFh47+0=")</f>
        <v>#VALUE!</v>
      </c>
      <c r="IE22" t="e">
        <f>AND(Шахм!AA152,"AAAAAFh47+4=")</f>
        <v>#VALUE!</v>
      </c>
      <c r="IF22" t="e">
        <f>AND(Шахм!AB152,"AAAAAFh47+8=")</f>
        <v>#VALUE!</v>
      </c>
      <c r="IG22" t="e">
        <f>AND(Шахм!AC152,"AAAAAFh47/A=")</f>
        <v>#VALUE!</v>
      </c>
      <c r="IH22" t="e">
        <f>AND(Шахм!AD152,"AAAAAFh47/E=")</f>
        <v>#VALUE!</v>
      </c>
      <c r="II22" t="e">
        <f>AND(Шахм!AE152,"AAAAAFh47/I=")</f>
        <v>#VALUE!</v>
      </c>
      <c r="IJ22" t="e">
        <f>AND(Шахм!AF152,"AAAAAFh47/M=")</f>
        <v>#VALUE!</v>
      </c>
      <c r="IK22" t="e">
        <f>AND(Шахм!AG152,"AAAAAFh47/Q=")</f>
        <v>#VALUE!</v>
      </c>
      <c r="IL22" t="e">
        <f>AND(Шахм!AH152,"AAAAAFh47/U=")</f>
        <v>#VALUE!</v>
      </c>
      <c r="IM22" t="e">
        <f>AND(Шахм!AI152,"AAAAAFh47/Y=")</f>
        <v>#VALUE!</v>
      </c>
      <c r="IN22" t="e">
        <f>AND(Шахм!AJ152,"AAAAAFh47/c=")</f>
        <v>#VALUE!</v>
      </c>
      <c r="IO22">
        <f>IF(Шахм!153:153,"AAAAAFh47/g=",0)</f>
        <v>0</v>
      </c>
      <c r="IP22" t="e">
        <f>AND(Шахм!A153,"AAAAAFh47/k=")</f>
        <v>#VALUE!</v>
      </c>
      <c r="IQ22" t="e">
        <f>AND(Шахм!B153,"AAAAAFh47/o=")</f>
        <v>#VALUE!</v>
      </c>
      <c r="IR22" t="e">
        <f>AND(Шахм!C153,"AAAAAFh47/s=")</f>
        <v>#VALUE!</v>
      </c>
      <c r="IS22" t="e">
        <f>AND(Шахм!D153,"AAAAAFh47/w=")</f>
        <v>#VALUE!</v>
      </c>
      <c r="IT22" t="e">
        <f>AND(Шахм!E153,"AAAAAFh47/0=")</f>
        <v>#VALUE!</v>
      </c>
      <c r="IU22" t="e">
        <f>AND(Шахм!F153,"AAAAAFh47/4=")</f>
        <v>#VALUE!</v>
      </c>
      <c r="IV22" t="e">
        <f>AND(Шахм!G153,"AAAAAFh47/8=")</f>
        <v>#VALUE!</v>
      </c>
    </row>
    <row r="23" spans="1:256">
      <c r="A23" t="e">
        <f>AND(Шахм!H153,"AAAAAB34dAA=")</f>
        <v>#VALUE!</v>
      </c>
      <c r="B23" t="e">
        <f>AND(Шахм!I153,"AAAAAB34dAE=")</f>
        <v>#VALUE!</v>
      </c>
      <c r="C23" t="e">
        <f>AND(Шахм!J153,"AAAAAB34dAI=")</f>
        <v>#VALUE!</v>
      </c>
      <c r="D23" t="e">
        <f>AND(Шахм!K153,"AAAAAB34dAM=")</f>
        <v>#VALUE!</v>
      </c>
      <c r="E23" t="e">
        <f>AND(Шахм!L153,"AAAAAB34dAQ=")</f>
        <v>#VALUE!</v>
      </c>
      <c r="F23" t="e">
        <f>AND(Шахм!M153,"AAAAAB34dAU=")</f>
        <v>#VALUE!</v>
      </c>
      <c r="G23" t="e">
        <f>AND(Шахм!N153,"AAAAAB34dAY=")</f>
        <v>#VALUE!</v>
      </c>
      <c r="H23" t="e">
        <f>AND(Шахм!O153,"AAAAAB34dAc=")</f>
        <v>#VALUE!</v>
      </c>
      <c r="I23" t="e">
        <f>AND(Шахм!P153,"AAAAAB34dAg=")</f>
        <v>#VALUE!</v>
      </c>
      <c r="J23" t="e">
        <f>AND(Шахм!Q153,"AAAAAB34dAk=")</f>
        <v>#VALUE!</v>
      </c>
      <c r="K23" t="e">
        <f>AND(Шахм!R153,"AAAAAB34dAo=")</f>
        <v>#VALUE!</v>
      </c>
      <c r="L23" t="e">
        <f>AND(Шахм!S153,"AAAAAB34dAs=")</f>
        <v>#VALUE!</v>
      </c>
      <c r="M23" t="e">
        <f>AND(Шахм!T153,"AAAAAB34dAw=")</f>
        <v>#VALUE!</v>
      </c>
      <c r="N23" t="e">
        <f>AND(Шахм!U153,"AAAAAB34dA0=")</f>
        <v>#VALUE!</v>
      </c>
      <c r="O23" t="e">
        <f>AND(Шахм!V153,"AAAAAB34dA4=")</f>
        <v>#VALUE!</v>
      </c>
      <c r="P23" t="e">
        <f>AND(Шахм!W153,"AAAAAB34dA8=")</f>
        <v>#VALUE!</v>
      </c>
      <c r="Q23" t="e">
        <f>AND(Шахм!X153,"AAAAAB34dBA=")</f>
        <v>#VALUE!</v>
      </c>
      <c r="R23" t="e">
        <f>AND(Шахм!Y153,"AAAAAB34dBE=")</f>
        <v>#VALUE!</v>
      </c>
      <c r="S23" t="e">
        <f>AND(Шахм!Z153,"AAAAAB34dBI=")</f>
        <v>#VALUE!</v>
      </c>
      <c r="T23" t="e">
        <f>AND(Шахм!AA153,"AAAAAB34dBM=")</f>
        <v>#VALUE!</v>
      </c>
      <c r="U23" t="e">
        <f>AND(Шахм!AB153,"AAAAAB34dBQ=")</f>
        <v>#VALUE!</v>
      </c>
      <c r="V23" t="e">
        <f>AND(Шахм!AC153,"AAAAAB34dBU=")</f>
        <v>#VALUE!</v>
      </c>
      <c r="W23" t="e">
        <f>AND(Шахм!AD153,"AAAAAB34dBY=")</f>
        <v>#VALUE!</v>
      </c>
      <c r="X23" t="e">
        <f>AND(Шахм!AE153,"AAAAAB34dBc=")</f>
        <v>#VALUE!</v>
      </c>
      <c r="Y23" t="e">
        <f>AND(Шахм!AF153,"AAAAAB34dBg=")</f>
        <v>#VALUE!</v>
      </c>
      <c r="Z23" t="e">
        <f>AND(Шахм!AG153,"AAAAAB34dBk=")</f>
        <v>#VALUE!</v>
      </c>
      <c r="AA23" t="e">
        <f>AND(Шахм!AH153,"AAAAAB34dBo=")</f>
        <v>#VALUE!</v>
      </c>
      <c r="AB23" t="e">
        <f>AND(Шахм!AI153,"AAAAAB34dBs=")</f>
        <v>#VALUE!</v>
      </c>
      <c r="AC23" t="e">
        <f>AND(Шахм!AJ153,"AAAAAB34dBw=")</f>
        <v>#VALUE!</v>
      </c>
      <c r="AD23">
        <f>IF(Шахм!154:154,"AAAAAB34dB0=",0)</f>
        <v>0</v>
      </c>
      <c r="AE23" t="e">
        <f>AND(Шахм!A154,"AAAAAB34dB4=")</f>
        <v>#VALUE!</v>
      </c>
      <c r="AF23" t="e">
        <f>AND(Шахм!B154,"AAAAAB34dB8=")</f>
        <v>#VALUE!</v>
      </c>
      <c r="AG23" t="e">
        <f>AND(Шахм!C154,"AAAAAB34dCA=")</f>
        <v>#VALUE!</v>
      </c>
      <c r="AH23" t="e">
        <f>AND(Шахм!D154,"AAAAAB34dCE=")</f>
        <v>#VALUE!</v>
      </c>
      <c r="AI23" t="e">
        <f>AND(Шахм!E154,"AAAAAB34dCI=")</f>
        <v>#VALUE!</v>
      </c>
      <c r="AJ23" t="e">
        <f>AND(Шахм!F154,"AAAAAB34dCM=")</f>
        <v>#VALUE!</v>
      </c>
      <c r="AK23" t="e">
        <f>AND(Шахм!G154,"AAAAAB34dCQ=")</f>
        <v>#VALUE!</v>
      </c>
      <c r="AL23" t="e">
        <f>AND(Шахм!H154,"AAAAAB34dCU=")</f>
        <v>#VALUE!</v>
      </c>
      <c r="AM23" t="e">
        <f>AND(Шахм!I154,"AAAAAB34dCY=")</f>
        <v>#VALUE!</v>
      </c>
      <c r="AN23" t="e">
        <f>AND(Шахм!J154,"AAAAAB34dCc=")</f>
        <v>#VALUE!</v>
      </c>
      <c r="AO23" t="e">
        <f>AND(Шахм!K154,"AAAAAB34dCg=")</f>
        <v>#VALUE!</v>
      </c>
      <c r="AP23" t="e">
        <f>AND(Шахм!L154,"AAAAAB34dCk=")</f>
        <v>#VALUE!</v>
      </c>
      <c r="AQ23" t="e">
        <f>AND(Шахм!M154,"AAAAAB34dCo=")</f>
        <v>#VALUE!</v>
      </c>
      <c r="AR23" t="e">
        <f>AND(Шахм!N154,"AAAAAB34dCs=")</f>
        <v>#VALUE!</v>
      </c>
      <c r="AS23" t="e">
        <f>AND(Шахм!O154,"AAAAAB34dCw=")</f>
        <v>#VALUE!</v>
      </c>
      <c r="AT23" t="e">
        <f>AND(Шахм!P154,"AAAAAB34dC0=")</f>
        <v>#VALUE!</v>
      </c>
      <c r="AU23" t="e">
        <f>AND(Шахм!Q154,"AAAAAB34dC4=")</f>
        <v>#VALUE!</v>
      </c>
      <c r="AV23" t="e">
        <f>AND(Шахм!R154,"AAAAAB34dC8=")</f>
        <v>#VALUE!</v>
      </c>
      <c r="AW23" t="e">
        <f>AND(Шахм!S154,"AAAAAB34dDA=")</f>
        <v>#VALUE!</v>
      </c>
      <c r="AX23" t="e">
        <f>AND(Шахм!T154,"AAAAAB34dDE=")</f>
        <v>#VALUE!</v>
      </c>
      <c r="AY23" t="e">
        <f>AND(Шахм!U154,"AAAAAB34dDI=")</f>
        <v>#VALUE!</v>
      </c>
      <c r="AZ23" t="e">
        <f>AND(Шахм!V154,"AAAAAB34dDM=")</f>
        <v>#VALUE!</v>
      </c>
      <c r="BA23" t="e">
        <f>AND(Шахм!W154,"AAAAAB34dDQ=")</f>
        <v>#VALUE!</v>
      </c>
      <c r="BB23" t="e">
        <f>AND(Шахм!X154,"AAAAAB34dDU=")</f>
        <v>#VALUE!</v>
      </c>
      <c r="BC23" t="e">
        <f>AND(Шахм!Y154,"AAAAAB34dDY=")</f>
        <v>#VALUE!</v>
      </c>
      <c r="BD23" t="e">
        <f>AND(Шахм!Z154,"AAAAAB34dDc=")</f>
        <v>#VALUE!</v>
      </c>
      <c r="BE23" t="e">
        <f>AND(Шахм!AA154,"AAAAAB34dDg=")</f>
        <v>#VALUE!</v>
      </c>
      <c r="BF23" t="e">
        <f>AND(Шахм!AB154,"AAAAAB34dDk=")</f>
        <v>#VALUE!</v>
      </c>
      <c r="BG23" t="e">
        <f>AND(Шахм!AC154,"AAAAAB34dDo=")</f>
        <v>#VALUE!</v>
      </c>
      <c r="BH23" t="e">
        <f>AND(Шахм!AD154,"AAAAAB34dDs=")</f>
        <v>#VALUE!</v>
      </c>
      <c r="BI23" t="e">
        <f>AND(Шахм!AE154,"AAAAAB34dDw=")</f>
        <v>#VALUE!</v>
      </c>
      <c r="BJ23" t="e">
        <f>AND(Шахм!AF154,"AAAAAB34dD0=")</f>
        <v>#VALUE!</v>
      </c>
      <c r="BK23" t="e">
        <f>AND(Шахм!AG154,"AAAAAB34dD4=")</f>
        <v>#VALUE!</v>
      </c>
      <c r="BL23" t="e">
        <f>AND(Шахм!AH154,"AAAAAB34dD8=")</f>
        <v>#VALUE!</v>
      </c>
      <c r="BM23" t="e">
        <f>AND(Шахм!AI154,"AAAAAB34dEA=")</f>
        <v>#VALUE!</v>
      </c>
      <c r="BN23" t="e">
        <f>AND(Шахм!AJ154,"AAAAAB34dEE=")</f>
        <v>#VALUE!</v>
      </c>
      <c r="BO23">
        <f>IF(Шахм!155:155,"AAAAAB34dEI=",0)</f>
        <v>0</v>
      </c>
      <c r="BP23" t="e">
        <f>AND(Шахм!A155,"AAAAAB34dEM=")</f>
        <v>#VALUE!</v>
      </c>
      <c r="BQ23" t="e">
        <f>AND(Шахм!B155,"AAAAAB34dEQ=")</f>
        <v>#VALUE!</v>
      </c>
      <c r="BR23" t="e">
        <f>AND(Шахм!C155,"AAAAAB34dEU=")</f>
        <v>#VALUE!</v>
      </c>
      <c r="BS23" t="e">
        <f>AND(Шахм!D155,"AAAAAB34dEY=")</f>
        <v>#VALUE!</v>
      </c>
      <c r="BT23" t="e">
        <f>AND(Шахм!E155,"AAAAAB34dEc=")</f>
        <v>#VALUE!</v>
      </c>
      <c r="BU23" t="e">
        <f>AND(Шахм!F155,"AAAAAB34dEg=")</f>
        <v>#VALUE!</v>
      </c>
      <c r="BV23" t="e">
        <f>AND(Шахм!G155,"AAAAAB34dEk=")</f>
        <v>#VALUE!</v>
      </c>
      <c r="BW23" t="e">
        <f>AND(Шахм!H155,"AAAAAB34dEo=")</f>
        <v>#VALUE!</v>
      </c>
      <c r="BX23" t="e">
        <f>AND(Шахм!I155,"AAAAAB34dEs=")</f>
        <v>#VALUE!</v>
      </c>
      <c r="BY23" t="e">
        <f>AND(Шахм!J155,"AAAAAB34dEw=")</f>
        <v>#VALUE!</v>
      </c>
      <c r="BZ23" t="e">
        <f>AND(Шахм!K155,"AAAAAB34dE0=")</f>
        <v>#VALUE!</v>
      </c>
      <c r="CA23" t="e">
        <f>AND(Шахм!L155,"AAAAAB34dE4=")</f>
        <v>#VALUE!</v>
      </c>
      <c r="CB23" t="e">
        <f>AND(Шахм!M155,"AAAAAB34dE8=")</f>
        <v>#VALUE!</v>
      </c>
      <c r="CC23" t="e">
        <f>AND(Шахм!N155,"AAAAAB34dFA=")</f>
        <v>#VALUE!</v>
      </c>
      <c r="CD23" t="e">
        <f>AND(Шахм!O155,"AAAAAB34dFE=")</f>
        <v>#VALUE!</v>
      </c>
      <c r="CE23" t="e">
        <f>AND(Шахм!P155,"AAAAAB34dFI=")</f>
        <v>#VALUE!</v>
      </c>
      <c r="CF23" t="e">
        <f>AND(Шахм!Q155,"AAAAAB34dFM=")</f>
        <v>#VALUE!</v>
      </c>
      <c r="CG23" t="e">
        <f>AND(Шахм!R155,"AAAAAB34dFQ=")</f>
        <v>#VALUE!</v>
      </c>
      <c r="CH23" t="e">
        <f>AND(Шахм!S155,"AAAAAB34dFU=")</f>
        <v>#VALUE!</v>
      </c>
      <c r="CI23" t="e">
        <f>AND(Шахм!T155,"AAAAAB34dFY=")</f>
        <v>#VALUE!</v>
      </c>
      <c r="CJ23" t="e">
        <f>AND(Шахм!U155,"AAAAAB34dFc=")</f>
        <v>#VALUE!</v>
      </c>
      <c r="CK23" t="e">
        <f>AND(Шахм!V155,"AAAAAB34dFg=")</f>
        <v>#VALUE!</v>
      </c>
      <c r="CL23" t="e">
        <f>AND(Шахм!W155,"AAAAAB34dFk=")</f>
        <v>#VALUE!</v>
      </c>
      <c r="CM23" t="e">
        <f>AND(Шахм!X155,"AAAAAB34dFo=")</f>
        <v>#VALUE!</v>
      </c>
      <c r="CN23" t="e">
        <f>AND(Шахм!Y155,"AAAAAB34dFs=")</f>
        <v>#VALUE!</v>
      </c>
      <c r="CO23" t="e">
        <f>AND(Шахм!Z155,"AAAAAB34dFw=")</f>
        <v>#VALUE!</v>
      </c>
      <c r="CP23" t="e">
        <f>AND(Шахм!AA155,"AAAAAB34dF0=")</f>
        <v>#VALUE!</v>
      </c>
      <c r="CQ23" t="e">
        <f>AND(Шахм!AB155,"AAAAAB34dF4=")</f>
        <v>#VALUE!</v>
      </c>
      <c r="CR23" t="e">
        <f>AND(Шахм!AC155,"AAAAAB34dF8=")</f>
        <v>#VALUE!</v>
      </c>
      <c r="CS23" t="e">
        <f>AND(Шахм!AD155,"AAAAAB34dGA=")</f>
        <v>#VALUE!</v>
      </c>
      <c r="CT23" t="e">
        <f>AND(Шахм!AE155,"AAAAAB34dGE=")</f>
        <v>#VALUE!</v>
      </c>
      <c r="CU23" t="e">
        <f>AND(Шахм!AF155,"AAAAAB34dGI=")</f>
        <v>#VALUE!</v>
      </c>
      <c r="CV23" t="e">
        <f>AND(Шахм!AG155,"AAAAAB34dGM=")</f>
        <v>#VALUE!</v>
      </c>
      <c r="CW23" t="e">
        <f>AND(Шахм!AH155,"AAAAAB34dGQ=")</f>
        <v>#VALUE!</v>
      </c>
      <c r="CX23" t="e">
        <f>AND(Шахм!AI155,"AAAAAB34dGU=")</f>
        <v>#VALUE!</v>
      </c>
      <c r="CY23" t="e">
        <f>AND(Шахм!AJ155,"AAAAAB34dGY=")</f>
        <v>#VALUE!</v>
      </c>
      <c r="CZ23">
        <f>IF(Шахм!156:156,"AAAAAB34dGc=",0)</f>
        <v>0</v>
      </c>
      <c r="DA23" t="e">
        <f>AND(Шахм!A156,"AAAAAB34dGg=")</f>
        <v>#VALUE!</v>
      </c>
      <c r="DB23" t="e">
        <f>AND(Шахм!B156,"AAAAAB34dGk=")</f>
        <v>#VALUE!</v>
      </c>
      <c r="DC23" t="e">
        <f>AND(Шахм!C156,"AAAAAB34dGo=")</f>
        <v>#VALUE!</v>
      </c>
      <c r="DD23" t="e">
        <f>AND(Шахм!D156,"AAAAAB34dGs=")</f>
        <v>#VALUE!</v>
      </c>
      <c r="DE23" t="e">
        <f>AND(Шахм!E156,"AAAAAB34dGw=")</f>
        <v>#VALUE!</v>
      </c>
      <c r="DF23" t="e">
        <f>AND(Шахм!F156,"AAAAAB34dG0=")</f>
        <v>#VALUE!</v>
      </c>
      <c r="DG23" t="e">
        <f>AND(Шахм!G156,"AAAAAB34dG4=")</f>
        <v>#VALUE!</v>
      </c>
      <c r="DH23" t="e">
        <f>AND(Шахм!H156,"AAAAAB34dG8=")</f>
        <v>#VALUE!</v>
      </c>
      <c r="DI23" t="e">
        <f>AND(Шахм!I156,"AAAAAB34dHA=")</f>
        <v>#VALUE!</v>
      </c>
      <c r="DJ23" t="e">
        <f>AND(Шахм!J156,"AAAAAB34dHE=")</f>
        <v>#VALUE!</v>
      </c>
      <c r="DK23" t="e">
        <f>AND(Шахм!K156,"AAAAAB34dHI=")</f>
        <v>#VALUE!</v>
      </c>
      <c r="DL23" t="e">
        <f>AND(Шахм!L156,"AAAAAB34dHM=")</f>
        <v>#VALUE!</v>
      </c>
      <c r="DM23" t="e">
        <f>AND(Шахм!M156,"AAAAAB34dHQ=")</f>
        <v>#VALUE!</v>
      </c>
      <c r="DN23" t="e">
        <f>AND(Шахм!N156,"AAAAAB34dHU=")</f>
        <v>#VALUE!</v>
      </c>
      <c r="DO23" t="e">
        <f>AND(Шахм!O156,"AAAAAB34dHY=")</f>
        <v>#VALUE!</v>
      </c>
      <c r="DP23" t="e">
        <f>AND(Шахм!P156,"AAAAAB34dHc=")</f>
        <v>#VALUE!</v>
      </c>
      <c r="DQ23" t="e">
        <f>AND(Шахм!Q156,"AAAAAB34dHg=")</f>
        <v>#VALUE!</v>
      </c>
      <c r="DR23" t="e">
        <f>AND(Шахм!R156,"AAAAAB34dHk=")</f>
        <v>#VALUE!</v>
      </c>
      <c r="DS23" t="e">
        <f>AND(Шахм!S156,"AAAAAB34dHo=")</f>
        <v>#VALUE!</v>
      </c>
      <c r="DT23" t="e">
        <f>AND(Шахм!T156,"AAAAAB34dHs=")</f>
        <v>#VALUE!</v>
      </c>
      <c r="DU23" t="e">
        <f>AND(Шахм!U156,"AAAAAB34dHw=")</f>
        <v>#VALUE!</v>
      </c>
      <c r="DV23" t="e">
        <f>AND(Шахм!V156,"AAAAAB34dH0=")</f>
        <v>#VALUE!</v>
      </c>
      <c r="DW23" t="e">
        <f>AND(Шахм!W156,"AAAAAB34dH4=")</f>
        <v>#VALUE!</v>
      </c>
      <c r="DX23" t="e">
        <f>AND(Шахм!X156,"AAAAAB34dH8=")</f>
        <v>#VALUE!</v>
      </c>
      <c r="DY23" t="e">
        <f>AND(Шахм!Y156,"AAAAAB34dIA=")</f>
        <v>#VALUE!</v>
      </c>
      <c r="DZ23" t="e">
        <f>AND(Шахм!Z156,"AAAAAB34dIE=")</f>
        <v>#VALUE!</v>
      </c>
      <c r="EA23" t="e">
        <f>AND(Шахм!AA156,"AAAAAB34dII=")</f>
        <v>#VALUE!</v>
      </c>
      <c r="EB23" t="e">
        <f>AND(Шахм!AB156,"AAAAAB34dIM=")</f>
        <v>#VALUE!</v>
      </c>
      <c r="EC23" t="e">
        <f>AND(Шахм!AC156,"AAAAAB34dIQ=")</f>
        <v>#VALUE!</v>
      </c>
      <c r="ED23" t="e">
        <f>AND(Шахм!AD156,"AAAAAB34dIU=")</f>
        <v>#VALUE!</v>
      </c>
      <c r="EE23" t="e">
        <f>AND(Шахм!AE156,"AAAAAB34dIY=")</f>
        <v>#VALUE!</v>
      </c>
      <c r="EF23" t="e">
        <f>AND(Шахм!AF156,"AAAAAB34dIc=")</f>
        <v>#VALUE!</v>
      </c>
      <c r="EG23" t="e">
        <f>AND(Шахм!AG156,"AAAAAB34dIg=")</f>
        <v>#VALUE!</v>
      </c>
      <c r="EH23" t="e">
        <f>AND(Шахм!AH156,"AAAAAB34dIk=")</f>
        <v>#VALUE!</v>
      </c>
      <c r="EI23" t="e">
        <f>AND(Шахм!AI156,"AAAAAB34dIo=")</f>
        <v>#VALUE!</v>
      </c>
      <c r="EJ23" t="e">
        <f>AND(Шахм!AJ156,"AAAAAB34dIs=")</f>
        <v>#VALUE!</v>
      </c>
      <c r="EK23">
        <f>IF(Шахм!157:157,"AAAAAB34dIw=",0)</f>
        <v>0</v>
      </c>
      <c r="EL23" t="e">
        <f>AND(Шахм!A157,"AAAAAB34dI0=")</f>
        <v>#VALUE!</v>
      </c>
      <c r="EM23" t="e">
        <f>AND(Шахм!B157,"AAAAAB34dI4=")</f>
        <v>#VALUE!</v>
      </c>
      <c r="EN23" t="e">
        <f>AND(Шахм!C157,"AAAAAB34dI8=")</f>
        <v>#VALUE!</v>
      </c>
      <c r="EO23" t="e">
        <f>AND(Шахм!D157,"AAAAAB34dJA=")</f>
        <v>#VALUE!</v>
      </c>
      <c r="EP23" t="e">
        <f>AND(Шахм!E157,"AAAAAB34dJE=")</f>
        <v>#VALUE!</v>
      </c>
      <c r="EQ23" t="e">
        <f>AND(Шахм!F157,"AAAAAB34dJI=")</f>
        <v>#VALUE!</v>
      </c>
      <c r="ER23" t="e">
        <f>AND(Шахм!G157,"AAAAAB34dJM=")</f>
        <v>#VALUE!</v>
      </c>
      <c r="ES23" t="e">
        <f>AND(Шахм!H157,"AAAAAB34dJQ=")</f>
        <v>#VALUE!</v>
      </c>
      <c r="ET23" t="e">
        <f>AND(Шахм!I157,"AAAAAB34dJU=")</f>
        <v>#VALUE!</v>
      </c>
      <c r="EU23" t="e">
        <f>AND(Шахм!J157,"AAAAAB34dJY=")</f>
        <v>#VALUE!</v>
      </c>
      <c r="EV23" t="e">
        <f>AND(Шахм!K157,"AAAAAB34dJc=")</f>
        <v>#VALUE!</v>
      </c>
      <c r="EW23" t="e">
        <f>AND(Шахм!L157,"AAAAAB34dJg=")</f>
        <v>#VALUE!</v>
      </c>
      <c r="EX23" t="e">
        <f>AND(Шахм!M157,"AAAAAB34dJk=")</f>
        <v>#VALUE!</v>
      </c>
      <c r="EY23" t="e">
        <f>AND(Шахм!N157,"AAAAAB34dJo=")</f>
        <v>#VALUE!</v>
      </c>
      <c r="EZ23" t="e">
        <f>AND(Шахм!O157,"AAAAAB34dJs=")</f>
        <v>#VALUE!</v>
      </c>
      <c r="FA23" t="e">
        <f>AND(Шахм!P157,"AAAAAB34dJw=")</f>
        <v>#VALUE!</v>
      </c>
      <c r="FB23" t="e">
        <f>AND(Шахм!Q157,"AAAAAB34dJ0=")</f>
        <v>#VALUE!</v>
      </c>
      <c r="FC23" t="e">
        <f>AND(Шахм!R157,"AAAAAB34dJ4=")</f>
        <v>#VALUE!</v>
      </c>
      <c r="FD23" t="e">
        <f>AND(Шахм!S157,"AAAAAB34dJ8=")</f>
        <v>#VALUE!</v>
      </c>
      <c r="FE23" t="e">
        <f>AND(Шахм!T157,"AAAAAB34dKA=")</f>
        <v>#VALUE!</v>
      </c>
      <c r="FF23" t="e">
        <f>AND(Шахм!U157,"AAAAAB34dKE=")</f>
        <v>#VALUE!</v>
      </c>
      <c r="FG23" t="e">
        <f>AND(Шахм!V157,"AAAAAB34dKI=")</f>
        <v>#VALUE!</v>
      </c>
      <c r="FH23" t="e">
        <f>AND(Шахм!W157,"AAAAAB34dKM=")</f>
        <v>#VALUE!</v>
      </c>
      <c r="FI23" t="e">
        <f>AND(Шахм!X157,"AAAAAB34dKQ=")</f>
        <v>#VALUE!</v>
      </c>
      <c r="FJ23" t="e">
        <f>AND(Шахм!Y157,"AAAAAB34dKU=")</f>
        <v>#VALUE!</v>
      </c>
      <c r="FK23" t="e">
        <f>AND(Шахм!Z157,"AAAAAB34dKY=")</f>
        <v>#VALUE!</v>
      </c>
      <c r="FL23" t="e">
        <f>AND(Шахм!AA157,"AAAAAB34dKc=")</f>
        <v>#VALUE!</v>
      </c>
      <c r="FM23" t="e">
        <f>AND(Шахм!AB157,"AAAAAB34dKg=")</f>
        <v>#VALUE!</v>
      </c>
      <c r="FN23" t="e">
        <f>AND(Шахм!AC157,"AAAAAB34dKk=")</f>
        <v>#VALUE!</v>
      </c>
      <c r="FO23" t="e">
        <f>AND(Шахм!AD157,"AAAAAB34dKo=")</f>
        <v>#VALUE!</v>
      </c>
      <c r="FP23" t="e">
        <f>AND(Шахм!AE157,"AAAAAB34dKs=")</f>
        <v>#VALUE!</v>
      </c>
      <c r="FQ23" t="e">
        <f>AND(Шахм!AF157,"AAAAAB34dKw=")</f>
        <v>#VALUE!</v>
      </c>
      <c r="FR23" t="e">
        <f>AND(Шахм!AG157,"AAAAAB34dK0=")</f>
        <v>#VALUE!</v>
      </c>
      <c r="FS23" t="e">
        <f>AND(Шахм!AH157,"AAAAAB34dK4=")</f>
        <v>#VALUE!</v>
      </c>
      <c r="FT23" t="e">
        <f>AND(Шахм!AI157,"AAAAAB34dK8=")</f>
        <v>#VALUE!</v>
      </c>
      <c r="FU23" t="e">
        <f>AND(Шахм!AJ157,"AAAAAB34dLA=")</f>
        <v>#VALUE!</v>
      </c>
      <c r="FV23">
        <f>IF(Шахм!158:158,"AAAAAB34dLE=",0)</f>
        <v>0</v>
      </c>
      <c r="FW23" t="e">
        <f>AND(Шахм!A158,"AAAAAB34dLI=")</f>
        <v>#VALUE!</v>
      </c>
      <c r="FX23" t="e">
        <f>AND(Шахм!B158,"AAAAAB34dLM=")</f>
        <v>#VALUE!</v>
      </c>
      <c r="FY23" t="e">
        <f>AND(Шахм!C158,"AAAAAB34dLQ=")</f>
        <v>#VALUE!</v>
      </c>
      <c r="FZ23" t="e">
        <f>AND(Шахм!D158,"AAAAAB34dLU=")</f>
        <v>#VALUE!</v>
      </c>
      <c r="GA23" t="e">
        <f>AND(Шахм!E158,"AAAAAB34dLY=")</f>
        <v>#VALUE!</v>
      </c>
      <c r="GB23" t="e">
        <f>AND(Шахм!F158,"AAAAAB34dLc=")</f>
        <v>#VALUE!</v>
      </c>
      <c r="GC23" t="e">
        <f>AND(Шахм!G158,"AAAAAB34dLg=")</f>
        <v>#VALUE!</v>
      </c>
      <c r="GD23" t="e">
        <f>AND(Шахм!H158,"AAAAAB34dLk=")</f>
        <v>#VALUE!</v>
      </c>
      <c r="GE23" t="e">
        <f>AND(Шахм!I158,"AAAAAB34dLo=")</f>
        <v>#VALUE!</v>
      </c>
      <c r="GF23" t="e">
        <f>AND(Шахм!J158,"AAAAAB34dLs=")</f>
        <v>#VALUE!</v>
      </c>
      <c r="GG23" t="e">
        <f>AND(Шахм!K158,"AAAAAB34dLw=")</f>
        <v>#VALUE!</v>
      </c>
      <c r="GH23" t="e">
        <f>AND(Шахм!L158,"AAAAAB34dL0=")</f>
        <v>#VALUE!</v>
      </c>
      <c r="GI23" t="e">
        <f>AND(Шахм!M158,"AAAAAB34dL4=")</f>
        <v>#VALUE!</v>
      </c>
      <c r="GJ23" t="e">
        <f>AND(Шахм!N158,"AAAAAB34dL8=")</f>
        <v>#VALUE!</v>
      </c>
      <c r="GK23" t="e">
        <f>AND(Шахм!O158,"AAAAAB34dMA=")</f>
        <v>#VALUE!</v>
      </c>
      <c r="GL23" t="e">
        <f>AND(Шахм!P158,"AAAAAB34dME=")</f>
        <v>#VALUE!</v>
      </c>
      <c r="GM23" t="e">
        <f>AND(Шахм!Q158,"AAAAAB34dMI=")</f>
        <v>#VALUE!</v>
      </c>
      <c r="GN23" t="e">
        <f>AND(Шахм!R158,"AAAAAB34dMM=")</f>
        <v>#VALUE!</v>
      </c>
      <c r="GO23" t="e">
        <f>AND(Шахм!S158,"AAAAAB34dMQ=")</f>
        <v>#VALUE!</v>
      </c>
      <c r="GP23" t="e">
        <f>AND(Шахм!T158,"AAAAAB34dMU=")</f>
        <v>#VALUE!</v>
      </c>
      <c r="GQ23" t="e">
        <f>AND(Шахм!U158,"AAAAAB34dMY=")</f>
        <v>#VALUE!</v>
      </c>
      <c r="GR23" t="e">
        <f>AND(Шахм!V158,"AAAAAB34dMc=")</f>
        <v>#VALUE!</v>
      </c>
      <c r="GS23" t="e">
        <f>AND(Шахм!W158,"AAAAAB34dMg=")</f>
        <v>#VALUE!</v>
      </c>
      <c r="GT23" t="e">
        <f>AND(Шахм!X158,"AAAAAB34dMk=")</f>
        <v>#VALUE!</v>
      </c>
      <c r="GU23" t="e">
        <f>AND(Шахм!Y158,"AAAAAB34dMo=")</f>
        <v>#VALUE!</v>
      </c>
      <c r="GV23" t="e">
        <f>AND(Шахм!Z158,"AAAAAB34dMs=")</f>
        <v>#VALUE!</v>
      </c>
      <c r="GW23" t="e">
        <f>AND(Шахм!AA158,"AAAAAB34dMw=")</f>
        <v>#VALUE!</v>
      </c>
      <c r="GX23" t="e">
        <f>AND(Шахм!AB158,"AAAAAB34dM0=")</f>
        <v>#VALUE!</v>
      </c>
      <c r="GY23" t="e">
        <f>AND(Шахм!AC158,"AAAAAB34dM4=")</f>
        <v>#VALUE!</v>
      </c>
      <c r="GZ23" t="e">
        <f>AND(Шахм!AD158,"AAAAAB34dM8=")</f>
        <v>#VALUE!</v>
      </c>
      <c r="HA23" t="e">
        <f>AND(Шахм!AE158,"AAAAAB34dNA=")</f>
        <v>#VALUE!</v>
      </c>
      <c r="HB23" t="e">
        <f>AND(Шахм!AF158,"AAAAAB34dNE=")</f>
        <v>#VALUE!</v>
      </c>
      <c r="HC23" t="e">
        <f>AND(Шахм!AG158,"AAAAAB34dNI=")</f>
        <v>#VALUE!</v>
      </c>
      <c r="HD23" t="e">
        <f>AND(Шахм!AH158,"AAAAAB34dNM=")</f>
        <v>#VALUE!</v>
      </c>
      <c r="HE23" t="e">
        <f>AND(Шахм!AI158,"AAAAAB34dNQ=")</f>
        <v>#VALUE!</v>
      </c>
      <c r="HF23" t="e">
        <f>AND(Шахм!AJ158,"AAAAAB34dNU=")</f>
        <v>#VALUE!</v>
      </c>
      <c r="HG23">
        <f>IF(Шахм!159:159,"AAAAAB34dNY=",0)</f>
        <v>0</v>
      </c>
      <c r="HH23">
        <f>IF(Шахм!160:160,"AAAAAB34dNc=",0)</f>
        <v>0</v>
      </c>
      <c r="HI23">
        <f>IF(Шахм!161:161,"AAAAAB34dNg=",0)</f>
        <v>0</v>
      </c>
      <c r="HJ23">
        <f>IF(Шахм!162:162,"AAAAAB34dNk=",0)</f>
        <v>0</v>
      </c>
      <c r="HK23">
        <f>IF(Шахм!163:163,"AAAAAB34dNo=",0)</f>
        <v>0</v>
      </c>
      <c r="HL23">
        <f>IF(Шахм!164:164,"AAAAAB34dNs=",0)</f>
        <v>0</v>
      </c>
      <c r="HM23">
        <f>IF(Шахм!165:165,"AAAAAB34dNw=",0)</f>
        <v>0</v>
      </c>
      <c r="HN23">
        <f>IF(Шахм!166:166,"AAAAAB34dN0=",0)</f>
        <v>0</v>
      </c>
      <c r="HO23">
        <f>IF(Шахм!167:167,"AAAAAB34dN4=",0)</f>
        <v>0</v>
      </c>
      <c r="HP23">
        <f>IF(Шахм!168:168,"AAAAAB34dN8=",0)</f>
        <v>0</v>
      </c>
      <c r="HQ23">
        <f>IF(Шахм!169:169,"AAAAAB34dOA=",0)</f>
        <v>0</v>
      </c>
      <c r="HR23">
        <f>IF(Шахм!170:170,"AAAAAB34dOE=",0)</f>
        <v>0</v>
      </c>
      <c r="HS23">
        <f>IF(Шахм!171:171,"AAAAAB34dOI=",0)</f>
        <v>0</v>
      </c>
      <c r="HT23">
        <f>IF(Шахм!172:172,"AAAAAB34dOM=",0)</f>
        <v>0</v>
      </c>
      <c r="HU23">
        <f>IF(Шахм!173:173,"AAAAAB34dOQ=",0)</f>
        <v>0</v>
      </c>
      <c r="HV23">
        <f>IF(Шахм!174:174,"AAAAAB34dOU=",0)</f>
        <v>0</v>
      </c>
      <c r="HW23">
        <f>IF(Шахм!175:175,"AAAAAB34dOY=",0)</f>
        <v>0</v>
      </c>
      <c r="HX23">
        <f>IF(Шахм!176:176,"AAAAAB34dOc=",0)</f>
        <v>0</v>
      </c>
      <c r="HY23">
        <f>IF(Шахм!177:177,"AAAAAB34dOg=",0)</f>
        <v>0</v>
      </c>
      <c r="HZ23">
        <f>IF(Шахм!178:178,"AAAAAB34dOk=",0)</f>
        <v>0</v>
      </c>
      <c r="IA23">
        <f>IF(Шахм!179:179,"AAAAAB34dOo=",0)</f>
        <v>0</v>
      </c>
      <c r="IB23">
        <f>IF(Шахм!180:180,"AAAAAB34dOs=",0)</f>
        <v>0</v>
      </c>
      <c r="IC23">
        <f>IF(Шахм!181:181,"AAAAAB34dOw=",0)</f>
        <v>0</v>
      </c>
      <c r="ID23">
        <f>IF(Шахм!182:182,"AAAAAB34dO0=",0)</f>
        <v>0</v>
      </c>
      <c r="IE23">
        <f>IF(Шахм!183:183,"AAAAAB34dO4=",0)</f>
        <v>0</v>
      </c>
      <c r="IF23">
        <f>IF(Шахм!184:184,"AAAAAB34dO8=",0)</f>
        <v>0</v>
      </c>
      <c r="IG23">
        <f>IF(Шахм!185:185,"AAAAAB34dPA=",0)</f>
        <v>0</v>
      </c>
      <c r="IH23">
        <f>IF(Шахм!186:186,"AAAAAB34dPE=",0)</f>
        <v>0</v>
      </c>
      <c r="II23">
        <f>IF(Шахм!187:187,"AAAAAB34dPI=",0)</f>
        <v>0</v>
      </c>
      <c r="IJ23">
        <f>IF(Шахм!188:188,"AAAAAB34dPM=",0)</f>
        <v>0</v>
      </c>
      <c r="IK23">
        <f>IF(Шахм!189:189,"AAAAAB34dPQ=",0)</f>
        <v>0</v>
      </c>
      <c r="IL23">
        <f>IF(Шахм!190:190,"AAAAAB34dPU=",0)</f>
        <v>0</v>
      </c>
      <c r="IM23">
        <f>IF(Шахм!191:191,"AAAAAB34dPY=",0)</f>
        <v>0</v>
      </c>
      <c r="IN23">
        <f>IF(Шахм!192:192,"AAAAAB34dPc=",0)</f>
        <v>0</v>
      </c>
      <c r="IO23">
        <f>IF(Шахм!193:193,"AAAAAB34dPg=",0)</f>
        <v>0</v>
      </c>
      <c r="IP23">
        <f>IF(Шахм!194:194,"AAAAAB34dPk=",0)</f>
        <v>0</v>
      </c>
      <c r="IQ23">
        <f>IF(Шахм!195:195,"AAAAAB34dPo=",0)</f>
        <v>0</v>
      </c>
      <c r="IR23">
        <f>IF(Шахм!196:196,"AAAAAB34dPs=",0)</f>
        <v>0</v>
      </c>
      <c r="IS23">
        <f>IF(Шахм!197:197,"AAAAAB34dPw=",0)</f>
        <v>0</v>
      </c>
      <c r="IT23">
        <f>IF(Шахм!198:198,"AAAAAB34dP0=",0)</f>
        <v>0</v>
      </c>
      <c r="IU23">
        <f>IF(Шахм!199:199,"AAAAAB34dP4=",0)</f>
        <v>0</v>
      </c>
      <c r="IV23">
        <f>IF(Шахм!200:200,"AAAAAB34dP8=",0)</f>
        <v>0</v>
      </c>
    </row>
    <row r="24" spans="1:256">
      <c r="A24">
        <f>IF(Шахм!201:201,"AAAAADr/dgA=",0)</f>
        <v>0</v>
      </c>
      <c r="B24">
        <f>IF(Шахм!202:202,"AAAAADr/dgE=",0)</f>
        <v>0</v>
      </c>
      <c r="C24">
        <f>IF(Шахм!203:203,"AAAAADr/dgI=",0)</f>
        <v>0</v>
      </c>
      <c r="D24">
        <f>IF(Шахм!204:204,"AAAAADr/dgM=",0)</f>
        <v>0</v>
      </c>
      <c r="E24">
        <f>IF(Шахм!205:205,"AAAAADr/dgQ=",0)</f>
        <v>0</v>
      </c>
      <c r="F24">
        <f>IF(Шахм!206:206,"AAAAADr/dgU=",0)</f>
        <v>0</v>
      </c>
      <c r="G24">
        <f>IF(Шахм!207:207,"AAAAADr/dgY=",0)</f>
        <v>0</v>
      </c>
      <c r="H24">
        <f>IF(Шахм!208:208,"AAAAADr/dgc=",0)</f>
        <v>0</v>
      </c>
      <c r="I24">
        <f>IF(Шахм!209:209,"AAAAADr/dgg=",0)</f>
        <v>0</v>
      </c>
      <c r="J24">
        <f>IF(Шахм!210:210,"AAAAADr/dgk=",0)</f>
        <v>0</v>
      </c>
      <c r="K24">
        <f>IF(Шахм!211:211,"AAAAADr/dgo=",0)</f>
        <v>0</v>
      </c>
      <c r="L24">
        <f>IF(Шахм!212:212,"AAAAADr/dgs=",0)</f>
        <v>0</v>
      </c>
      <c r="M24">
        <f>IF(Шахм!213:213,"AAAAADr/dgw=",0)</f>
        <v>0</v>
      </c>
      <c r="N24">
        <f>IF(Шахм!214:214,"AAAAADr/dg0=",0)</f>
        <v>0</v>
      </c>
      <c r="O24">
        <f>IF(Шахм!215:215,"AAAAADr/dg4=",0)</f>
        <v>0</v>
      </c>
      <c r="P24">
        <f>IF(Шахм!216:216,"AAAAADr/dg8=",0)</f>
        <v>0</v>
      </c>
      <c r="Q24">
        <f>IF(Шахм!217:217,"AAAAADr/dhA=",0)</f>
        <v>0</v>
      </c>
      <c r="R24" t="e">
        <f>IF(Шахм!A:A,"AAAAADr/dhE=",0)</f>
        <v>#VALUE!</v>
      </c>
      <c r="S24">
        <f>IF(Шахм!B:B,"AAAAADr/dhI=",0)</f>
        <v>0</v>
      </c>
      <c r="T24">
        <f>IF(Шахм!C:C,"AAAAADr/dhM=",0)</f>
        <v>0</v>
      </c>
      <c r="U24">
        <f>IF(Шахм!D:D,"AAAAADr/dhQ=",0)</f>
        <v>0</v>
      </c>
      <c r="V24">
        <f>IF(Шахм!E:E,"AAAAADr/dhU=",0)</f>
        <v>0</v>
      </c>
      <c r="W24">
        <f>IF(Шахм!F:F,"AAAAADr/dhY=",0)</f>
        <v>0</v>
      </c>
      <c r="X24" t="str">
        <f>IF(Шахм!G:G,"AAAAADr/dhc=",0)</f>
        <v>AAAAADr/dhc=</v>
      </c>
      <c r="Y24">
        <f>IF(Шахм!H:H,"AAAAADr/dhg=",0)</f>
        <v>0</v>
      </c>
      <c r="Z24">
        <f>IF(Шахм!I:I,"AAAAADr/dhk=",0)</f>
        <v>0</v>
      </c>
      <c r="AA24">
        <f>IF(Шахм!J:J,"AAAAADr/dho=",0)</f>
        <v>0</v>
      </c>
      <c r="AB24">
        <f>IF(Шахм!K:K,"AAAAADr/dhs=",0)</f>
        <v>0</v>
      </c>
      <c r="AC24" t="str">
        <f>IF(Шахм!L:L,"AAAAADr/dhw=",0)</f>
        <v>AAAAADr/dhw=</v>
      </c>
      <c r="AD24">
        <f>IF(Шахм!M:M,"AAAAADr/dh0=",0)</f>
        <v>0</v>
      </c>
      <c r="AE24">
        <f>IF(Шахм!N:N,"AAAAADr/dh4=",0)</f>
        <v>0</v>
      </c>
      <c r="AF24">
        <f>IF(Шахм!O:O,"AAAAADr/dh8=",0)</f>
        <v>0</v>
      </c>
      <c r="AG24">
        <f>IF(Шахм!P:P,"AAAAADr/diA=",0)</f>
        <v>0</v>
      </c>
      <c r="AH24" t="str">
        <f>IF(Шахм!Q:Q,"AAAAADr/diE=",0)</f>
        <v>AAAAADr/diE=</v>
      </c>
      <c r="AI24">
        <f>IF(Шахм!R:R,"AAAAADr/diI=",0)</f>
        <v>0</v>
      </c>
      <c r="AJ24">
        <f>IF(Шахм!S:S,"AAAAADr/diM=",0)</f>
        <v>0</v>
      </c>
      <c r="AK24">
        <f>IF(Шахм!T:T,"AAAAADr/diQ=",0)</f>
        <v>0</v>
      </c>
      <c r="AL24">
        <f>IF(Шахм!U:U,"AAAAADr/diU=",0)</f>
        <v>0</v>
      </c>
      <c r="AM24">
        <f>IF(Шахм!V:V,"AAAAADr/diY=",0)</f>
        <v>0</v>
      </c>
      <c r="AN24" t="str">
        <f>IF(Шахм!W:W,"AAAAADr/dic=",0)</f>
        <v>AAAAADr/dic=</v>
      </c>
      <c r="AO24">
        <f>IF(Шахм!X:X,"AAAAADr/dig=",0)</f>
        <v>0</v>
      </c>
      <c r="AP24">
        <f>IF(Шахм!Y:Y,"AAAAADr/dik=",0)</f>
        <v>0</v>
      </c>
      <c r="AQ24">
        <f>IF(Шахм!Z:Z,"AAAAADr/dio=",0)</f>
        <v>0</v>
      </c>
      <c r="AR24">
        <f>IF(Шахм!AA:AA,"AAAAADr/dis=",0)</f>
        <v>0</v>
      </c>
      <c r="AS24" t="str">
        <f>IF(Шахм!AB:AB,"AAAAADr/diw=",0)</f>
        <v>AAAAADr/diw=</v>
      </c>
      <c r="AT24">
        <f>IF(Шахм!AC:AC,"AAAAADr/di0=",0)</f>
        <v>0</v>
      </c>
      <c r="AU24">
        <f>IF(Шахм!AD:AD,"AAAAADr/di4=",0)</f>
        <v>0</v>
      </c>
      <c r="AV24" t="str">
        <f>IF(Шахм!AE:AE,"AAAAADr/di8=",0)</f>
        <v>AAAAADr/di8=</v>
      </c>
      <c r="AW24">
        <f>IF(Шахм!AF:AF,"AAAAADr/djA=",0)</f>
        <v>0</v>
      </c>
      <c r="AX24" t="str">
        <f>IF(Шахм!AG:AG,"AAAAADr/djE=",0)</f>
        <v>AAAAADr/djE=</v>
      </c>
      <c r="AY24" t="str">
        <f>IF(Шахм!AH:AH,"AAAAADr/djI=",0)</f>
        <v>AAAAADr/djI=</v>
      </c>
      <c r="AZ24">
        <f>IF(Шахм!AI:AI,"AAAAADr/djM=",0)</f>
        <v>0</v>
      </c>
      <c r="BA24">
        <f>IF(Шахм!AJ:AJ,"AAAAADr/djQ=",0)</f>
        <v>0</v>
      </c>
      <c r="BB24">
        <f>IF(ПрилШахм!1:1,"AAAAADr/djU=",0)</f>
        <v>0</v>
      </c>
      <c r="BC24" t="e">
        <f>AND(ПрилШахм!B1,"AAAAADr/djY=")</f>
        <v>#VALUE!</v>
      </c>
      <c r="BD24" t="e">
        <f>AND(ПрилШахм!C1,"AAAAADr/djc=")</f>
        <v>#VALUE!</v>
      </c>
      <c r="BE24" t="e">
        <f>AND(ПрилШахм!D1,"AAAAADr/djg=")</f>
        <v>#VALUE!</v>
      </c>
      <c r="BF24" t="e">
        <f>AND(ПрилШахм!E1,"AAAAADr/djk=")</f>
        <v>#VALUE!</v>
      </c>
      <c r="BG24" t="e">
        <f>AND(ПрилШахм!F1,"AAAAADr/djo=")</f>
        <v>#VALUE!</v>
      </c>
      <c r="BH24" t="e">
        <f>AND(ПрилШахм!G1,"AAAAADr/djs=")</f>
        <v>#VALUE!</v>
      </c>
      <c r="BI24" t="e">
        <f>AND(ПрилШахм!H1,"AAAAADr/djw=")</f>
        <v>#VALUE!</v>
      </c>
      <c r="BJ24" t="e">
        <f>AND(ПрилШахм!I1,"AAAAADr/dj0=")</f>
        <v>#VALUE!</v>
      </c>
      <c r="BK24" t="e">
        <f>AND(ПрилШахм!J1,"AAAAADr/dj4=")</f>
        <v>#VALUE!</v>
      </c>
      <c r="BL24" t="e">
        <f>AND(ПрилШахм!K1,"AAAAADr/dj8=")</f>
        <v>#VALUE!</v>
      </c>
      <c r="BM24" t="e">
        <f>AND(ПрилШахм!L1,"AAAAADr/dkA=")</f>
        <v>#VALUE!</v>
      </c>
      <c r="BN24" t="e">
        <f>AND(ПрилШахм!M1,"AAAAADr/dkE=")</f>
        <v>#VALUE!</v>
      </c>
      <c r="BO24" t="e">
        <f>AND(ПрилШахм!N1,"AAAAADr/dkI=")</f>
        <v>#VALUE!</v>
      </c>
      <c r="BP24" t="e">
        <f>AND(ПрилШахм!O1,"AAAAADr/dkM=")</f>
        <v>#VALUE!</v>
      </c>
      <c r="BQ24">
        <f>IF(ПрилШахм!2:2,"AAAAADr/dkQ=",0)</f>
        <v>0</v>
      </c>
      <c r="BR24" t="e">
        <f>AND(ПрилШахм!B2,"AAAAADr/dkU=")</f>
        <v>#VALUE!</v>
      </c>
      <c r="BS24" t="e">
        <f>AND(ПрилШахм!C2,"AAAAADr/dkY=")</f>
        <v>#VALUE!</v>
      </c>
      <c r="BT24" t="e">
        <f>AND(ПрилШахм!D2,"AAAAADr/dkc=")</f>
        <v>#VALUE!</v>
      </c>
      <c r="BU24" t="e">
        <f>AND(ПрилШахм!E2,"AAAAADr/dkg=")</f>
        <v>#VALUE!</v>
      </c>
      <c r="BV24" t="e">
        <f>AND(ПрилШахм!F2,"AAAAADr/dkk=")</f>
        <v>#VALUE!</v>
      </c>
      <c r="BW24" t="e">
        <f>AND(ПрилШахм!G2,"AAAAADr/dko=")</f>
        <v>#VALUE!</v>
      </c>
      <c r="BX24" t="e">
        <f>AND(ПрилШахм!H2,"AAAAADr/dks=")</f>
        <v>#VALUE!</v>
      </c>
      <c r="BY24" t="e">
        <f>AND(ПрилШахм!I2,"AAAAADr/dkw=")</f>
        <v>#VALUE!</v>
      </c>
      <c r="BZ24" t="e">
        <f>AND(ПрилШахм!J2,"AAAAADr/dk0=")</f>
        <v>#VALUE!</v>
      </c>
      <c r="CA24" t="e">
        <f>AND(ПрилШахм!K2,"AAAAADr/dk4=")</f>
        <v>#VALUE!</v>
      </c>
      <c r="CB24" t="e">
        <f>AND(ПрилШахм!L2,"AAAAADr/dk8=")</f>
        <v>#VALUE!</v>
      </c>
      <c r="CC24" t="e">
        <f>AND(ПрилШахм!M2,"AAAAADr/dlA=")</f>
        <v>#VALUE!</v>
      </c>
      <c r="CD24" t="e">
        <f>AND(ПрилШахм!N2,"AAAAADr/dlE=")</f>
        <v>#VALUE!</v>
      </c>
      <c r="CE24" t="e">
        <f>AND(ПрилШахм!O2,"AAAAADr/dlI=")</f>
        <v>#VALUE!</v>
      </c>
      <c r="CF24">
        <f>IF(ПрилШахм!3:3,"AAAAADr/dlM=",0)</f>
        <v>0</v>
      </c>
      <c r="CG24" t="e">
        <f>AND(ПрилШахм!B3,"AAAAADr/dlQ=")</f>
        <v>#VALUE!</v>
      </c>
      <c r="CH24" t="e">
        <f>AND(ПрилШахм!C3,"AAAAADr/dlU=")</f>
        <v>#VALUE!</v>
      </c>
      <c r="CI24" t="e">
        <f>AND(ПрилШахм!D3,"AAAAADr/dlY=")</f>
        <v>#VALUE!</v>
      </c>
      <c r="CJ24" t="e">
        <f>AND(ПрилШахм!E3,"AAAAADr/dlc=")</f>
        <v>#VALUE!</v>
      </c>
      <c r="CK24" t="e">
        <f>AND(ПрилШахм!F3,"AAAAADr/dlg=")</f>
        <v>#VALUE!</v>
      </c>
      <c r="CL24" t="e">
        <f>AND(ПрилШахм!G3,"AAAAADr/dlk=")</f>
        <v>#VALUE!</v>
      </c>
      <c r="CM24" t="e">
        <f>AND(ПрилШахм!H3,"AAAAADr/dlo=")</f>
        <v>#VALUE!</v>
      </c>
      <c r="CN24" t="e">
        <f>AND(ПрилШахм!I3,"AAAAADr/dls=")</f>
        <v>#VALUE!</v>
      </c>
      <c r="CO24" t="e">
        <f>AND(ПрилШахм!J3,"AAAAADr/dlw=")</f>
        <v>#VALUE!</v>
      </c>
      <c r="CP24" t="e">
        <f>AND(ПрилШахм!K3,"AAAAADr/dl0=")</f>
        <v>#VALUE!</v>
      </c>
      <c r="CQ24" t="e">
        <f>AND(ПрилШахм!L3,"AAAAADr/dl4=")</f>
        <v>#VALUE!</v>
      </c>
      <c r="CR24" t="e">
        <f>AND(ПрилШахм!M3,"AAAAADr/dl8=")</f>
        <v>#VALUE!</v>
      </c>
      <c r="CS24" t="e">
        <f>AND(ПрилШахм!N3,"AAAAADr/dmA=")</f>
        <v>#VALUE!</v>
      </c>
      <c r="CT24" t="e">
        <f>AND(ПрилШахм!O3,"AAAAADr/dmE=")</f>
        <v>#VALUE!</v>
      </c>
      <c r="CU24">
        <f>IF(ПрилШахм!4:4,"AAAAADr/dmI=",0)</f>
        <v>0</v>
      </c>
      <c r="CV24" t="e">
        <f>AND(ПрилШахм!B4,"AAAAADr/dmM=")</f>
        <v>#VALUE!</v>
      </c>
      <c r="CW24" t="e">
        <f>AND(ПрилШахм!C4,"AAAAADr/dmQ=")</f>
        <v>#VALUE!</v>
      </c>
      <c r="CX24" t="e">
        <f>AND(ПрилШахм!D4,"AAAAADr/dmU=")</f>
        <v>#VALUE!</v>
      </c>
      <c r="CY24" t="e">
        <f>AND(ПрилШахм!E4,"AAAAADr/dmY=")</f>
        <v>#VALUE!</v>
      </c>
      <c r="CZ24" t="e">
        <f>AND(ПрилШахм!F4,"AAAAADr/dmc=")</f>
        <v>#VALUE!</v>
      </c>
      <c r="DA24" t="e">
        <f>AND(ПрилШахм!G4,"AAAAADr/dmg=")</f>
        <v>#VALUE!</v>
      </c>
      <c r="DB24" t="e">
        <f>AND(ПрилШахм!H4,"AAAAADr/dmk=")</f>
        <v>#VALUE!</v>
      </c>
      <c r="DC24" t="e">
        <f>AND(ПрилШахм!I4,"AAAAADr/dmo=")</f>
        <v>#VALUE!</v>
      </c>
      <c r="DD24" t="e">
        <f>AND(ПрилШахм!J4,"AAAAADr/dms=")</f>
        <v>#VALUE!</v>
      </c>
      <c r="DE24" t="e">
        <f>AND(ПрилШахм!K4,"AAAAADr/dmw=")</f>
        <v>#VALUE!</v>
      </c>
      <c r="DF24" t="e">
        <f>AND(ПрилШахм!L4,"AAAAADr/dm0=")</f>
        <v>#VALUE!</v>
      </c>
      <c r="DG24" t="e">
        <f>AND(ПрилШахм!M4,"AAAAADr/dm4=")</f>
        <v>#VALUE!</v>
      </c>
      <c r="DH24" t="e">
        <f>AND(ПрилШахм!N4,"AAAAADr/dm8=")</f>
        <v>#VALUE!</v>
      </c>
      <c r="DI24" t="e">
        <f>AND(ПрилШахм!O4,"AAAAADr/dnA=")</f>
        <v>#VALUE!</v>
      </c>
      <c r="DJ24">
        <f>IF(ПрилШахм!5:5,"AAAAADr/dnE=",0)</f>
        <v>0</v>
      </c>
      <c r="DK24" t="e">
        <f>AND(ПрилШахм!B5,"AAAAADr/dnI=")</f>
        <v>#VALUE!</v>
      </c>
      <c r="DL24" t="e">
        <f>AND(ПрилШахм!C5,"AAAAADr/dnM=")</f>
        <v>#VALUE!</v>
      </c>
      <c r="DM24" t="e">
        <f>AND(ПрилШахм!D5,"AAAAADr/dnQ=")</f>
        <v>#VALUE!</v>
      </c>
      <c r="DN24" t="e">
        <f>AND(ПрилШахм!E5,"AAAAADr/dnU=")</f>
        <v>#VALUE!</v>
      </c>
      <c r="DO24" t="e">
        <f>AND(ПрилШахм!F5,"AAAAADr/dnY=")</f>
        <v>#VALUE!</v>
      </c>
      <c r="DP24" t="e">
        <f>AND(ПрилШахм!G5,"AAAAADr/dnc=")</f>
        <v>#VALUE!</v>
      </c>
      <c r="DQ24" t="e">
        <f>AND(ПрилШахм!H5,"AAAAADr/dng=")</f>
        <v>#VALUE!</v>
      </c>
      <c r="DR24" t="e">
        <f>AND(ПрилШахм!I5,"AAAAADr/dnk=")</f>
        <v>#VALUE!</v>
      </c>
      <c r="DS24" t="e">
        <f>AND(ПрилШахм!J5,"AAAAADr/dno=")</f>
        <v>#VALUE!</v>
      </c>
      <c r="DT24" t="e">
        <f>AND(ПрилШахм!K5,"AAAAADr/dns=")</f>
        <v>#VALUE!</v>
      </c>
      <c r="DU24" t="e">
        <f>AND(ПрилШахм!L5,"AAAAADr/dnw=")</f>
        <v>#VALUE!</v>
      </c>
      <c r="DV24" t="e">
        <f>AND(ПрилШахм!M5,"AAAAADr/dn0=")</f>
        <v>#VALUE!</v>
      </c>
      <c r="DW24" t="e">
        <f>AND(ПрилШахм!N5,"AAAAADr/dn4=")</f>
        <v>#VALUE!</v>
      </c>
      <c r="DX24" t="e">
        <f>AND(ПрилШахм!O5,"AAAAADr/dn8=")</f>
        <v>#VALUE!</v>
      </c>
      <c r="DY24">
        <f>IF(ПрилШахм!6:6,"AAAAADr/doA=",0)</f>
        <v>0</v>
      </c>
      <c r="DZ24" t="e">
        <f>AND(ПрилШахм!B6,"AAAAADr/doE=")</f>
        <v>#VALUE!</v>
      </c>
      <c r="EA24" t="e">
        <f>AND(ПрилШахм!C6,"AAAAADr/doI=")</f>
        <v>#VALUE!</v>
      </c>
      <c r="EB24" t="e">
        <f>AND(ПрилШахм!D6,"AAAAADr/doM=")</f>
        <v>#VALUE!</v>
      </c>
      <c r="EC24" t="e">
        <f>AND(ПрилШахм!E6,"AAAAADr/doQ=")</f>
        <v>#VALUE!</v>
      </c>
      <c r="ED24" t="e">
        <f>AND(ПрилШахм!F6,"AAAAADr/doU=")</f>
        <v>#VALUE!</v>
      </c>
      <c r="EE24" t="e">
        <f>AND(ПрилШахм!G6,"AAAAADr/doY=")</f>
        <v>#VALUE!</v>
      </c>
      <c r="EF24" t="e">
        <f>AND(ПрилШахм!H6,"AAAAADr/doc=")</f>
        <v>#VALUE!</v>
      </c>
      <c r="EG24" t="e">
        <f>AND(ПрилШахм!I6,"AAAAADr/dog=")</f>
        <v>#VALUE!</v>
      </c>
      <c r="EH24" t="e">
        <f>AND(ПрилШахм!J6,"AAAAADr/dok=")</f>
        <v>#VALUE!</v>
      </c>
      <c r="EI24" t="e">
        <f>AND(ПрилШахм!K6,"AAAAADr/doo=")</f>
        <v>#VALUE!</v>
      </c>
      <c r="EJ24" t="e">
        <f>AND(ПрилШахм!L6,"AAAAADr/dos=")</f>
        <v>#VALUE!</v>
      </c>
      <c r="EK24" t="e">
        <f>AND(ПрилШахм!M6,"AAAAADr/dow=")</f>
        <v>#VALUE!</v>
      </c>
      <c r="EL24" t="e">
        <f>AND(ПрилШахм!N6,"AAAAADr/do0=")</f>
        <v>#VALUE!</v>
      </c>
      <c r="EM24" t="e">
        <f>AND(ПрилШахм!O6,"AAAAADr/do4=")</f>
        <v>#VALUE!</v>
      </c>
      <c r="EN24">
        <f>IF(ПрилШахм!7:7,"AAAAADr/do8=",0)</f>
        <v>0</v>
      </c>
      <c r="EO24" t="e">
        <f>AND(ПрилШахм!B7,"AAAAADr/dpA=")</f>
        <v>#VALUE!</v>
      </c>
      <c r="EP24" t="e">
        <f>AND(ПрилШахм!C7,"AAAAADr/dpE=")</f>
        <v>#VALUE!</v>
      </c>
      <c r="EQ24" t="e">
        <f>AND(ПрилШахм!D7,"AAAAADr/dpI=")</f>
        <v>#VALUE!</v>
      </c>
      <c r="ER24" t="e">
        <f>AND(ПрилШахм!E7,"AAAAADr/dpM=")</f>
        <v>#VALUE!</v>
      </c>
      <c r="ES24" t="e">
        <f>AND(ПрилШахм!F7,"AAAAADr/dpQ=")</f>
        <v>#VALUE!</v>
      </c>
      <c r="ET24" t="e">
        <f>AND(ПрилШахм!G7,"AAAAADr/dpU=")</f>
        <v>#VALUE!</v>
      </c>
      <c r="EU24" t="e">
        <f>AND(ПрилШахм!H7,"AAAAADr/dpY=")</f>
        <v>#VALUE!</v>
      </c>
      <c r="EV24" t="e">
        <f>AND(ПрилШахм!I7,"AAAAADr/dpc=")</f>
        <v>#VALUE!</v>
      </c>
      <c r="EW24" t="e">
        <f>AND(ПрилШахм!J7,"AAAAADr/dpg=")</f>
        <v>#VALUE!</v>
      </c>
      <c r="EX24" t="e">
        <f>AND(ПрилШахм!K7,"AAAAADr/dpk=")</f>
        <v>#VALUE!</v>
      </c>
      <c r="EY24" t="e">
        <f>AND(ПрилШахм!L7,"AAAAADr/dpo=")</f>
        <v>#VALUE!</v>
      </c>
      <c r="EZ24" t="e">
        <f>AND(ПрилШахм!M7,"AAAAADr/dps=")</f>
        <v>#VALUE!</v>
      </c>
      <c r="FA24" t="e">
        <f>AND(ПрилШахм!N7,"AAAAADr/dpw=")</f>
        <v>#VALUE!</v>
      </c>
      <c r="FB24" t="e">
        <f>AND(ПрилШахм!O7,"AAAAADr/dp0=")</f>
        <v>#VALUE!</v>
      </c>
      <c r="FC24">
        <f>IF(ПрилШахм!8:8,"AAAAADr/dp4=",0)</f>
        <v>0</v>
      </c>
      <c r="FD24" t="e">
        <f>AND(ПрилШахм!B8,"AAAAADr/dp8=")</f>
        <v>#VALUE!</v>
      </c>
      <c r="FE24" t="e">
        <f>AND(ПрилШахм!C8,"AAAAADr/dqA=")</f>
        <v>#VALUE!</v>
      </c>
      <c r="FF24" t="e">
        <f>AND(ПрилШахм!D8,"AAAAADr/dqE=")</f>
        <v>#VALUE!</v>
      </c>
      <c r="FG24" t="e">
        <f>AND(ПрилШахм!E8,"AAAAADr/dqI=")</f>
        <v>#VALUE!</v>
      </c>
      <c r="FH24" t="e">
        <f>AND(ПрилШахм!F8,"AAAAADr/dqM=")</f>
        <v>#VALUE!</v>
      </c>
      <c r="FI24" t="e">
        <f>AND(ПрилШахм!G8,"AAAAADr/dqQ=")</f>
        <v>#VALUE!</v>
      </c>
      <c r="FJ24" t="e">
        <f>AND(ПрилШахм!H8,"AAAAADr/dqU=")</f>
        <v>#VALUE!</v>
      </c>
      <c r="FK24" t="e">
        <f>AND(ПрилШахм!I8,"AAAAADr/dqY=")</f>
        <v>#VALUE!</v>
      </c>
      <c r="FL24" t="e">
        <f>AND(ПрилШахм!J8,"AAAAADr/dqc=")</f>
        <v>#VALUE!</v>
      </c>
      <c r="FM24" t="e">
        <f>AND(ПрилШахм!K8,"AAAAADr/dqg=")</f>
        <v>#VALUE!</v>
      </c>
      <c r="FN24" t="e">
        <f>AND(ПрилШахм!L8,"AAAAADr/dqk=")</f>
        <v>#VALUE!</v>
      </c>
      <c r="FO24" t="e">
        <f>AND(ПрилШахм!M8,"AAAAADr/dqo=")</f>
        <v>#VALUE!</v>
      </c>
      <c r="FP24" t="e">
        <f>AND(ПрилШахм!N8,"AAAAADr/dqs=")</f>
        <v>#VALUE!</v>
      </c>
      <c r="FQ24" t="e">
        <f>AND(ПрилШахм!O8,"AAAAADr/dqw=")</f>
        <v>#VALUE!</v>
      </c>
      <c r="FR24">
        <f>IF(ПрилШахм!9:9,"AAAAADr/dq0=",0)</f>
        <v>0</v>
      </c>
      <c r="FS24" t="e">
        <f>AND(ПрилШахм!B9,"AAAAADr/dq4=")</f>
        <v>#VALUE!</v>
      </c>
      <c r="FT24" t="e">
        <f>AND(ПрилШахм!C9,"AAAAADr/dq8=")</f>
        <v>#VALUE!</v>
      </c>
      <c r="FU24" t="e">
        <f>AND(ПрилШахм!D9,"AAAAADr/drA=")</f>
        <v>#VALUE!</v>
      </c>
      <c r="FV24" t="e">
        <f>AND(ПрилШахм!E9,"AAAAADr/drE=")</f>
        <v>#VALUE!</v>
      </c>
      <c r="FW24" t="e">
        <f>AND(ПрилШахм!F9,"AAAAADr/drI=")</f>
        <v>#VALUE!</v>
      </c>
      <c r="FX24" t="e">
        <f>AND(ПрилШахм!G9,"AAAAADr/drM=")</f>
        <v>#VALUE!</v>
      </c>
      <c r="FY24" t="e">
        <f>AND(ПрилШахм!H9,"AAAAADr/drQ=")</f>
        <v>#VALUE!</v>
      </c>
      <c r="FZ24" t="e">
        <f>AND(ПрилШахм!I9,"AAAAADr/drU=")</f>
        <v>#VALUE!</v>
      </c>
      <c r="GA24" t="e">
        <f>AND(ПрилШахм!J9,"AAAAADr/drY=")</f>
        <v>#VALUE!</v>
      </c>
      <c r="GB24" t="e">
        <f>AND(ПрилШахм!K9,"AAAAADr/drc=")</f>
        <v>#VALUE!</v>
      </c>
      <c r="GC24" t="e">
        <f>AND(ПрилШахм!L9,"AAAAADr/drg=")</f>
        <v>#VALUE!</v>
      </c>
      <c r="GD24" t="e">
        <f>AND(ПрилШахм!M9,"AAAAADr/drk=")</f>
        <v>#VALUE!</v>
      </c>
      <c r="GE24" t="e">
        <f>AND(ПрилШахм!N9,"AAAAADr/dro=")</f>
        <v>#VALUE!</v>
      </c>
      <c r="GF24" t="e">
        <f>AND(ПрилШахм!O9,"AAAAADr/drs=")</f>
        <v>#VALUE!</v>
      </c>
      <c r="GG24">
        <f>IF(ПрилШахм!10:10,"AAAAADr/drw=",0)</f>
        <v>0</v>
      </c>
      <c r="GH24" t="e">
        <f>AND(ПрилШахм!B10,"AAAAADr/dr0=")</f>
        <v>#VALUE!</v>
      </c>
      <c r="GI24" t="e">
        <f>AND(ПрилШахм!C10,"AAAAADr/dr4=")</f>
        <v>#VALUE!</v>
      </c>
      <c r="GJ24" t="e">
        <f>AND(ПрилШахм!D10,"AAAAADr/dr8=")</f>
        <v>#VALUE!</v>
      </c>
      <c r="GK24" t="e">
        <f>AND(ПрилШахм!E10,"AAAAADr/dsA=")</f>
        <v>#VALUE!</v>
      </c>
      <c r="GL24" t="e">
        <f>AND(ПрилШахм!F10,"AAAAADr/dsE=")</f>
        <v>#VALUE!</v>
      </c>
      <c r="GM24" t="e">
        <f>AND(ПрилШахм!G10,"AAAAADr/dsI=")</f>
        <v>#VALUE!</v>
      </c>
      <c r="GN24" t="e">
        <f>AND(ПрилШахм!H10,"AAAAADr/dsM=")</f>
        <v>#VALUE!</v>
      </c>
      <c r="GO24" t="e">
        <f>AND(ПрилШахм!I10,"AAAAADr/dsQ=")</f>
        <v>#VALUE!</v>
      </c>
      <c r="GP24" t="e">
        <f>AND(ПрилШахм!J10,"AAAAADr/dsU=")</f>
        <v>#VALUE!</v>
      </c>
      <c r="GQ24" t="e">
        <f>AND(ПрилШахм!K10,"AAAAADr/dsY=")</f>
        <v>#VALUE!</v>
      </c>
      <c r="GR24" t="e">
        <f>AND(ПрилШахм!L10,"AAAAADr/dsc=")</f>
        <v>#VALUE!</v>
      </c>
      <c r="GS24" t="e">
        <f>AND(ПрилШахм!M10,"AAAAADr/dsg=")</f>
        <v>#VALUE!</v>
      </c>
      <c r="GT24" t="e">
        <f>AND(ПрилШахм!N10,"AAAAADr/dsk=")</f>
        <v>#VALUE!</v>
      </c>
      <c r="GU24" t="e">
        <f>AND(ПрилШахм!O10,"AAAAADr/dso=")</f>
        <v>#VALUE!</v>
      </c>
      <c r="GV24">
        <f>IF(ПрилШахм!11:11,"AAAAADr/dss=",0)</f>
        <v>0</v>
      </c>
      <c r="GW24" t="e">
        <f>AND(ПрилШахм!B11,"AAAAADr/dsw=")</f>
        <v>#VALUE!</v>
      </c>
      <c r="GX24" t="e">
        <f>AND(ПрилШахм!C11,"AAAAADr/ds0=")</f>
        <v>#VALUE!</v>
      </c>
      <c r="GY24" t="e">
        <f>AND(ПрилШахм!D11,"AAAAADr/ds4=")</f>
        <v>#VALUE!</v>
      </c>
      <c r="GZ24" t="e">
        <f>AND(ПрилШахм!E11,"AAAAADr/ds8=")</f>
        <v>#VALUE!</v>
      </c>
      <c r="HA24" t="e">
        <f>AND(ПрилШахм!F11,"AAAAADr/dtA=")</f>
        <v>#VALUE!</v>
      </c>
      <c r="HB24" t="e">
        <f>AND(ПрилШахм!G11,"AAAAADr/dtE=")</f>
        <v>#VALUE!</v>
      </c>
      <c r="HC24" t="e">
        <f>AND(ПрилШахм!H11,"AAAAADr/dtI=")</f>
        <v>#VALUE!</v>
      </c>
      <c r="HD24" t="e">
        <f>AND(ПрилШахм!I11,"AAAAADr/dtM=")</f>
        <v>#VALUE!</v>
      </c>
      <c r="HE24" t="e">
        <f>AND(ПрилШахм!J11,"AAAAADr/dtQ=")</f>
        <v>#VALUE!</v>
      </c>
      <c r="HF24" t="e">
        <f>AND(ПрилШахм!K11,"AAAAADr/dtU=")</f>
        <v>#VALUE!</v>
      </c>
      <c r="HG24" t="e">
        <f>AND(ПрилШахм!L11,"AAAAADr/dtY=")</f>
        <v>#VALUE!</v>
      </c>
      <c r="HH24" t="e">
        <f>AND(ПрилШахм!M11,"AAAAADr/dtc=")</f>
        <v>#VALUE!</v>
      </c>
      <c r="HI24" t="e">
        <f>AND(ПрилШахм!N11,"AAAAADr/dtg=")</f>
        <v>#VALUE!</v>
      </c>
      <c r="HJ24" t="e">
        <f>AND(ПрилШахм!O11,"AAAAADr/dtk=")</f>
        <v>#VALUE!</v>
      </c>
      <c r="HK24">
        <f>IF(ПрилШахм!12:12,"AAAAADr/dto=",0)</f>
        <v>0</v>
      </c>
      <c r="HL24" t="e">
        <f>AND(ПрилШахм!B12,"AAAAADr/dts=")</f>
        <v>#VALUE!</v>
      </c>
      <c r="HM24" t="e">
        <f>AND(ПрилШахм!C12,"AAAAADr/dtw=")</f>
        <v>#VALUE!</v>
      </c>
      <c r="HN24" t="e">
        <f>AND(ПрилШахм!D12,"AAAAADr/dt0=")</f>
        <v>#VALUE!</v>
      </c>
      <c r="HO24" t="e">
        <f>AND(ПрилШахм!E12,"AAAAADr/dt4=")</f>
        <v>#VALUE!</v>
      </c>
      <c r="HP24" t="e">
        <f>AND(ПрилШахм!F12,"AAAAADr/dt8=")</f>
        <v>#VALUE!</v>
      </c>
      <c r="HQ24" t="e">
        <f>AND(ПрилШахм!G12,"AAAAADr/duA=")</f>
        <v>#VALUE!</v>
      </c>
      <c r="HR24" t="e">
        <f>AND(ПрилШахм!H12,"AAAAADr/duE=")</f>
        <v>#VALUE!</v>
      </c>
      <c r="HS24" t="e">
        <f>AND(ПрилШахм!I12,"AAAAADr/duI=")</f>
        <v>#VALUE!</v>
      </c>
      <c r="HT24" t="e">
        <f>AND(ПрилШахм!J12,"AAAAADr/duM=")</f>
        <v>#VALUE!</v>
      </c>
      <c r="HU24" t="e">
        <f>AND(ПрилШахм!K12,"AAAAADr/duQ=")</f>
        <v>#VALUE!</v>
      </c>
      <c r="HV24" t="e">
        <f>AND(ПрилШахм!L12,"AAAAADr/duU=")</f>
        <v>#VALUE!</v>
      </c>
      <c r="HW24" t="e">
        <f>AND(ПрилШахм!M12,"AAAAADr/duY=")</f>
        <v>#VALUE!</v>
      </c>
      <c r="HX24" t="e">
        <f>AND(ПрилШахм!N12,"AAAAADr/duc=")</f>
        <v>#VALUE!</v>
      </c>
      <c r="HY24" t="e">
        <f>AND(ПрилШахм!O12,"AAAAADr/dug=")</f>
        <v>#VALUE!</v>
      </c>
      <c r="HZ24">
        <f>IF(ПрилШахм!13:13,"AAAAADr/duk=",0)</f>
        <v>0</v>
      </c>
      <c r="IA24" t="e">
        <f>AND(ПрилШахм!B13,"AAAAADr/duo=")</f>
        <v>#VALUE!</v>
      </c>
      <c r="IB24" t="e">
        <f>AND(ПрилШахм!C13,"AAAAADr/dus=")</f>
        <v>#VALUE!</v>
      </c>
      <c r="IC24" t="e">
        <f>AND(ПрилШахм!D13,"AAAAADr/duw=")</f>
        <v>#VALUE!</v>
      </c>
      <c r="ID24" t="e">
        <f>AND(ПрилШахм!E13,"AAAAADr/du0=")</f>
        <v>#VALUE!</v>
      </c>
      <c r="IE24" t="e">
        <f>AND(ПрилШахм!F13,"AAAAADr/du4=")</f>
        <v>#VALUE!</v>
      </c>
      <c r="IF24" t="e">
        <f>AND(ПрилШахм!G13,"AAAAADr/du8=")</f>
        <v>#VALUE!</v>
      </c>
      <c r="IG24" t="e">
        <f>AND(ПрилШахм!H13,"AAAAADr/dvA=")</f>
        <v>#VALUE!</v>
      </c>
      <c r="IH24" t="e">
        <f>AND(ПрилШахм!I13,"AAAAADr/dvE=")</f>
        <v>#VALUE!</v>
      </c>
      <c r="II24" t="e">
        <f>AND(ПрилШахм!J13,"AAAAADr/dvI=")</f>
        <v>#VALUE!</v>
      </c>
      <c r="IJ24" t="e">
        <f>AND(ПрилШахм!K13,"AAAAADr/dvM=")</f>
        <v>#VALUE!</v>
      </c>
      <c r="IK24" t="e">
        <f>AND(ПрилШахм!L13,"AAAAADr/dvQ=")</f>
        <v>#VALUE!</v>
      </c>
      <c r="IL24" t="e">
        <f>AND(ПрилШахм!M13,"AAAAADr/dvU=")</f>
        <v>#VALUE!</v>
      </c>
      <c r="IM24" t="e">
        <f>AND(ПрилШахм!N13,"AAAAADr/dvY=")</f>
        <v>#VALUE!</v>
      </c>
      <c r="IN24" t="e">
        <f>AND(ПрилШахм!O13,"AAAAADr/dvc=")</f>
        <v>#VALUE!</v>
      </c>
      <c r="IO24">
        <f>IF(ПрилШахм!14:14,"AAAAADr/dvg=",0)</f>
        <v>0</v>
      </c>
      <c r="IP24" t="e">
        <f>AND(ПрилШахм!B14,"AAAAADr/dvk=")</f>
        <v>#VALUE!</v>
      </c>
      <c r="IQ24" t="e">
        <f>AND(ПрилШахм!C14,"AAAAADr/dvo=")</f>
        <v>#VALUE!</v>
      </c>
      <c r="IR24" t="e">
        <f>AND(ПрилШахм!D14,"AAAAADr/dvs=")</f>
        <v>#VALUE!</v>
      </c>
      <c r="IS24" t="e">
        <f>AND(ПрилШахм!E14,"AAAAADr/dvw=")</f>
        <v>#VALUE!</v>
      </c>
      <c r="IT24" t="e">
        <f>AND(ПрилШахм!F14,"AAAAADr/dv0=")</f>
        <v>#VALUE!</v>
      </c>
      <c r="IU24" t="e">
        <f>AND(ПрилШахм!G14,"AAAAADr/dv4=")</f>
        <v>#VALUE!</v>
      </c>
      <c r="IV24" t="e">
        <f>AND(ПрилШахм!H14,"AAAAADr/dv8=")</f>
        <v>#VALUE!</v>
      </c>
    </row>
    <row r="25" spans="1:256">
      <c r="A25" t="e">
        <f>AND(ПрилШахм!I14,"AAAAAEnv3gA=")</f>
        <v>#VALUE!</v>
      </c>
      <c r="B25" t="e">
        <f>AND(ПрилШахм!J14,"AAAAAEnv3gE=")</f>
        <v>#VALUE!</v>
      </c>
      <c r="C25" t="e">
        <f>AND(ПрилШахм!K14,"AAAAAEnv3gI=")</f>
        <v>#VALUE!</v>
      </c>
      <c r="D25" t="e">
        <f>AND(ПрилШахм!L14,"AAAAAEnv3gM=")</f>
        <v>#VALUE!</v>
      </c>
      <c r="E25" t="e">
        <f>AND(ПрилШахм!M14,"AAAAAEnv3gQ=")</f>
        <v>#VALUE!</v>
      </c>
      <c r="F25" t="e">
        <f>AND(ПрилШахм!N14,"AAAAAEnv3gU=")</f>
        <v>#VALUE!</v>
      </c>
      <c r="G25" t="e">
        <f>AND(ПрилШахм!O14,"AAAAAEnv3gY=")</f>
        <v>#VALUE!</v>
      </c>
      <c r="H25">
        <f>IF(ПрилШахм!15:15,"AAAAAEnv3gc=",0)</f>
        <v>0</v>
      </c>
      <c r="I25" t="e">
        <f>AND(ПрилШахм!B15,"AAAAAEnv3gg=")</f>
        <v>#VALUE!</v>
      </c>
      <c r="J25" t="e">
        <f>AND(ПрилШахм!C15,"AAAAAEnv3gk=")</f>
        <v>#VALUE!</v>
      </c>
      <c r="K25" t="e">
        <f>AND(ПрилШахм!D15,"AAAAAEnv3go=")</f>
        <v>#VALUE!</v>
      </c>
      <c r="L25" t="e">
        <f>AND(ПрилШахм!E15,"AAAAAEnv3gs=")</f>
        <v>#VALUE!</v>
      </c>
      <c r="M25" t="e">
        <f>AND(ПрилШахм!F15,"AAAAAEnv3gw=")</f>
        <v>#VALUE!</v>
      </c>
      <c r="N25" t="e">
        <f>AND(ПрилШахм!G15,"AAAAAEnv3g0=")</f>
        <v>#VALUE!</v>
      </c>
      <c r="O25" t="e">
        <f>AND(ПрилШахм!H15,"AAAAAEnv3g4=")</f>
        <v>#VALUE!</v>
      </c>
      <c r="P25" t="e">
        <f>AND(ПрилШахм!I15,"AAAAAEnv3g8=")</f>
        <v>#VALUE!</v>
      </c>
      <c r="Q25" t="e">
        <f>AND(ПрилШахм!J15,"AAAAAEnv3hA=")</f>
        <v>#VALUE!</v>
      </c>
      <c r="R25" t="e">
        <f>AND(ПрилШахм!K15,"AAAAAEnv3hE=")</f>
        <v>#VALUE!</v>
      </c>
      <c r="S25" t="e">
        <f>AND(ПрилШахм!L15,"AAAAAEnv3hI=")</f>
        <v>#VALUE!</v>
      </c>
      <c r="T25" t="e">
        <f>AND(ПрилШахм!M15,"AAAAAEnv3hM=")</f>
        <v>#VALUE!</v>
      </c>
      <c r="U25" t="e">
        <f>AND(ПрилШахм!N15,"AAAAAEnv3hQ=")</f>
        <v>#VALUE!</v>
      </c>
      <c r="V25" t="e">
        <f>AND(ПрилШахм!O15,"AAAAAEnv3hU=")</f>
        <v>#VALUE!</v>
      </c>
      <c r="W25">
        <f>IF(ПрилШахм!16:16,"AAAAAEnv3hY=",0)</f>
        <v>0</v>
      </c>
      <c r="X25" t="e">
        <f>AND(ПрилШахм!B16,"AAAAAEnv3hc=")</f>
        <v>#VALUE!</v>
      </c>
      <c r="Y25" t="e">
        <f>AND(ПрилШахм!C16,"AAAAAEnv3hg=")</f>
        <v>#VALUE!</v>
      </c>
      <c r="Z25" t="e">
        <f>AND(ПрилШахм!D16,"AAAAAEnv3hk=")</f>
        <v>#VALUE!</v>
      </c>
      <c r="AA25" t="e">
        <f>AND(ПрилШахм!E16,"AAAAAEnv3ho=")</f>
        <v>#VALUE!</v>
      </c>
      <c r="AB25" t="e">
        <f>AND(ПрилШахм!F16,"AAAAAEnv3hs=")</f>
        <v>#VALUE!</v>
      </c>
      <c r="AC25" t="e">
        <f>AND(ПрилШахм!G16,"AAAAAEnv3hw=")</f>
        <v>#VALUE!</v>
      </c>
      <c r="AD25" t="e">
        <f>AND(ПрилШахм!H16,"AAAAAEnv3h0=")</f>
        <v>#VALUE!</v>
      </c>
      <c r="AE25" t="e">
        <f>AND(ПрилШахм!I16,"AAAAAEnv3h4=")</f>
        <v>#VALUE!</v>
      </c>
      <c r="AF25" t="e">
        <f>AND(ПрилШахм!J16,"AAAAAEnv3h8=")</f>
        <v>#VALUE!</v>
      </c>
      <c r="AG25" t="e">
        <f>AND(ПрилШахм!K16,"AAAAAEnv3iA=")</f>
        <v>#VALUE!</v>
      </c>
      <c r="AH25" t="e">
        <f>AND(ПрилШахм!L16,"AAAAAEnv3iE=")</f>
        <v>#VALUE!</v>
      </c>
      <c r="AI25" t="e">
        <f>AND(ПрилШахм!M16,"AAAAAEnv3iI=")</f>
        <v>#VALUE!</v>
      </c>
      <c r="AJ25" t="e">
        <f>AND(ПрилШахм!N16,"AAAAAEnv3iM=")</f>
        <v>#VALUE!</v>
      </c>
      <c r="AK25" t="e">
        <f>AND(ПрилШахм!O16,"AAAAAEnv3iQ=")</f>
        <v>#VALUE!</v>
      </c>
      <c r="AL25">
        <f>IF(ПрилШахм!17:17,"AAAAAEnv3iU=",0)</f>
        <v>0</v>
      </c>
      <c r="AM25" t="e">
        <f>AND(ПрилШахм!B17,"AAAAAEnv3iY=")</f>
        <v>#VALUE!</v>
      </c>
      <c r="AN25" t="e">
        <f>AND(ПрилШахм!C17,"AAAAAEnv3ic=")</f>
        <v>#VALUE!</v>
      </c>
      <c r="AO25" t="e">
        <f>AND(ПрилШахм!D17,"AAAAAEnv3ig=")</f>
        <v>#VALUE!</v>
      </c>
      <c r="AP25" t="e">
        <f>AND(ПрилШахм!E17,"AAAAAEnv3ik=")</f>
        <v>#VALUE!</v>
      </c>
      <c r="AQ25" t="e">
        <f>AND(ПрилШахм!F17,"AAAAAEnv3io=")</f>
        <v>#VALUE!</v>
      </c>
      <c r="AR25" t="e">
        <f>AND(ПрилШахм!G17,"AAAAAEnv3is=")</f>
        <v>#VALUE!</v>
      </c>
      <c r="AS25" t="e">
        <f>AND(ПрилШахм!H17,"AAAAAEnv3iw=")</f>
        <v>#VALUE!</v>
      </c>
      <c r="AT25" t="e">
        <f>AND(ПрилШахм!I17,"AAAAAEnv3i0=")</f>
        <v>#VALUE!</v>
      </c>
      <c r="AU25" t="e">
        <f>AND(ПрилШахм!J17,"AAAAAEnv3i4=")</f>
        <v>#VALUE!</v>
      </c>
      <c r="AV25" t="e">
        <f>AND(ПрилШахм!K17,"AAAAAEnv3i8=")</f>
        <v>#VALUE!</v>
      </c>
      <c r="AW25" t="e">
        <f>AND(ПрилШахм!L17,"AAAAAEnv3jA=")</f>
        <v>#VALUE!</v>
      </c>
      <c r="AX25" t="e">
        <f>AND(ПрилШахм!M17,"AAAAAEnv3jE=")</f>
        <v>#VALUE!</v>
      </c>
      <c r="AY25" t="e">
        <f>AND(ПрилШахм!N17,"AAAAAEnv3jI=")</f>
        <v>#VALUE!</v>
      </c>
      <c r="AZ25" t="e">
        <f>AND(ПрилШахм!O17,"AAAAAEnv3jM=")</f>
        <v>#VALUE!</v>
      </c>
      <c r="BA25">
        <f>IF(ПрилШахм!18:18,"AAAAAEnv3jQ=",0)</f>
        <v>0</v>
      </c>
      <c r="BB25" t="e">
        <f>AND(ПрилШахм!B18,"AAAAAEnv3jU=")</f>
        <v>#VALUE!</v>
      </c>
      <c r="BC25" t="e">
        <f>AND(ПрилШахм!C18,"AAAAAEnv3jY=")</f>
        <v>#VALUE!</v>
      </c>
      <c r="BD25" t="e">
        <f>AND(ПрилШахм!D18,"AAAAAEnv3jc=")</f>
        <v>#VALUE!</v>
      </c>
      <c r="BE25" t="e">
        <f>AND(ПрилШахм!E18,"AAAAAEnv3jg=")</f>
        <v>#VALUE!</v>
      </c>
      <c r="BF25" t="e">
        <f>AND(ПрилШахм!F18,"AAAAAEnv3jk=")</f>
        <v>#VALUE!</v>
      </c>
      <c r="BG25" t="e">
        <f>AND(ПрилШахм!G18,"AAAAAEnv3jo=")</f>
        <v>#VALUE!</v>
      </c>
      <c r="BH25" t="e">
        <f>AND(ПрилШахм!H18,"AAAAAEnv3js=")</f>
        <v>#VALUE!</v>
      </c>
      <c r="BI25" t="e">
        <f>AND(ПрилШахм!I18,"AAAAAEnv3jw=")</f>
        <v>#VALUE!</v>
      </c>
      <c r="BJ25" t="e">
        <f>AND(ПрилШахм!J18,"AAAAAEnv3j0=")</f>
        <v>#VALUE!</v>
      </c>
      <c r="BK25" t="e">
        <f>AND(ПрилШахм!K18,"AAAAAEnv3j4=")</f>
        <v>#VALUE!</v>
      </c>
      <c r="BL25" t="e">
        <f>AND(ПрилШахм!L18,"AAAAAEnv3j8=")</f>
        <v>#VALUE!</v>
      </c>
      <c r="BM25" t="e">
        <f>AND(ПрилШахм!M18,"AAAAAEnv3kA=")</f>
        <v>#VALUE!</v>
      </c>
      <c r="BN25" t="e">
        <f>AND(ПрилШахм!N18,"AAAAAEnv3kE=")</f>
        <v>#VALUE!</v>
      </c>
      <c r="BO25" t="e">
        <f>AND(ПрилШахм!O18,"AAAAAEnv3kI=")</f>
        <v>#VALUE!</v>
      </c>
      <c r="BP25">
        <f>IF(ПрилШахм!19:19,"AAAAAEnv3kM=",0)</f>
        <v>0</v>
      </c>
      <c r="BQ25">
        <f>IF(ПрилШахм!20:20,"AAAAAEnv3kQ=",0)</f>
        <v>0</v>
      </c>
      <c r="BR25">
        <f>IF(ПрилШахм!A:A,"AAAAAEnv3kU=",0)</f>
        <v>0</v>
      </c>
      <c r="BS25">
        <f>IF(ПрилШахм!B:B,"AAAAAEnv3kY=",0)</f>
        <v>0</v>
      </c>
      <c r="BT25">
        <f>IF(ПрилШахм!C:C,"AAAAAEnv3kc=",0)</f>
        <v>0</v>
      </c>
      <c r="BU25">
        <f>IF(ПрилШахм!D:D,"AAAAAEnv3kg=",0)</f>
        <v>0</v>
      </c>
      <c r="BV25">
        <f>IF(ПрилШахм!E:E,"AAAAAEnv3kk=",0)</f>
        <v>0</v>
      </c>
      <c r="BW25">
        <f>IF(ПрилШахм!F:F,"AAAAAEnv3ko=",0)</f>
        <v>0</v>
      </c>
      <c r="BX25">
        <f>IF(ПрилШахм!G:G,"AAAAAEnv3ks=",0)</f>
        <v>0</v>
      </c>
      <c r="BY25">
        <f>IF(ПрилШахм!H:H,"AAAAAEnv3kw=",0)</f>
        <v>0</v>
      </c>
      <c r="BZ25">
        <f>IF(ПрилШахм!I:I,"AAAAAEnv3k0=",0)</f>
        <v>0</v>
      </c>
      <c r="CA25">
        <f>IF(ПрилШахм!J:J,"AAAAAEnv3k4=",0)</f>
        <v>0</v>
      </c>
      <c r="CB25">
        <f>IF(ПрилШахм!K:K,"AAAAAEnv3k8=",0)</f>
        <v>0</v>
      </c>
      <c r="CC25">
        <f>IF(ПрилШахм!L:L,"AAAAAEnv3lA=",0)</f>
        <v>0</v>
      </c>
      <c r="CD25">
        <f>IF(ПрилШахм!M:M,"AAAAAEnv3lE=",0)</f>
        <v>0</v>
      </c>
      <c r="CE25">
        <f>IF(ПрилШахм!N:N,"AAAAAEnv3lI=",0)</f>
        <v>0</v>
      </c>
      <c r="CF25">
        <f>IF(ПрилШахм!O:O,"AAAAAEnv3lM=",0)</f>
        <v>0</v>
      </c>
      <c r="CG25">
        <f>IF(ТС_ППС!1:1,"AAAAAEnv3lQ=",0)</f>
        <v>0</v>
      </c>
      <c r="CH25" t="e">
        <f>AND(ТС_ППС!A1,"AAAAAEnv3lU=")</f>
        <v>#VALUE!</v>
      </c>
      <c r="CI25" t="e">
        <f>AND(ТС_ППС!B1,"AAAAAEnv3lY=")</f>
        <v>#VALUE!</v>
      </c>
      <c r="CJ25" t="e">
        <f>AND(ТС_ППС!C1,"AAAAAEnv3lc=")</f>
        <v>#VALUE!</v>
      </c>
      <c r="CK25" t="e">
        <f>AND(ТС_ППС!D1,"AAAAAEnv3lg=")</f>
        <v>#VALUE!</v>
      </c>
      <c r="CL25" t="e">
        <f>AND(ТС_ППС!E1,"AAAAAEnv3lk=")</f>
        <v>#VALUE!</v>
      </c>
      <c r="CM25" t="e">
        <f>AND(ТС_ППС!F1,"AAAAAEnv3lo=")</f>
        <v>#VALUE!</v>
      </c>
      <c r="CN25" t="e">
        <f>AND(ТС_ППС!G1,"AAAAAEnv3ls=")</f>
        <v>#VALUE!</v>
      </c>
      <c r="CO25" t="e">
        <f>AND(ТС_ППС!H1,"AAAAAEnv3lw=")</f>
        <v>#VALUE!</v>
      </c>
      <c r="CP25" t="e">
        <f>AND(ТС_ППС!I1,"AAAAAEnv3l0=")</f>
        <v>#VALUE!</v>
      </c>
      <c r="CQ25" t="e">
        <f>AND(ТС_ППС!J1,"AAAAAEnv3l4=")</f>
        <v>#VALUE!</v>
      </c>
      <c r="CR25" t="e">
        <f>AND(ТС_ППС!K1,"AAAAAEnv3l8=")</f>
        <v>#VALUE!</v>
      </c>
      <c r="CS25" t="e">
        <f>AND(ТС_ППС!L1,"AAAAAEnv3mA=")</f>
        <v>#VALUE!</v>
      </c>
      <c r="CT25" t="e">
        <f>AND(ТС_ППС!M1,"AAAAAEnv3mE=")</f>
        <v>#VALUE!</v>
      </c>
      <c r="CU25" t="e">
        <f>AND(ТС_ППС!N1,"AAAAAEnv3mI=")</f>
        <v>#VALUE!</v>
      </c>
      <c r="CV25" t="e">
        <f>AND(ТС_ППС!O1,"AAAAAEnv3mM=")</f>
        <v>#VALUE!</v>
      </c>
      <c r="CW25">
        <f>IF(ТС_ППС!2:2,"AAAAAEnv3mQ=",0)</f>
        <v>0</v>
      </c>
      <c r="CX25" t="e">
        <f>AND(ТС_ППС!A2,"AAAAAEnv3mU=")</f>
        <v>#VALUE!</v>
      </c>
      <c r="CY25" t="e">
        <f>AND(ТС_ППС!B2,"AAAAAEnv3mY=")</f>
        <v>#VALUE!</v>
      </c>
      <c r="CZ25" t="e">
        <f>AND(ТС_ППС!C2,"AAAAAEnv3mc=")</f>
        <v>#VALUE!</v>
      </c>
      <c r="DA25" t="e">
        <f>AND(ТС_ППС!D2,"AAAAAEnv3mg=")</f>
        <v>#VALUE!</v>
      </c>
      <c r="DB25" t="e">
        <f>AND(ТС_ППС!E2,"AAAAAEnv3mk=")</f>
        <v>#VALUE!</v>
      </c>
      <c r="DC25" t="e">
        <f>AND(ТС_ППС!F2,"AAAAAEnv3mo=")</f>
        <v>#VALUE!</v>
      </c>
      <c r="DD25" t="e">
        <f>AND(ТС_ППС!G2,"AAAAAEnv3ms=")</f>
        <v>#VALUE!</v>
      </c>
      <c r="DE25" t="e">
        <f>AND(ТС_ППС!H2,"AAAAAEnv3mw=")</f>
        <v>#VALUE!</v>
      </c>
      <c r="DF25" t="e">
        <f>AND(ТС_ППС!I2,"AAAAAEnv3m0=")</f>
        <v>#VALUE!</v>
      </c>
      <c r="DG25" t="e">
        <f>AND(ТС_ППС!J2,"AAAAAEnv3m4=")</f>
        <v>#VALUE!</v>
      </c>
      <c r="DH25" t="e">
        <f>AND(ТС_ППС!K2,"AAAAAEnv3m8=")</f>
        <v>#VALUE!</v>
      </c>
      <c r="DI25" t="e">
        <f>AND(ТС_ППС!L2,"AAAAAEnv3nA=")</f>
        <v>#VALUE!</v>
      </c>
      <c r="DJ25" t="e">
        <f>AND(ТС_ППС!M2,"AAAAAEnv3nE=")</f>
        <v>#VALUE!</v>
      </c>
      <c r="DK25" t="e">
        <f>AND(ТС_ППС!N2,"AAAAAEnv3nI=")</f>
        <v>#VALUE!</v>
      </c>
      <c r="DL25" t="e">
        <f>AND(ТС_ППС!O2,"AAAAAEnv3nM=")</f>
        <v>#VALUE!</v>
      </c>
      <c r="DM25">
        <f>IF(ТС_ППС!3:3,"AAAAAEnv3nQ=",0)</f>
        <v>0</v>
      </c>
      <c r="DN25" t="e">
        <f>AND(ТС_ППС!A3,"AAAAAEnv3nU=")</f>
        <v>#VALUE!</v>
      </c>
      <c r="DO25" t="e">
        <f>AND(ТС_ППС!B3,"AAAAAEnv3nY=")</f>
        <v>#VALUE!</v>
      </c>
      <c r="DP25" t="e">
        <f>AND(ТС_ППС!C3,"AAAAAEnv3nc=")</f>
        <v>#VALUE!</v>
      </c>
      <c r="DQ25" t="e">
        <f>AND(ТС_ППС!D3,"AAAAAEnv3ng=")</f>
        <v>#VALUE!</v>
      </c>
      <c r="DR25" t="e">
        <f>AND(ТС_ППС!E3,"AAAAAEnv3nk=")</f>
        <v>#VALUE!</v>
      </c>
      <c r="DS25" t="e">
        <f>AND(ТС_ППС!F3,"AAAAAEnv3no=")</f>
        <v>#VALUE!</v>
      </c>
      <c r="DT25" t="e">
        <f>AND(ТС_ППС!G3,"AAAAAEnv3ns=")</f>
        <v>#VALUE!</v>
      </c>
      <c r="DU25" t="e">
        <f>AND(ТС_ППС!H3,"AAAAAEnv3nw=")</f>
        <v>#VALUE!</v>
      </c>
      <c r="DV25" t="e">
        <f>AND(ТС_ППС!I3,"AAAAAEnv3n0=")</f>
        <v>#VALUE!</v>
      </c>
      <c r="DW25" t="e">
        <f>AND(ТС_ППС!J3,"AAAAAEnv3n4=")</f>
        <v>#VALUE!</v>
      </c>
      <c r="DX25" t="e">
        <f>AND(ТС_ППС!K3,"AAAAAEnv3n8=")</f>
        <v>#VALUE!</v>
      </c>
      <c r="DY25" t="e">
        <f>AND(ТС_ППС!L3,"AAAAAEnv3oA=")</f>
        <v>#VALUE!</v>
      </c>
      <c r="DZ25" t="e">
        <f>AND(ТС_ППС!M3,"AAAAAEnv3oE=")</f>
        <v>#VALUE!</v>
      </c>
      <c r="EA25" t="e">
        <f>AND(ТС_ППС!N3,"AAAAAEnv3oI=")</f>
        <v>#VALUE!</v>
      </c>
      <c r="EB25" t="e">
        <f>AND(ТС_ППС!O3,"AAAAAEnv3oM=")</f>
        <v>#VALUE!</v>
      </c>
      <c r="EC25">
        <f>IF(ТС_ППС!4:4,"AAAAAEnv3oQ=",0)</f>
        <v>0</v>
      </c>
      <c r="ED25" t="e">
        <f>AND(ТС_ППС!A4,"AAAAAEnv3oU=")</f>
        <v>#VALUE!</v>
      </c>
      <c r="EE25" t="e">
        <f>AND(ТС_ППС!B4,"AAAAAEnv3oY=")</f>
        <v>#VALUE!</v>
      </c>
      <c r="EF25" t="e">
        <f>AND(ТС_ППС!C4,"AAAAAEnv3oc=")</f>
        <v>#VALUE!</v>
      </c>
      <c r="EG25" t="e">
        <f>AND(ТС_ППС!D4,"AAAAAEnv3og=")</f>
        <v>#VALUE!</v>
      </c>
      <c r="EH25" t="e">
        <f>AND(ТС_ППС!E4,"AAAAAEnv3ok=")</f>
        <v>#VALUE!</v>
      </c>
      <c r="EI25" t="e">
        <f>AND(ТС_ППС!F4,"AAAAAEnv3oo=")</f>
        <v>#VALUE!</v>
      </c>
      <c r="EJ25" t="e">
        <f>AND(ТС_ППС!G4,"AAAAAEnv3os=")</f>
        <v>#VALUE!</v>
      </c>
      <c r="EK25" t="e">
        <f>AND(ТС_ППС!H4,"AAAAAEnv3ow=")</f>
        <v>#VALUE!</v>
      </c>
      <c r="EL25" t="e">
        <f>AND(ТС_ППС!I4,"AAAAAEnv3o0=")</f>
        <v>#VALUE!</v>
      </c>
      <c r="EM25" t="e">
        <f>AND(ТС_ППС!J4,"AAAAAEnv3o4=")</f>
        <v>#VALUE!</v>
      </c>
      <c r="EN25" t="e">
        <f>AND(ТС_ППС!K4,"AAAAAEnv3o8=")</f>
        <v>#VALUE!</v>
      </c>
      <c r="EO25" t="e">
        <f>AND(ТС_ППС!L4,"AAAAAEnv3pA=")</f>
        <v>#VALUE!</v>
      </c>
      <c r="EP25" t="e">
        <f>AND(ТС_ППС!M4,"AAAAAEnv3pE=")</f>
        <v>#VALUE!</v>
      </c>
      <c r="EQ25" t="e">
        <f>AND(ТС_ППС!N4,"AAAAAEnv3pI=")</f>
        <v>#VALUE!</v>
      </c>
      <c r="ER25" t="e">
        <f>AND(ТС_ППС!O4,"AAAAAEnv3pM=")</f>
        <v>#VALUE!</v>
      </c>
      <c r="ES25">
        <f>IF(ТС_ППС!5:5,"AAAAAEnv3pQ=",0)</f>
        <v>0</v>
      </c>
      <c r="ET25" t="e">
        <f>AND(ТС_ППС!A5,"AAAAAEnv3pU=")</f>
        <v>#VALUE!</v>
      </c>
      <c r="EU25" t="e">
        <f>AND(ТС_ППС!B5,"AAAAAEnv3pY=")</f>
        <v>#VALUE!</v>
      </c>
      <c r="EV25" t="e">
        <f>AND(ТС_ППС!C5,"AAAAAEnv3pc=")</f>
        <v>#VALUE!</v>
      </c>
      <c r="EW25" t="e">
        <f>AND(ТС_ППС!D5,"AAAAAEnv3pg=")</f>
        <v>#VALUE!</v>
      </c>
      <c r="EX25" t="e">
        <f>AND(ТС_ППС!E5,"AAAAAEnv3pk=")</f>
        <v>#VALUE!</v>
      </c>
      <c r="EY25" t="e">
        <f>AND(ТС_ППС!F5,"AAAAAEnv3po=")</f>
        <v>#VALUE!</v>
      </c>
      <c r="EZ25" t="e">
        <f>AND(ТС_ППС!G5,"AAAAAEnv3ps=")</f>
        <v>#VALUE!</v>
      </c>
      <c r="FA25" t="e">
        <f>AND(ТС_ППС!H5,"AAAAAEnv3pw=")</f>
        <v>#VALUE!</v>
      </c>
      <c r="FB25" t="e">
        <f>AND(ТС_ППС!I5,"AAAAAEnv3p0=")</f>
        <v>#VALUE!</v>
      </c>
      <c r="FC25" t="e">
        <f>AND(ТС_ППС!J5,"AAAAAEnv3p4=")</f>
        <v>#VALUE!</v>
      </c>
      <c r="FD25" t="e">
        <f>AND(ТС_ППС!K5,"AAAAAEnv3p8=")</f>
        <v>#VALUE!</v>
      </c>
      <c r="FE25" t="e">
        <f>AND(ТС_ППС!L5,"AAAAAEnv3qA=")</f>
        <v>#VALUE!</v>
      </c>
      <c r="FF25" t="e">
        <f>AND(ТС_ППС!M5,"AAAAAEnv3qE=")</f>
        <v>#VALUE!</v>
      </c>
      <c r="FG25" t="e">
        <f>AND(ТС_ППС!N5,"AAAAAEnv3qI=")</f>
        <v>#VALUE!</v>
      </c>
      <c r="FH25" t="e">
        <f>AND(ТС_ППС!O5,"AAAAAEnv3qM=")</f>
        <v>#VALUE!</v>
      </c>
      <c r="FI25">
        <f>IF(ТС_ППС!6:6,"AAAAAEnv3qQ=",0)</f>
        <v>0</v>
      </c>
      <c r="FJ25" t="e">
        <f>AND(ТС_ППС!A6,"AAAAAEnv3qU=")</f>
        <v>#VALUE!</v>
      </c>
      <c r="FK25" t="e">
        <f>AND(ТС_ППС!B6,"AAAAAEnv3qY=")</f>
        <v>#VALUE!</v>
      </c>
      <c r="FL25" t="e">
        <f>AND(ТС_ППС!C6,"AAAAAEnv3qc=")</f>
        <v>#VALUE!</v>
      </c>
      <c r="FM25" t="e">
        <f>AND(ТС_ППС!D6,"AAAAAEnv3qg=")</f>
        <v>#VALUE!</v>
      </c>
      <c r="FN25" t="e">
        <f>AND(ТС_ППС!E6,"AAAAAEnv3qk=")</f>
        <v>#VALUE!</v>
      </c>
      <c r="FO25" t="e">
        <f>AND(ТС_ППС!F6,"AAAAAEnv3qo=")</f>
        <v>#VALUE!</v>
      </c>
      <c r="FP25" t="e">
        <f>AND(ТС_ППС!G6,"AAAAAEnv3qs=")</f>
        <v>#VALUE!</v>
      </c>
      <c r="FQ25" t="e">
        <f>AND(ТС_ППС!H6,"AAAAAEnv3qw=")</f>
        <v>#VALUE!</v>
      </c>
      <c r="FR25" t="e">
        <f>AND(ТС_ППС!I6,"AAAAAEnv3q0=")</f>
        <v>#VALUE!</v>
      </c>
      <c r="FS25" t="e">
        <f>AND(ТС_ППС!J6,"AAAAAEnv3q4=")</f>
        <v>#VALUE!</v>
      </c>
      <c r="FT25" t="e">
        <f>AND(ТС_ППС!K6,"AAAAAEnv3q8=")</f>
        <v>#VALUE!</v>
      </c>
      <c r="FU25" t="e">
        <f>AND(ТС_ППС!L6,"AAAAAEnv3rA=")</f>
        <v>#VALUE!</v>
      </c>
      <c r="FV25" t="e">
        <f>AND(ТС_ППС!M6,"AAAAAEnv3rE=")</f>
        <v>#VALUE!</v>
      </c>
      <c r="FW25" t="e">
        <f>AND(ТС_ППС!N6,"AAAAAEnv3rI=")</f>
        <v>#VALUE!</v>
      </c>
      <c r="FX25" t="e">
        <f>AND(ТС_ППС!O6,"AAAAAEnv3rM=")</f>
        <v>#VALUE!</v>
      </c>
      <c r="FY25">
        <f>IF(ТС_ППС!7:7,"AAAAAEnv3rQ=",0)</f>
        <v>0</v>
      </c>
      <c r="FZ25" t="e">
        <f>AND(ТС_ППС!A7,"AAAAAEnv3rU=")</f>
        <v>#VALUE!</v>
      </c>
      <c r="GA25" t="e">
        <f>AND(ТС_ППС!B7,"AAAAAEnv3rY=")</f>
        <v>#VALUE!</v>
      </c>
      <c r="GB25" t="e">
        <f>AND(ТС_ППС!C7,"AAAAAEnv3rc=")</f>
        <v>#VALUE!</v>
      </c>
      <c r="GC25" t="e">
        <f>AND(ТС_ППС!D7,"AAAAAEnv3rg=")</f>
        <v>#VALUE!</v>
      </c>
      <c r="GD25" t="e">
        <f>AND(ТС_ППС!E7,"AAAAAEnv3rk=")</f>
        <v>#VALUE!</v>
      </c>
      <c r="GE25" t="e">
        <f>AND(ТС_ППС!F7,"AAAAAEnv3ro=")</f>
        <v>#VALUE!</v>
      </c>
      <c r="GF25" t="e">
        <f>AND(ТС_ППС!G7,"AAAAAEnv3rs=")</f>
        <v>#VALUE!</v>
      </c>
      <c r="GG25" t="e">
        <f>AND(ТС_ППС!H7,"AAAAAEnv3rw=")</f>
        <v>#VALUE!</v>
      </c>
      <c r="GH25" t="e">
        <f>AND(ТС_ППС!I7,"AAAAAEnv3r0=")</f>
        <v>#VALUE!</v>
      </c>
      <c r="GI25" t="e">
        <f>AND(ТС_ППС!J7,"AAAAAEnv3r4=")</f>
        <v>#VALUE!</v>
      </c>
      <c r="GJ25" t="e">
        <f>AND(ТС_ППС!K7,"AAAAAEnv3r8=")</f>
        <v>#VALUE!</v>
      </c>
      <c r="GK25" t="e">
        <f>AND(ТС_ППС!L7,"AAAAAEnv3sA=")</f>
        <v>#VALUE!</v>
      </c>
      <c r="GL25" t="e">
        <f>AND(ТС_ППС!M7,"AAAAAEnv3sE=")</f>
        <v>#VALUE!</v>
      </c>
      <c r="GM25" t="e">
        <f>AND(ТС_ППС!N7,"AAAAAEnv3sI=")</f>
        <v>#VALUE!</v>
      </c>
      <c r="GN25" t="e">
        <f>AND(ТС_ППС!O7,"AAAAAEnv3sM=")</f>
        <v>#VALUE!</v>
      </c>
      <c r="GO25">
        <f>IF(ТС_ППС!8:8,"AAAAAEnv3sQ=",0)</f>
        <v>0</v>
      </c>
      <c r="GP25" t="e">
        <f>AND(ТС_ППС!A8,"AAAAAEnv3sU=")</f>
        <v>#VALUE!</v>
      </c>
      <c r="GQ25" t="e">
        <f>AND(ТС_ППС!B8,"AAAAAEnv3sY=")</f>
        <v>#VALUE!</v>
      </c>
      <c r="GR25" t="e">
        <f>AND(ТС_ППС!C8,"AAAAAEnv3sc=")</f>
        <v>#VALUE!</v>
      </c>
      <c r="GS25" t="e">
        <f>AND(ТС_ППС!D8,"AAAAAEnv3sg=")</f>
        <v>#VALUE!</v>
      </c>
      <c r="GT25" t="e">
        <f>AND(ТС_ППС!E8,"AAAAAEnv3sk=")</f>
        <v>#VALUE!</v>
      </c>
      <c r="GU25" t="e">
        <f>AND(ТС_ППС!F8,"AAAAAEnv3so=")</f>
        <v>#VALUE!</v>
      </c>
      <c r="GV25" t="e">
        <f>AND(ТС_ППС!G8,"AAAAAEnv3ss=")</f>
        <v>#VALUE!</v>
      </c>
      <c r="GW25" t="e">
        <f>AND(ТС_ППС!H8,"AAAAAEnv3sw=")</f>
        <v>#VALUE!</v>
      </c>
      <c r="GX25" t="e">
        <f>AND(ТС_ППС!I8,"AAAAAEnv3s0=")</f>
        <v>#VALUE!</v>
      </c>
      <c r="GY25" t="e">
        <f>AND(ТС_ППС!J8,"AAAAAEnv3s4=")</f>
        <v>#VALUE!</v>
      </c>
      <c r="GZ25" t="e">
        <f>AND(ТС_ППС!K8,"AAAAAEnv3s8=")</f>
        <v>#VALUE!</v>
      </c>
      <c r="HA25" t="e">
        <f>AND(ТС_ППС!L8,"AAAAAEnv3tA=")</f>
        <v>#VALUE!</v>
      </c>
      <c r="HB25" t="e">
        <f>AND(ТС_ППС!M8,"AAAAAEnv3tE=")</f>
        <v>#VALUE!</v>
      </c>
      <c r="HC25" t="e">
        <f>AND(ТС_ППС!N8,"AAAAAEnv3tI=")</f>
        <v>#VALUE!</v>
      </c>
      <c r="HD25" t="e">
        <f>AND(ТС_ППС!O8,"AAAAAEnv3tM=")</f>
        <v>#VALUE!</v>
      </c>
      <c r="HE25">
        <f>IF(ТС_ППС!9:9,"AAAAAEnv3tQ=",0)</f>
        <v>0</v>
      </c>
      <c r="HF25" t="e">
        <f>AND(ТС_ППС!A9,"AAAAAEnv3tU=")</f>
        <v>#VALUE!</v>
      </c>
      <c r="HG25" t="e">
        <f>AND(ТС_ППС!B9,"AAAAAEnv3tY=")</f>
        <v>#VALUE!</v>
      </c>
      <c r="HH25" t="e">
        <f>AND(ТС_ППС!C9,"AAAAAEnv3tc=")</f>
        <v>#VALUE!</v>
      </c>
      <c r="HI25" t="e">
        <f>AND(ТС_ППС!D9,"AAAAAEnv3tg=")</f>
        <v>#VALUE!</v>
      </c>
      <c r="HJ25" t="e">
        <f>AND(ТС_ППС!E9,"AAAAAEnv3tk=")</f>
        <v>#VALUE!</v>
      </c>
      <c r="HK25" t="e">
        <f>AND(ТС_ППС!F9,"AAAAAEnv3to=")</f>
        <v>#VALUE!</v>
      </c>
      <c r="HL25" t="e">
        <f>AND(ТС_ППС!G9,"AAAAAEnv3ts=")</f>
        <v>#VALUE!</v>
      </c>
      <c r="HM25" t="e">
        <f>AND(ТС_ППС!H9,"AAAAAEnv3tw=")</f>
        <v>#VALUE!</v>
      </c>
      <c r="HN25" t="e">
        <f>AND(ТС_ППС!I9,"AAAAAEnv3t0=")</f>
        <v>#VALUE!</v>
      </c>
      <c r="HO25" t="e">
        <f>AND(ТС_ППС!J9,"AAAAAEnv3t4=")</f>
        <v>#VALUE!</v>
      </c>
      <c r="HP25" t="e">
        <f>AND(ТС_ППС!K9,"AAAAAEnv3t8=")</f>
        <v>#VALUE!</v>
      </c>
      <c r="HQ25" t="e">
        <f>AND(ТС_ППС!L9,"AAAAAEnv3uA=")</f>
        <v>#VALUE!</v>
      </c>
      <c r="HR25" t="e">
        <f>AND(ТС_ППС!M9,"AAAAAEnv3uE=")</f>
        <v>#VALUE!</v>
      </c>
      <c r="HS25" t="e">
        <f>AND(ТС_ППС!N9,"AAAAAEnv3uI=")</f>
        <v>#VALUE!</v>
      </c>
      <c r="HT25" t="e">
        <f>AND(ТС_ППС!O9,"AAAAAEnv3uM=")</f>
        <v>#VALUE!</v>
      </c>
      <c r="HU25">
        <f>IF(ТС_ППС!10:10,"AAAAAEnv3uQ=",0)</f>
        <v>0</v>
      </c>
      <c r="HV25" t="e">
        <f>AND(ТС_ППС!A10,"AAAAAEnv3uU=")</f>
        <v>#VALUE!</v>
      </c>
      <c r="HW25" t="e">
        <f>AND(ТС_ППС!B10,"AAAAAEnv3uY=")</f>
        <v>#VALUE!</v>
      </c>
      <c r="HX25" t="e">
        <f>AND(ТС_ППС!C10,"AAAAAEnv3uc=")</f>
        <v>#VALUE!</v>
      </c>
      <c r="HY25" t="e">
        <f>AND(ТС_ППС!D10,"AAAAAEnv3ug=")</f>
        <v>#VALUE!</v>
      </c>
      <c r="HZ25" t="e">
        <f>AND(ТС_ППС!E10,"AAAAAEnv3uk=")</f>
        <v>#VALUE!</v>
      </c>
      <c r="IA25" t="e">
        <f>AND(ТС_ППС!F10,"AAAAAEnv3uo=")</f>
        <v>#VALUE!</v>
      </c>
      <c r="IB25" t="e">
        <f>AND(ТС_ППС!G10,"AAAAAEnv3us=")</f>
        <v>#VALUE!</v>
      </c>
      <c r="IC25" t="e">
        <f>AND(ТС_ППС!H10,"AAAAAEnv3uw=")</f>
        <v>#VALUE!</v>
      </c>
      <c r="ID25" t="e">
        <f>AND(ТС_ППС!I10,"AAAAAEnv3u0=")</f>
        <v>#VALUE!</v>
      </c>
      <c r="IE25" t="e">
        <f>AND(ТС_ППС!J10,"AAAAAEnv3u4=")</f>
        <v>#VALUE!</v>
      </c>
      <c r="IF25" t="e">
        <f>AND(ТС_ППС!K10,"AAAAAEnv3u8=")</f>
        <v>#VALUE!</v>
      </c>
      <c r="IG25" t="e">
        <f>AND(ТС_ППС!L10,"AAAAAEnv3vA=")</f>
        <v>#VALUE!</v>
      </c>
      <c r="IH25" t="e">
        <f>AND(ТС_ППС!M10,"AAAAAEnv3vE=")</f>
        <v>#VALUE!</v>
      </c>
      <c r="II25" t="e">
        <f>AND(ТС_ППС!N10,"AAAAAEnv3vI=")</f>
        <v>#VALUE!</v>
      </c>
      <c r="IJ25" t="e">
        <f>AND(ТС_ППС!O10,"AAAAAEnv3vM=")</f>
        <v>#VALUE!</v>
      </c>
      <c r="IK25">
        <f>IF(ТС_ППС!11:11,"AAAAAEnv3vQ=",0)</f>
        <v>0</v>
      </c>
      <c r="IL25" t="e">
        <f>AND(ТС_ППС!A11,"AAAAAEnv3vU=")</f>
        <v>#VALUE!</v>
      </c>
      <c r="IM25" t="e">
        <f>AND(ТС_ППС!B11,"AAAAAEnv3vY=")</f>
        <v>#VALUE!</v>
      </c>
      <c r="IN25" t="e">
        <f>AND(ТС_ППС!C11,"AAAAAEnv3vc=")</f>
        <v>#VALUE!</v>
      </c>
      <c r="IO25" t="e">
        <f>AND(ТС_ППС!D11,"AAAAAEnv3vg=")</f>
        <v>#VALUE!</v>
      </c>
      <c r="IP25" t="e">
        <f>AND(ТС_ППС!E11,"AAAAAEnv3vk=")</f>
        <v>#VALUE!</v>
      </c>
      <c r="IQ25" t="e">
        <f>AND(ТС_ППС!F11,"AAAAAEnv3vo=")</f>
        <v>#VALUE!</v>
      </c>
      <c r="IR25" t="e">
        <f>AND(ТС_ППС!G11,"AAAAAEnv3vs=")</f>
        <v>#VALUE!</v>
      </c>
      <c r="IS25" t="e">
        <f>AND(ТС_ППС!H11,"AAAAAEnv3vw=")</f>
        <v>#VALUE!</v>
      </c>
      <c r="IT25" t="e">
        <f>AND(ТС_ППС!I11,"AAAAAEnv3v0=")</f>
        <v>#VALUE!</v>
      </c>
      <c r="IU25" t="e">
        <f>AND(ТС_ППС!J11,"AAAAAEnv3v4=")</f>
        <v>#VALUE!</v>
      </c>
      <c r="IV25" t="e">
        <f>AND(ТС_ППС!K11,"AAAAAEnv3v8=")</f>
        <v>#VALUE!</v>
      </c>
    </row>
    <row r="26" spans="1:256">
      <c r="A26" t="e">
        <f>AND(ТС_ППС!L11,"AAAAAH7e/QA=")</f>
        <v>#VALUE!</v>
      </c>
      <c r="B26" t="e">
        <f>AND(ТС_ППС!M11,"AAAAAH7e/QE=")</f>
        <v>#VALUE!</v>
      </c>
      <c r="C26" t="e">
        <f>AND(ТС_ППС!N11,"AAAAAH7e/QI=")</f>
        <v>#VALUE!</v>
      </c>
      <c r="D26" t="e">
        <f>AND(ТС_ППС!O11,"AAAAAH7e/QM=")</f>
        <v>#VALUE!</v>
      </c>
      <c r="E26">
        <f>IF(ТС_ППС!12:12,"AAAAAH7e/QQ=",0)</f>
        <v>0</v>
      </c>
      <c r="F26" t="e">
        <f>AND(ТС_ППС!A12,"AAAAAH7e/QU=")</f>
        <v>#VALUE!</v>
      </c>
      <c r="G26" t="e">
        <f>AND(ТС_ППС!B12,"AAAAAH7e/QY=")</f>
        <v>#VALUE!</v>
      </c>
      <c r="H26" t="e">
        <f>AND(ТС_ППС!C12,"AAAAAH7e/Qc=")</f>
        <v>#VALUE!</v>
      </c>
      <c r="I26" t="e">
        <f>AND(ТС_ППС!D12,"AAAAAH7e/Qg=")</f>
        <v>#VALUE!</v>
      </c>
      <c r="J26" t="e">
        <f>AND(ТС_ППС!E12,"AAAAAH7e/Qk=")</f>
        <v>#VALUE!</v>
      </c>
      <c r="K26" t="e">
        <f>AND(ТС_ППС!F12,"AAAAAH7e/Qo=")</f>
        <v>#VALUE!</v>
      </c>
      <c r="L26" t="e">
        <f>AND(ТС_ППС!G12,"AAAAAH7e/Qs=")</f>
        <v>#VALUE!</v>
      </c>
      <c r="M26" t="e">
        <f>AND(ТС_ППС!H12,"AAAAAH7e/Qw=")</f>
        <v>#VALUE!</v>
      </c>
      <c r="N26" t="e">
        <f>AND(ТС_ППС!I12,"AAAAAH7e/Q0=")</f>
        <v>#VALUE!</v>
      </c>
      <c r="O26" t="e">
        <f>AND(ТС_ППС!J12,"AAAAAH7e/Q4=")</f>
        <v>#VALUE!</v>
      </c>
      <c r="P26" t="e">
        <f>AND(ТС_ППС!K12,"AAAAAH7e/Q8=")</f>
        <v>#VALUE!</v>
      </c>
      <c r="Q26" t="e">
        <f>AND(ТС_ППС!L12,"AAAAAH7e/RA=")</f>
        <v>#VALUE!</v>
      </c>
      <c r="R26" t="e">
        <f>AND(ТС_ППС!M12,"AAAAAH7e/RE=")</f>
        <v>#VALUE!</v>
      </c>
      <c r="S26" t="e">
        <f>AND(ТС_ППС!N12,"AAAAAH7e/RI=")</f>
        <v>#VALUE!</v>
      </c>
      <c r="T26" t="e">
        <f>AND(ТС_ППС!O12,"AAAAAH7e/RM=")</f>
        <v>#VALUE!</v>
      </c>
      <c r="U26">
        <f>IF(ТС_ППС!13:13,"AAAAAH7e/RQ=",0)</f>
        <v>0</v>
      </c>
      <c r="V26" t="e">
        <f>AND(ТС_ППС!A13,"AAAAAH7e/RU=")</f>
        <v>#VALUE!</v>
      </c>
      <c r="W26" t="e">
        <f>AND(ТС_ППС!B13,"AAAAAH7e/RY=")</f>
        <v>#VALUE!</v>
      </c>
      <c r="X26" t="e">
        <f>AND(ТС_ППС!C13,"AAAAAH7e/Rc=")</f>
        <v>#VALUE!</v>
      </c>
      <c r="Y26" t="e">
        <f>AND(ТС_ППС!D13,"AAAAAH7e/Rg=")</f>
        <v>#VALUE!</v>
      </c>
      <c r="Z26" t="e">
        <f>AND(ТС_ППС!E13,"AAAAAH7e/Rk=")</f>
        <v>#VALUE!</v>
      </c>
      <c r="AA26" t="e">
        <f>AND(ТС_ППС!F13,"AAAAAH7e/Ro=")</f>
        <v>#VALUE!</v>
      </c>
      <c r="AB26" t="e">
        <f>AND(ТС_ППС!G13,"AAAAAH7e/Rs=")</f>
        <v>#VALUE!</v>
      </c>
      <c r="AC26" t="e">
        <f>AND(ТС_ППС!H13,"AAAAAH7e/Rw=")</f>
        <v>#VALUE!</v>
      </c>
      <c r="AD26" t="e">
        <f>AND(ТС_ППС!I13,"AAAAAH7e/R0=")</f>
        <v>#VALUE!</v>
      </c>
      <c r="AE26" t="e">
        <f>AND(ТС_ППС!J13,"AAAAAH7e/R4=")</f>
        <v>#VALUE!</v>
      </c>
      <c r="AF26" t="e">
        <f>AND(ТС_ППС!K13,"AAAAAH7e/R8=")</f>
        <v>#VALUE!</v>
      </c>
      <c r="AG26" t="e">
        <f>AND(ТС_ППС!L13,"AAAAAH7e/SA=")</f>
        <v>#VALUE!</v>
      </c>
      <c r="AH26" t="e">
        <f>AND(ТС_ППС!M13,"AAAAAH7e/SE=")</f>
        <v>#VALUE!</v>
      </c>
      <c r="AI26" t="e">
        <f>AND(ТС_ППС!N13,"AAAAAH7e/SI=")</f>
        <v>#VALUE!</v>
      </c>
      <c r="AJ26" t="e">
        <f>AND(ТС_ППС!O13,"AAAAAH7e/SM=")</f>
        <v>#VALUE!</v>
      </c>
      <c r="AK26">
        <f>IF(ТС_ППС!14:14,"AAAAAH7e/SQ=",0)</f>
        <v>0</v>
      </c>
      <c r="AL26" t="e">
        <f>AND(ТС_ППС!A14,"AAAAAH7e/SU=")</f>
        <v>#VALUE!</v>
      </c>
      <c r="AM26" t="e">
        <f>AND(ТС_ППС!B14,"AAAAAH7e/SY=")</f>
        <v>#VALUE!</v>
      </c>
      <c r="AN26" t="e">
        <f>AND(ТС_ППС!C14,"AAAAAH7e/Sc=")</f>
        <v>#VALUE!</v>
      </c>
      <c r="AO26" t="e">
        <f>AND(ТС_ППС!D14,"AAAAAH7e/Sg=")</f>
        <v>#VALUE!</v>
      </c>
      <c r="AP26" t="e">
        <f>AND(ТС_ППС!E14,"AAAAAH7e/Sk=")</f>
        <v>#VALUE!</v>
      </c>
      <c r="AQ26" t="e">
        <f>AND(ТС_ППС!F14,"AAAAAH7e/So=")</f>
        <v>#VALUE!</v>
      </c>
      <c r="AR26" t="e">
        <f>AND(ТС_ППС!G14,"AAAAAH7e/Ss=")</f>
        <v>#VALUE!</v>
      </c>
      <c r="AS26" t="e">
        <f>AND(ТС_ППС!H14,"AAAAAH7e/Sw=")</f>
        <v>#VALUE!</v>
      </c>
      <c r="AT26" t="e">
        <f>AND(ТС_ППС!I14,"AAAAAH7e/S0=")</f>
        <v>#VALUE!</v>
      </c>
      <c r="AU26" t="e">
        <f>AND(ТС_ППС!J14,"AAAAAH7e/S4=")</f>
        <v>#VALUE!</v>
      </c>
      <c r="AV26" t="e">
        <f>AND(ТС_ППС!K14,"AAAAAH7e/S8=")</f>
        <v>#VALUE!</v>
      </c>
      <c r="AW26" t="e">
        <f>AND(ТС_ППС!L14,"AAAAAH7e/TA=")</f>
        <v>#VALUE!</v>
      </c>
      <c r="AX26" t="e">
        <f>AND(ТС_ППС!M14,"AAAAAH7e/TE=")</f>
        <v>#VALUE!</v>
      </c>
      <c r="AY26" t="e">
        <f>AND(ТС_ППС!N14,"AAAAAH7e/TI=")</f>
        <v>#VALUE!</v>
      </c>
      <c r="AZ26" t="e">
        <f>AND(ТС_ППС!O14,"AAAAAH7e/TM=")</f>
        <v>#VALUE!</v>
      </c>
      <c r="BA26">
        <f>IF(ТС_ППС!15:15,"AAAAAH7e/TQ=",0)</f>
        <v>0</v>
      </c>
      <c r="BB26" t="e">
        <f>AND(ТС_ППС!A15,"AAAAAH7e/TU=")</f>
        <v>#VALUE!</v>
      </c>
      <c r="BC26" t="e">
        <f>AND(ТС_ППС!B15,"AAAAAH7e/TY=")</f>
        <v>#VALUE!</v>
      </c>
      <c r="BD26" t="e">
        <f>AND(ТС_ППС!C15,"AAAAAH7e/Tc=")</f>
        <v>#VALUE!</v>
      </c>
      <c r="BE26" t="e">
        <f>AND(ТС_ППС!D15,"AAAAAH7e/Tg=")</f>
        <v>#VALUE!</v>
      </c>
      <c r="BF26" t="e">
        <f>AND(ТС_ППС!E15,"AAAAAH7e/Tk=")</f>
        <v>#VALUE!</v>
      </c>
      <c r="BG26" t="e">
        <f>AND(ТС_ППС!F15,"AAAAAH7e/To=")</f>
        <v>#VALUE!</v>
      </c>
      <c r="BH26" t="e">
        <f>AND(ТС_ППС!G15,"AAAAAH7e/Ts=")</f>
        <v>#VALUE!</v>
      </c>
      <c r="BI26" t="e">
        <f>AND(ТС_ППС!H15,"AAAAAH7e/Tw=")</f>
        <v>#VALUE!</v>
      </c>
      <c r="BJ26" t="e">
        <f>AND(ТС_ППС!I15,"AAAAAH7e/T0=")</f>
        <v>#VALUE!</v>
      </c>
      <c r="BK26" t="e">
        <f>AND(ТС_ППС!J15,"AAAAAH7e/T4=")</f>
        <v>#VALUE!</v>
      </c>
      <c r="BL26" t="e">
        <f>AND(ТС_ППС!K15,"AAAAAH7e/T8=")</f>
        <v>#VALUE!</v>
      </c>
      <c r="BM26" t="e">
        <f>AND(ТС_ППС!L15,"AAAAAH7e/UA=")</f>
        <v>#VALUE!</v>
      </c>
      <c r="BN26" t="e">
        <f>AND(ТС_ППС!M15,"AAAAAH7e/UE=")</f>
        <v>#VALUE!</v>
      </c>
      <c r="BO26" t="e">
        <f>AND(ТС_ППС!N15,"AAAAAH7e/UI=")</f>
        <v>#VALUE!</v>
      </c>
      <c r="BP26" t="e">
        <f>AND(ТС_ППС!O15,"AAAAAH7e/UM=")</f>
        <v>#VALUE!</v>
      </c>
      <c r="BQ26">
        <f>IF(ТС_ППС!16:16,"AAAAAH7e/UQ=",0)</f>
        <v>0</v>
      </c>
      <c r="BR26" t="e">
        <f>AND(ТС_ППС!A16,"AAAAAH7e/UU=")</f>
        <v>#VALUE!</v>
      </c>
      <c r="BS26" t="e">
        <f>AND(ТС_ППС!B16,"AAAAAH7e/UY=")</f>
        <v>#VALUE!</v>
      </c>
      <c r="BT26" t="e">
        <f>AND(ТС_ППС!C16,"AAAAAH7e/Uc=")</f>
        <v>#VALUE!</v>
      </c>
      <c r="BU26" t="e">
        <f>AND(ТС_ППС!D16,"AAAAAH7e/Ug=")</f>
        <v>#VALUE!</v>
      </c>
      <c r="BV26" t="e">
        <f>AND(ТС_ППС!E16,"AAAAAH7e/Uk=")</f>
        <v>#VALUE!</v>
      </c>
      <c r="BW26" t="e">
        <f>AND(ТС_ППС!F16,"AAAAAH7e/Uo=")</f>
        <v>#VALUE!</v>
      </c>
      <c r="BX26" t="e">
        <f>AND(ТС_ППС!G16,"AAAAAH7e/Us=")</f>
        <v>#VALUE!</v>
      </c>
      <c r="BY26" t="e">
        <f>AND(ТС_ППС!H16,"AAAAAH7e/Uw=")</f>
        <v>#VALUE!</v>
      </c>
      <c r="BZ26" t="e">
        <f>AND(ТС_ППС!I16,"AAAAAH7e/U0=")</f>
        <v>#VALUE!</v>
      </c>
      <c r="CA26" t="e">
        <f>AND(ТС_ППС!J16,"AAAAAH7e/U4=")</f>
        <v>#VALUE!</v>
      </c>
      <c r="CB26" t="e">
        <f>AND(ТС_ППС!K16,"AAAAAH7e/U8=")</f>
        <v>#VALUE!</v>
      </c>
      <c r="CC26" t="e">
        <f>AND(ТС_ППС!L16,"AAAAAH7e/VA=")</f>
        <v>#VALUE!</v>
      </c>
      <c r="CD26" t="e">
        <f>AND(ТС_ППС!M16,"AAAAAH7e/VE=")</f>
        <v>#VALUE!</v>
      </c>
      <c r="CE26" t="e">
        <f>AND(ТС_ППС!N16,"AAAAAH7e/VI=")</f>
        <v>#VALUE!</v>
      </c>
      <c r="CF26" t="e">
        <f>AND(ТС_ППС!O16,"AAAAAH7e/VM=")</f>
        <v>#VALUE!</v>
      </c>
      <c r="CG26">
        <f>IF(ТС_ППС!17:17,"AAAAAH7e/VQ=",0)</f>
        <v>0</v>
      </c>
      <c r="CH26" t="e">
        <f>AND(ТС_ППС!A17,"AAAAAH7e/VU=")</f>
        <v>#VALUE!</v>
      </c>
      <c r="CI26" t="e">
        <f>AND(ТС_ППС!B17,"AAAAAH7e/VY=")</f>
        <v>#VALUE!</v>
      </c>
      <c r="CJ26" t="e">
        <f>AND(ТС_ППС!C17,"AAAAAH7e/Vc=")</f>
        <v>#VALUE!</v>
      </c>
      <c r="CK26" t="e">
        <f>AND(ТС_ППС!D17,"AAAAAH7e/Vg=")</f>
        <v>#VALUE!</v>
      </c>
      <c r="CL26" t="e">
        <f>AND(ТС_ППС!E17,"AAAAAH7e/Vk=")</f>
        <v>#VALUE!</v>
      </c>
      <c r="CM26" t="e">
        <f>AND(ТС_ППС!F17,"AAAAAH7e/Vo=")</f>
        <v>#VALUE!</v>
      </c>
      <c r="CN26" t="e">
        <f>AND(ТС_ППС!G17,"AAAAAH7e/Vs=")</f>
        <v>#VALUE!</v>
      </c>
      <c r="CO26" t="e">
        <f>AND(ТС_ППС!H17,"AAAAAH7e/Vw=")</f>
        <v>#VALUE!</v>
      </c>
      <c r="CP26" t="e">
        <f>AND(ТС_ППС!I17,"AAAAAH7e/V0=")</f>
        <v>#VALUE!</v>
      </c>
      <c r="CQ26" t="e">
        <f>AND(ТС_ППС!J17,"AAAAAH7e/V4=")</f>
        <v>#VALUE!</v>
      </c>
      <c r="CR26" t="e">
        <f>AND(ТС_ППС!K17,"AAAAAH7e/V8=")</f>
        <v>#VALUE!</v>
      </c>
      <c r="CS26" t="e">
        <f>AND(ТС_ППС!L17,"AAAAAH7e/WA=")</f>
        <v>#VALUE!</v>
      </c>
      <c r="CT26" t="e">
        <f>AND(ТС_ППС!M17,"AAAAAH7e/WE=")</f>
        <v>#VALUE!</v>
      </c>
      <c r="CU26" t="e">
        <f>AND(ТС_ППС!N17,"AAAAAH7e/WI=")</f>
        <v>#VALUE!</v>
      </c>
      <c r="CV26" t="e">
        <f>AND(ТС_ППС!O17,"AAAAAH7e/WM=")</f>
        <v>#VALUE!</v>
      </c>
      <c r="CW26">
        <f>IF(ТС_ППС!18:18,"AAAAAH7e/WQ=",0)</f>
        <v>0</v>
      </c>
      <c r="CX26" t="e">
        <f>AND(ТС_ППС!A18,"AAAAAH7e/WU=")</f>
        <v>#VALUE!</v>
      </c>
      <c r="CY26" t="e">
        <f>AND(ТС_ППС!B18,"AAAAAH7e/WY=")</f>
        <v>#VALUE!</v>
      </c>
      <c r="CZ26" t="e">
        <f>AND(ТС_ППС!C18,"AAAAAH7e/Wc=")</f>
        <v>#VALUE!</v>
      </c>
      <c r="DA26" t="e">
        <f>AND(ТС_ППС!D18,"AAAAAH7e/Wg=")</f>
        <v>#VALUE!</v>
      </c>
      <c r="DB26" t="e">
        <f>AND(ТС_ППС!E18,"AAAAAH7e/Wk=")</f>
        <v>#VALUE!</v>
      </c>
      <c r="DC26" t="e">
        <f>AND(ТС_ППС!F18,"AAAAAH7e/Wo=")</f>
        <v>#VALUE!</v>
      </c>
      <c r="DD26" t="e">
        <f>AND(ТС_ППС!G18,"AAAAAH7e/Ws=")</f>
        <v>#VALUE!</v>
      </c>
      <c r="DE26" t="e">
        <f>AND(ТС_ППС!H18,"AAAAAH7e/Ww=")</f>
        <v>#VALUE!</v>
      </c>
      <c r="DF26" t="e">
        <f>AND(ТС_ППС!I18,"AAAAAH7e/W0=")</f>
        <v>#VALUE!</v>
      </c>
      <c r="DG26" t="e">
        <f>AND(ТС_ППС!J18,"AAAAAH7e/W4=")</f>
        <v>#VALUE!</v>
      </c>
      <c r="DH26" t="e">
        <f>AND(ТС_ППС!K18,"AAAAAH7e/W8=")</f>
        <v>#VALUE!</v>
      </c>
      <c r="DI26" t="e">
        <f>AND(ТС_ППС!L18,"AAAAAH7e/XA=")</f>
        <v>#VALUE!</v>
      </c>
      <c r="DJ26" t="e">
        <f>AND(ТС_ППС!M18,"AAAAAH7e/XE=")</f>
        <v>#VALUE!</v>
      </c>
      <c r="DK26" t="e">
        <f>AND(ТС_ППС!N18,"AAAAAH7e/XI=")</f>
        <v>#VALUE!</v>
      </c>
      <c r="DL26" t="e">
        <f>AND(ТС_ППС!O18,"AAAAAH7e/XM=")</f>
        <v>#VALUE!</v>
      </c>
      <c r="DM26">
        <f>IF(ТС_ППС!19:19,"AAAAAH7e/XQ=",0)</f>
        <v>0</v>
      </c>
      <c r="DN26" t="e">
        <f>AND(ТС_ППС!A19,"AAAAAH7e/XU=")</f>
        <v>#VALUE!</v>
      </c>
      <c r="DO26" t="e">
        <f>AND(ТС_ППС!B19,"AAAAAH7e/XY=")</f>
        <v>#VALUE!</v>
      </c>
      <c r="DP26" t="e">
        <f>AND(ТС_ППС!C19,"AAAAAH7e/Xc=")</f>
        <v>#VALUE!</v>
      </c>
      <c r="DQ26" t="e">
        <f>AND(ТС_ППС!D19,"AAAAAH7e/Xg=")</f>
        <v>#VALUE!</v>
      </c>
      <c r="DR26" t="e">
        <f>AND(ТС_ППС!E19,"AAAAAH7e/Xk=")</f>
        <v>#VALUE!</v>
      </c>
      <c r="DS26" t="e">
        <f>AND(ТС_ППС!F19,"AAAAAH7e/Xo=")</f>
        <v>#VALUE!</v>
      </c>
      <c r="DT26" t="e">
        <f>AND(ТС_ППС!G19,"AAAAAH7e/Xs=")</f>
        <v>#VALUE!</v>
      </c>
      <c r="DU26" t="e">
        <f>AND(ТС_ППС!H19,"AAAAAH7e/Xw=")</f>
        <v>#VALUE!</v>
      </c>
      <c r="DV26" t="e">
        <f>AND(ТС_ППС!I19,"AAAAAH7e/X0=")</f>
        <v>#VALUE!</v>
      </c>
      <c r="DW26" t="e">
        <f>AND(ТС_ППС!J19,"AAAAAH7e/X4=")</f>
        <v>#VALUE!</v>
      </c>
      <c r="DX26" t="e">
        <f>AND(ТС_ППС!K19,"AAAAAH7e/X8=")</f>
        <v>#VALUE!</v>
      </c>
      <c r="DY26" t="e">
        <f>AND(ТС_ППС!L19,"AAAAAH7e/YA=")</f>
        <v>#VALUE!</v>
      </c>
      <c r="DZ26" t="e">
        <f>AND(ТС_ППС!M19,"AAAAAH7e/YE=")</f>
        <v>#VALUE!</v>
      </c>
      <c r="EA26" t="e">
        <f>AND(ТС_ППС!N19,"AAAAAH7e/YI=")</f>
        <v>#VALUE!</v>
      </c>
      <c r="EB26" t="e">
        <f>AND(ТС_ППС!O19,"AAAAAH7e/YM=")</f>
        <v>#VALUE!</v>
      </c>
      <c r="EC26">
        <f>IF(ТС_ППС!20:20,"AAAAAH7e/YQ=",0)</f>
        <v>0</v>
      </c>
      <c r="ED26" t="e">
        <f>AND(ТС_ППС!A20,"AAAAAH7e/YU=")</f>
        <v>#VALUE!</v>
      </c>
      <c r="EE26" t="e">
        <f>AND(ТС_ППС!B20,"AAAAAH7e/YY=")</f>
        <v>#VALUE!</v>
      </c>
      <c r="EF26" t="e">
        <f>AND(ТС_ППС!C20,"AAAAAH7e/Yc=")</f>
        <v>#VALUE!</v>
      </c>
      <c r="EG26" t="e">
        <f>AND(ТС_ППС!D20,"AAAAAH7e/Yg=")</f>
        <v>#VALUE!</v>
      </c>
      <c r="EH26" t="e">
        <f>AND(ТС_ППС!E20,"AAAAAH7e/Yk=")</f>
        <v>#VALUE!</v>
      </c>
      <c r="EI26" t="e">
        <f>AND(ТС_ППС!F20,"AAAAAH7e/Yo=")</f>
        <v>#VALUE!</v>
      </c>
      <c r="EJ26" t="e">
        <f>AND(ТС_ППС!G20,"AAAAAH7e/Ys=")</f>
        <v>#VALUE!</v>
      </c>
      <c r="EK26" t="e">
        <f>AND(ТС_ППС!H20,"AAAAAH7e/Yw=")</f>
        <v>#VALUE!</v>
      </c>
      <c r="EL26" t="e">
        <f>AND(ТС_ППС!I20,"AAAAAH7e/Y0=")</f>
        <v>#VALUE!</v>
      </c>
      <c r="EM26" t="e">
        <f>AND(ТС_ППС!J20,"AAAAAH7e/Y4=")</f>
        <v>#VALUE!</v>
      </c>
      <c r="EN26" t="e">
        <f>AND(ТС_ППС!K20,"AAAAAH7e/Y8=")</f>
        <v>#VALUE!</v>
      </c>
      <c r="EO26" t="e">
        <f>AND(ТС_ППС!L20,"AAAAAH7e/ZA=")</f>
        <v>#VALUE!</v>
      </c>
      <c r="EP26" t="e">
        <f>AND(ТС_ППС!M20,"AAAAAH7e/ZE=")</f>
        <v>#VALUE!</v>
      </c>
      <c r="EQ26" t="e">
        <f>AND(ТС_ППС!N20,"AAAAAH7e/ZI=")</f>
        <v>#VALUE!</v>
      </c>
      <c r="ER26" t="e">
        <f>AND(ТС_ППС!O20,"AAAAAH7e/ZM=")</f>
        <v>#VALUE!</v>
      </c>
      <c r="ES26">
        <f>IF(ТС_ППС!21:21,"AAAAAH7e/ZQ=",0)</f>
        <v>0</v>
      </c>
      <c r="ET26" t="e">
        <f>AND(ТС_ППС!A21,"AAAAAH7e/ZU=")</f>
        <v>#VALUE!</v>
      </c>
      <c r="EU26" t="e">
        <f>AND(ТС_ППС!B21,"AAAAAH7e/ZY=")</f>
        <v>#VALUE!</v>
      </c>
      <c r="EV26" t="e">
        <f>AND(ТС_ППС!C21,"AAAAAH7e/Zc=")</f>
        <v>#VALUE!</v>
      </c>
      <c r="EW26" t="e">
        <f>AND(ТС_ППС!D21,"AAAAAH7e/Zg=")</f>
        <v>#VALUE!</v>
      </c>
      <c r="EX26" t="e">
        <f>AND(ТС_ППС!E21,"AAAAAH7e/Zk=")</f>
        <v>#VALUE!</v>
      </c>
      <c r="EY26" t="e">
        <f>AND(ТС_ППС!F21,"AAAAAH7e/Zo=")</f>
        <v>#VALUE!</v>
      </c>
      <c r="EZ26" t="e">
        <f>AND(ТС_ППС!G21,"AAAAAH7e/Zs=")</f>
        <v>#VALUE!</v>
      </c>
      <c r="FA26" t="e">
        <f>AND(ТС_ППС!H21,"AAAAAH7e/Zw=")</f>
        <v>#VALUE!</v>
      </c>
      <c r="FB26" t="e">
        <f>AND(ТС_ППС!I21,"AAAAAH7e/Z0=")</f>
        <v>#VALUE!</v>
      </c>
      <c r="FC26" t="e">
        <f>AND(ТС_ППС!J21,"AAAAAH7e/Z4=")</f>
        <v>#VALUE!</v>
      </c>
      <c r="FD26" t="e">
        <f>AND(ТС_ППС!K21,"AAAAAH7e/Z8=")</f>
        <v>#VALUE!</v>
      </c>
      <c r="FE26" t="e">
        <f>AND(ТС_ППС!L21,"AAAAAH7e/aA=")</f>
        <v>#VALUE!</v>
      </c>
      <c r="FF26" t="e">
        <f>AND(ТС_ППС!M21,"AAAAAH7e/aE=")</f>
        <v>#VALUE!</v>
      </c>
      <c r="FG26" t="e">
        <f>AND(ТС_ППС!N21,"AAAAAH7e/aI=")</f>
        <v>#VALUE!</v>
      </c>
      <c r="FH26" t="e">
        <f>AND(ТС_ППС!O21,"AAAAAH7e/aM=")</f>
        <v>#VALUE!</v>
      </c>
      <c r="FI26">
        <f>IF(ТС_ППС!22:22,"AAAAAH7e/aQ=",0)</f>
        <v>0</v>
      </c>
      <c r="FJ26" t="e">
        <f>AND(ТС_ППС!A22,"AAAAAH7e/aU=")</f>
        <v>#VALUE!</v>
      </c>
      <c r="FK26" t="e">
        <f>AND(ТС_ППС!B22,"AAAAAH7e/aY=")</f>
        <v>#VALUE!</v>
      </c>
      <c r="FL26" t="e">
        <f>AND(ТС_ППС!C22,"AAAAAH7e/ac=")</f>
        <v>#VALUE!</v>
      </c>
      <c r="FM26" t="e">
        <f>AND(ТС_ППС!D22,"AAAAAH7e/ag=")</f>
        <v>#VALUE!</v>
      </c>
      <c r="FN26" t="e">
        <f>AND(ТС_ППС!E22,"AAAAAH7e/ak=")</f>
        <v>#VALUE!</v>
      </c>
      <c r="FO26" t="e">
        <f>AND(ТС_ППС!F22,"AAAAAH7e/ao=")</f>
        <v>#VALUE!</v>
      </c>
      <c r="FP26" t="e">
        <f>AND(ТС_ППС!G22,"AAAAAH7e/as=")</f>
        <v>#VALUE!</v>
      </c>
      <c r="FQ26" t="e">
        <f>AND(ТС_ППС!H22,"AAAAAH7e/aw=")</f>
        <v>#VALUE!</v>
      </c>
      <c r="FR26" t="e">
        <f>AND(ТС_ППС!I22,"AAAAAH7e/a0=")</f>
        <v>#VALUE!</v>
      </c>
      <c r="FS26" t="e">
        <f>AND(ТС_ППС!J22,"AAAAAH7e/a4=")</f>
        <v>#VALUE!</v>
      </c>
      <c r="FT26" t="e">
        <f>AND(ТС_ППС!K22,"AAAAAH7e/a8=")</f>
        <v>#VALUE!</v>
      </c>
      <c r="FU26" t="e">
        <f>AND(ТС_ППС!L22,"AAAAAH7e/bA=")</f>
        <v>#VALUE!</v>
      </c>
      <c r="FV26" t="e">
        <f>AND(ТС_ППС!M22,"AAAAAH7e/bE=")</f>
        <v>#VALUE!</v>
      </c>
      <c r="FW26" t="e">
        <f>AND(ТС_ППС!N22,"AAAAAH7e/bI=")</f>
        <v>#VALUE!</v>
      </c>
      <c r="FX26" t="e">
        <f>AND(ТС_ППС!O22,"AAAAAH7e/bM=")</f>
        <v>#VALUE!</v>
      </c>
      <c r="FY26">
        <f>IF(ТС_ППС!23:23,"AAAAAH7e/bQ=",0)</f>
        <v>0</v>
      </c>
      <c r="FZ26" t="e">
        <f>AND(ТС_ППС!A23,"AAAAAH7e/bU=")</f>
        <v>#VALUE!</v>
      </c>
      <c r="GA26" t="e">
        <f>AND(ТС_ППС!B23,"AAAAAH7e/bY=")</f>
        <v>#VALUE!</v>
      </c>
      <c r="GB26" t="e">
        <f>AND(ТС_ППС!C23,"AAAAAH7e/bc=")</f>
        <v>#VALUE!</v>
      </c>
      <c r="GC26" t="e">
        <f>AND(ТС_ППС!D23,"AAAAAH7e/bg=")</f>
        <v>#VALUE!</v>
      </c>
      <c r="GD26" t="e">
        <f>AND(ТС_ППС!E23,"AAAAAH7e/bk=")</f>
        <v>#VALUE!</v>
      </c>
      <c r="GE26" t="e">
        <f>AND(ТС_ППС!F23,"AAAAAH7e/bo=")</f>
        <v>#VALUE!</v>
      </c>
      <c r="GF26" t="e">
        <f>AND(ТС_ППС!G23,"AAAAAH7e/bs=")</f>
        <v>#VALUE!</v>
      </c>
      <c r="GG26" t="e">
        <f>AND(ТС_ППС!H23,"AAAAAH7e/bw=")</f>
        <v>#VALUE!</v>
      </c>
      <c r="GH26" t="e">
        <f>AND(ТС_ППС!I23,"AAAAAH7e/b0=")</f>
        <v>#VALUE!</v>
      </c>
      <c r="GI26" t="e">
        <f>AND(ТС_ППС!J23,"AAAAAH7e/b4=")</f>
        <v>#VALUE!</v>
      </c>
      <c r="GJ26" t="e">
        <f>AND(ТС_ППС!K23,"AAAAAH7e/b8=")</f>
        <v>#VALUE!</v>
      </c>
      <c r="GK26" t="e">
        <f>AND(ТС_ППС!L23,"AAAAAH7e/cA=")</f>
        <v>#VALUE!</v>
      </c>
      <c r="GL26" t="e">
        <f>AND(ТС_ППС!M23,"AAAAAH7e/cE=")</f>
        <v>#VALUE!</v>
      </c>
      <c r="GM26" t="e">
        <f>AND(ТС_ППС!N23,"AAAAAH7e/cI=")</f>
        <v>#VALUE!</v>
      </c>
      <c r="GN26" t="e">
        <f>AND(ТС_ППС!O23,"AAAAAH7e/cM=")</f>
        <v>#VALUE!</v>
      </c>
      <c r="GO26">
        <f>IF(ТС_ППС!24:24,"AAAAAH7e/cQ=",0)</f>
        <v>0</v>
      </c>
      <c r="GP26" t="e">
        <f>AND(ТС_ППС!A24,"AAAAAH7e/cU=")</f>
        <v>#VALUE!</v>
      </c>
      <c r="GQ26" t="e">
        <f>AND(ТС_ППС!B24,"AAAAAH7e/cY=")</f>
        <v>#VALUE!</v>
      </c>
      <c r="GR26" t="e">
        <f>AND(ТС_ППС!C24,"AAAAAH7e/cc=")</f>
        <v>#VALUE!</v>
      </c>
      <c r="GS26" t="e">
        <f>AND(ТС_ППС!D24,"AAAAAH7e/cg=")</f>
        <v>#VALUE!</v>
      </c>
      <c r="GT26" t="e">
        <f>AND(ТС_ППС!E24,"AAAAAH7e/ck=")</f>
        <v>#VALUE!</v>
      </c>
      <c r="GU26" t="e">
        <f>AND(ТС_ППС!F24,"AAAAAH7e/co=")</f>
        <v>#VALUE!</v>
      </c>
      <c r="GV26" t="e">
        <f>AND(ТС_ППС!G24,"AAAAAH7e/cs=")</f>
        <v>#VALUE!</v>
      </c>
      <c r="GW26" t="e">
        <f>AND(ТС_ППС!H24,"AAAAAH7e/cw=")</f>
        <v>#VALUE!</v>
      </c>
      <c r="GX26" t="e">
        <f>AND(ТС_ППС!I24,"AAAAAH7e/c0=")</f>
        <v>#VALUE!</v>
      </c>
      <c r="GY26" t="e">
        <f>AND(ТС_ППС!J24,"AAAAAH7e/c4=")</f>
        <v>#VALUE!</v>
      </c>
      <c r="GZ26" t="e">
        <f>AND(ТС_ППС!K24,"AAAAAH7e/c8=")</f>
        <v>#VALUE!</v>
      </c>
      <c r="HA26" t="e">
        <f>AND(ТС_ППС!L24,"AAAAAH7e/dA=")</f>
        <v>#VALUE!</v>
      </c>
      <c r="HB26" t="e">
        <f>AND(ТС_ППС!M24,"AAAAAH7e/dE=")</f>
        <v>#VALUE!</v>
      </c>
      <c r="HC26" t="e">
        <f>AND(ТС_ППС!N24,"AAAAAH7e/dI=")</f>
        <v>#VALUE!</v>
      </c>
      <c r="HD26" t="e">
        <f>AND(ТС_ППС!O24,"AAAAAH7e/dM=")</f>
        <v>#VALUE!</v>
      </c>
      <c r="HE26">
        <f>IF(ТС_ППС!25:25,"AAAAAH7e/dQ=",0)</f>
        <v>0</v>
      </c>
      <c r="HF26" t="e">
        <f>AND(ТС_ППС!A25,"AAAAAH7e/dU=")</f>
        <v>#VALUE!</v>
      </c>
      <c r="HG26" t="e">
        <f>AND(ТС_ППС!B25,"AAAAAH7e/dY=")</f>
        <v>#VALUE!</v>
      </c>
      <c r="HH26" t="e">
        <f>AND(ТС_ППС!C25,"AAAAAH7e/dc=")</f>
        <v>#VALUE!</v>
      </c>
      <c r="HI26" t="e">
        <f>AND(ТС_ППС!D25,"AAAAAH7e/dg=")</f>
        <v>#VALUE!</v>
      </c>
      <c r="HJ26" t="e">
        <f>AND(ТС_ППС!E25,"AAAAAH7e/dk=")</f>
        <v>#VALUE!</v>
      </c>
      <c r="HK26" t="e">
        <f>AND(ТС_ППС!F25,"AAAAAH7e/do=")</f>
        <v>#VALUE!</v>
      </c>
      <c r="HL26" t="e">
        <f>AND(ТС_ППС!G25,"AAAAAH7e/ds=")</f>
        <v>#VALUE!</v>
      </c>
      <c r="HM26" t="e">
        <f>AND(ТС_ППС!H25,"AAAAAH7e/dw=")</f>
        <v>#VALUE!</v>
      </c>
      <c r="HN26" t="e">
        <f>AND(ТС_ППС!I25,"AAAAAH7e/d0=")</f>
        <v>#VALUE!</v>
      </c>
      <c r="HO26" t="e">
        <f>AND(ТС_ППС!J25,"AAAAAH7e/d4=")</f>
        <v>#VALUE!</v>
      </c>
      <c r="HP26" t="e">
        <f>AND(ТС_ППС!K25,"AAAAAH7e/d8=")</f>
        <v>#VALUE!</v>
      </c>
      <c r="HQ26" t="e">
        <f>AND(ТС_ППС!L25,"AAAAAH7e/eA=")</f>
        <v>#VALUE!</v>
      </c>
      <c r="HR26" t="e">
        <f>AND(ТС_ППС!M25,"AAAAAH7e/eE=")</f>
        <v>#VALUE!</v>
      </c>
      <c r="HS26" t="e">
        <f>AND(ТС_ППС!N25,"AAAAAH7e/eI=")</f>
        <v>#VALUE!</v>
      </c>
      <c r="HT26" t="e">
        <f>AND(ТС_ППС!O25,"AAAAAH7e/eM=")</f>
        <v>#VALUE!</v>
      </c>
      <c r="HU26">
        <f>IF(ТС_ППС!26:26,"AAAAAH7e/eQ=",0)</f>
        <v>0</v>
      </c>
      <c r="HV26" t="e">
        <f>AND(ТС_ППС!A26,"AAAAAH7e/eU=")</f>
        <v>#VALUE!</v>
      </c>
      <c r="HW26" t="e">
        <f>AND(ТС_ППС!B26,"AAAAAH7e/eY=")</f>
        <v>#VALUE!</v>
      </c>
      <c r="HX26" t="e">
        <f>AND(ТС_ППС!C26,"AAAAAH7e/ec=")</f>
        <v>#VALUE!</v>
      </c>
      <c r="HY26" t="e">
        <f>AND(ТС_ППС!D26,"AAAAAH7e/eg=")</f>
        <v>#VALUE!</v>
      </c>
      <c r="HZ26" t="e">
        <f>AND(ТС_ППС!E26,"AAAAAH7e/ek=")</f>
        <v>#VALUE!</v>
      </c>
      <c r="IA26" t="e">
        <f>AND(ТС_ППС!F26,"AAAAAH7e/eo=")</f>
        <v>#VALUE!</v>
      </c>
      <c r="IB26" t="e">
        <f>AND(ТС_ППС!G26,"AAAAAH7e/es=")</f>
        <v>#VALUE!</v>
      </c>
      <c r="IC26" t="e">
        <f>AND(ТС_ППС!H26,"AAAAAH7e/ew=")</f>
        <v>#VALUE!</v>
      </c>
      <c r="ID26" t="e">
        <f>AND(ТС_ППС!I26,"AAAAAH7e/e0=")</f>
        <v>#VALUE!</v>
      </c>
      <c r="IE26" t="e">
        <f>AND(ТС_ППС!J26,"AAAAAH7e/e4=")</f>
        <v>#VALUE!</v>
      </c>
      <c r="IF26" t="e">
        <f>AND(ТС_ППС!K26,"AAAAAH7e/e8=")</f>
        <v>#VALUE!</v>
      </c>
      <c r="IG26" t="e">
        <f>AND(ТС_ППС!L26,"AAAAAH7e/fA=")</f>
        <v>#VALUE!</v>
      </c>
      <c r="IH26" t="e">
        <f>AND(ТС_ППС!M26,"AAAAAH7e/fE=")</f>
        <v>#VALUE!</v>
      </c>
      <c r="II26" t="e">
        <f>AND(ТС_ППС!N26,"AAAAAH7e/fI=")</f>
        <v>#VALUE!</v>
      </c>
      <c r="IJ26" t="e">
        <f>AND(ТС_ППС!O26,"AAAAAH7e/fM=")</f>
        <v>#VALUE!</v>
      </c>
      <c r="IK26">
        <f>IF(ТС_ППС!27:27,"AAAAAH7e/fQ=",0)</f>
        <v>0</v>
      </c>
      <c r="IL26" t="e">
        <f>AND(ТС_ППС!A27,"AAAAAH7e/fU=")</f>
        <v>#VALUE!</v>
      </c>
      <c r="IM26" t="e">
        <f>AND(ТС_ППС!B27,"AAAAAH7e/fY=")</f>
        <v>#VALUE!</v>
      </c>
      <c r="IN26" t="e">
        <f>AND(ТС_ППС!C27,"AAAAAH7e/fc=")</f>
        <v>#VALUE!</v>
      </c>
      <c r="IO26" t="e">
        <f>AND(ТС_ППС!D27,"AAAAAH7e/fg=")</f>
        <v>#VALUE!</v>
      </c>
      <c r="IP26" t="e">
        <f>AND(ТС_ППС!E27,"AAAAAH7e/fk=")</f>
        <v>#VALUE!</v>
      </c>
      <c r="IQ26" t="e">
        <f>AND(ТС_ППС!F27,"AAAAAH7e/fo=")</f>
        <v>#VALUE!</v>
      </c>
      <c r="IR26" t="e">
        <f>AND(ТС_ППС!G27,"AAAAAH7e/fs=")</f>
        <v>#VALUE!</v>
      </c>
      <c r="IS26" t="e">
        <f>AND(ТС_ППС!H27,"AAAAAH7e/fw=")</f>
        <v>#VALUE!</v>
      </c>
      <c r="IT26" t="e">
        <f>AND(ТС_ППС!I27,"AAAAAH7e/f0=")</f>
        <v>#VALUE!</v>
      </c>
      <c r="IU26" t="e">
        <f>AND(ТС_ППС!J27,"AAAAAH7e/f4=")</f>
        <v>#VALUE!</v>
      </c>
      <c r="IV26" t="e">
        <f>AND(ТС_ППС!K27,"AAAAAH7e/f8=")</f>
        <v>#VALUE!</v>
      </c>
    </row>
    <row r="27" spans="1:256">
      <c r="A27" t="e">
        <f>AND(ТС_ППС!L27,"AAAAABz3RwA=")</f>
        <v>#VALUE!</v>
      </c>
      <c r="B27" t="e">
        <f>AND(ТС_ППС!M27,"AAAAABz3RwE=")</f>
        <v>#VALUE!</v>
      </c>
      <c r="C27" t="e">
        <f>AND(ТС_ППС!N27,"AAAAABz3RwI=")</f>
        <v>#VALUE!</v>
      </c>
      <c r="D27" t="e">
        <f>AND(ТС_ППС!O27,"AAAAABz3RwM=")</f>
        <v>#VALUE!</v>
      </c>
      <c r="E27">
        <f>IF(ТС_ППС!28:28,"AAAAABz3RwQ=",0)</f>
        <v>0</v>
      </c>
      <c r="F27" t="e">
        <f>AND(ТС_ППС!A28,"AAAAABz3RwU=")</f>
        <v>#VALUE!</v>
      </c>
      <c r="G27" t="e">
        <f>AND(ТС_ППС!B28,"AAAAABz3RwY=")</f>
        <v>#VALUE!</v>
      </c>
      <c r="H27" t="e">
        <f>AND(ТС_ППС!C28,"AAAAABz3Rwc=")</f>
        <v>#VALUE!</v>
      </c>
      <c r="I27" t="e">
        <f>AND(ТС_ППС!D28,"AAAAABz3Rwg=")</f>
        <v>#VALUE!</v>
      </c>
      <c r="J27" t="e">
        <f>AND(ТС_ППС!E28,"AAAAABz3Rwk=")</f>
        <v>#VALUE!</v>
      </c>
      <c r="K27" t="e">
        <f>AND(ТС_ППС!F28,"AAAAABz3Rwo=")</f>
        <v>#VALUE!</v>
      </c>
      <c r="L27" t="e">
        <f>AND(ТС_ППС!G28,"AAAAABz3Rws=")</f>
        <v>#VALUE!</v>
      </c>
      <c r="M27" t="e">
        <f>AND(ТС_ППС!H28,"AAAAABz3Rww=")</f>
        <v>#VALUE!</v>
      </c>
      <c r="N27" t="e">
        <f>AND(ТС_ППС!I28,"AAAAABz3Rw0=")</f>
        <v>#VALUE!</v>
      </c>
      <c r="O27" t="e">
        <f>AND(ТС_ППС!J28,"AAAAABz3Rw4=")</f>
        <v>#VALUE!</v>
      </c>
      <c r="P27" t="e">
        <f>AND(ТС_ППС!K28,"AAAAABz3Rw8=")</f>
        <v>#VALUE!</v>
      </c>
      <c r="Q27" t="e">
        <f>AND(ТС_ППС!L28,"AAAAABz3RxA=")</f>
        <v>#VALUE!</v>
      </c>
      <c r="R27" t="e">
        <f>AND(ТС_ППС!M28,"AAAAABz3RxE=")</f>
        <v>#VALUE!</v>
      </c>
      <c r="S27" t="e">
        <f>AND(ТС_ППС!N28,"AAAAABz3RxI=")</f>
        <v>#VALUE!</v>
      </c>
      <c r="T27" t="e">
        <f>AND(ТС_ППС!O28,"AAAAABz3RxM=")</f>
        <v>#VALUE!</v>
      </c>
      <c r="U27">
        <f>IF(ТС_ППС!29:29,"AAAAABz3RxQ=",0)</f>
        <v>0</v>
      </c>
      <c r="V27" t="e">
        <f>AND(ТС_ППС!A29,"AAAAABz3RxU=")</f>
        <v>#VALUE!</v>
      </c>
      <c r="W27" t="e">
        <f>AND(ТС_ППС!B29,"AAAAABz3RxY=")</f>
        <v>#VALUE!</v>
      </c>
      <c r="X27" t="e">
        <f>AND(ТС_ППС!C29,"AAAAABz3Rxc=")</f>
        <v>#VALUE!</v>
      </c>
      <c r="Y27" t="e">
        <f>AND(ТС_ППС!D29,"AAAAABz3Rxg=")</f>
        <v>#VALUE!</v>
      </c>
      <c r="Z27" t="e">
        <f>AND(ТС_ППС!E29,"AAAAABz3Rxk=")</f>
        <v>#VALUE!</v>
      </c>
      <c r="AA27" t="e">
        <f>AND(ТС_ППС!F29,"AAAAABz3Rxo=")</f>
        <v>#VALUE!</v>
      </c>
      <c r="AB27" t="e">
        <f>AND(ТС_ППС!G29,"AAAAABz3Rxs=")</f>
        <v>#VALUE!</v>
      </c>
      <c r="AC27" t="e">
        <f>AND(ТС_ППС!H29,"AAAAABz3Rxw=")</f>
        <v>#VALUE!</v>
      </c>
      <c r="AD27" t="e">
        <f>AND(ТС_ППС!I29,"AAAAABz3Rx0=")</f>
        <v>#VALUE!</v>
      </c>
      <c r="AE27" t="e">
        <f>AND(ТС_ППС!J29,"AAAAABz3Rx4=")</f>
        <v>#VALUE!</v>
      </c>
      <c r="AF27" t="e">
        <f>AND(ТС_ППС!K29,"AAAAABz3Rx8=")</f>
        <v>#VALUE!</v>
      </c>
      <c r="AG27" t="e">
        <f>AND(ТС_ППС!L29,"AAAAABz3RyA=")</f>
        <v>#VALUE!</v>
      </c>
      <c r="AH27" t="e">
        <f>AND(ТС_ППС!M29,"AAAAABz3RyE=")</f>
        <v>#VALUE!</v>
      </c>
      <c r="AI27" t="e">
        <f>AND(ТС_ППС!N29,"AAAAABz3RyI=")</f>
        <v>#VALUE!</v>
      </c>
      <c r="AJ27" t="e">
        <f>AND(ТС_ППС!O29,"AAAAABz3RyM=")</f>
        <v>#VALUE!</v>
      </c>
      <c r="AK27">
        <f>IF(ТС_ППС!30:30,"AAAAABz3RyQ=",0)</f>
        <v>0</v>
      </c>
      <c r="AL27" t="e">
        <f>AND(ТС_ППС!A30,"AAAAABz3RyU=")</f>
        <v>#VALUE!</v>
      </c>
      <c r="AM27" t="e">
        <f>AND(ТС_ППС!B30,"AAAAABz3RyY=")</f>
        <v>#VALUE!</v>
      </c>
      <c r="AN27" t="e">
        <f>AND(ТС_ППС!C30,"AAAAABz3Ryc=")</f>
        <v>#VALUE!</v>
      </c>
      <c r="AO27" t="e">
        <f>AND(ТС_ППС!D30,"AAAAABz3Ryg=")</f>
        <v>#VALUE!</v>
      </c>
      <c r="AP27" t="e">
        <f>AND(ТС_ППС!E30,"AAAAABz3Ryk=")</f>
        <v>#VALUE!</v>
      </c>
      <c r="AQ27" t="e">
        <f>AND(ТС_ППС!F30,"AAAAABz3Ryo=")</f>
        <v>#VALUE!</v>
      </c>
      <c r="AR27" t="e">
        <f>AND(ТС_ППС!G30,"AAAAABz3Rys=")</f>
        <v>#VALUE!</v>
      </c>
      <c r="AS27" t="e">
        <f>AND(ТС_ППС!H30,"AAAAABz3Ryw=")</f>
        <v>#VALUE!</v>
      </c>
      <c r="AT27" t="e">
        <f>AND(ТС_ППС!I30,"AAAAABz3Ry0=")</f>
        <v>#VALUE!</v>
      </c>
      <c r="AU27" t="e">
        <f>AND(ТС_ППС!J30,"AAAAABz3Ry4=")</f>
        <v>#VALUE!</v>
      </c>
      <c r="AV27" t="e">
        <f>AND(ТС_ППС!K30,"AAAAABz3Ry8=")</f>
        <v>#VALUE!</v>
      </c>
      <c r="AW27" t="e">
        <f>AND(ТС_ППС!L30,"AAAAABz3RzA=")</f>
        <v>#VALUE!</v>
      </c>
      <c r="AX27" t="e">
        <f>AND(ТС_ППС!M30,"AAAAABz3RzE=")</f>
        <v>#VALUE!</v>
      </c>
      <c r="AY27" t="e">
        <f>AND(ТС_ППС!N30,"AAAAABz3RzI=")</f>
        <v>#VALUE!</v>
      </c>
      <c r="AZ27" t="e">
        <f>AND(ТС_ППС!O30,"AAAAABz3RzM=")</f>
        <v>#VALUE!</v>
      </c>
      <c r="BA27">
        <f>IF(ТС_ППС!31:31,"AAAAABz3RzQ=",0)</f>
        <v>0</v>
      </c>
      <c r="BB27" t="e">
        <f>AND(ТС_ППС!A31,"AAAAABz3RzU=")</f>
        <v>#VALUE!</v>
      </c>
      <c r="BC27" t="e">
        <f>AND(ТС_ППС!B31,"AAAAABz3RzY=")</f>
        <v>#VALUE!</v>
      </c>
      <c r="BD27" t="e">
        <f>AND(ТС_ППС!C31,"AAAAABz3Rzc=")</f>
        <v>#VALUE!</v>
      </c>
      <c r="BE27" t="e">
        <f>AND(ТС_ППС!D31,"AAAAABz3Rzg=")</f>
        <v>#VALUE!</v>
      </c>
      <c r="BF27" t="e">
        <f>AND(ТС_ППС!E31,"AAAAABz3Rzk=")</f>
        <v>#VALUE!</v>
      </c>
      <c r="BG27" t="e">
        <f>AND(ТС_ППС!F31,"AAAAABz3Rzo=")</f>
        <v>#VALUE!</v>
      </c>
      <c r="BH27" t="e">
        <f>AND(ТС_ППС!G31,"AAAAABz3Rzs=")</f>
        <v>#VALUE!</v>
      </c>
      <c r="BI27" t="e">
        <f>AND(ТС_ППС!H31,"AAAAABz3Rzw=")</f>
        <v>#VALUE!</v>
      </c>
      <c r="BJ27" t="e">
        <f>AND(ТС_ППС!I31,"AAAAABz3Rz0=")</f>
        <v>#VALUE!</v>
      </c>
      <c r="BK27" t="e">
        <f>AND(ТС_ППС!J31,"AAAAABz3Rz4=")</f>
        <v>#VALUE!</v>
      </c>
      <c r="BL27" t="e">
        <f>AND(ТС_ППС!K31,"AAAAABz3Rz8=")</f>
        <v>#VALUE!</v>
      </c>
      <c r="BM27" t="e">
        <f>AND(ТС_ППС!L31,"AAAAABz3R0A=")</f>
        <v>#VALUE!</v>
      </c>
      <c r="BN27" t="e">
        <f>AND(ТС_ППС!M31,"AAAAABz3R0E=")</f>
        <v>#VALUE!</v>
      </c>
      <c r="BO27" t="e">
        <f>AND(ТС_ППС!N31,"AAAAABz3R0I=")</f>
        <v>#VALUE!</v>
      </c>
      <c r="BP27" t="e">
        <f>AND(ТС_ППС!O31,"AAAAABz3R0M=")</f>
        <v>#VALUE!</v>
      </c>
      <c r="BQ27">
        <f>IF(ТС_ППС!32:32,"AAAAABz3R0Q=",0)</f>
        <v>0</v>
      </c>
      <c r="BR27" t="e">
        <f>AND(ТС_ППС!A32,"AAAAABz3R0U=")</f>
        <v>#VALUE!</v>
      </c>
      <c r="BS27" t="e">
        <f>AND(ТС_ППС!B32,"AAAAABz3R0Y=")</f>
        <v>#VALUE!</v>
      </c>
      <c r="BT27" t="e">
        <f>AND(ТС_ППС!C32,"AAAAABz3R0c=")</f>
        <v>#VALUE!</v>
      </c>
      <c r="BU27" t="e">
        <f>AND(ТС_ППС!D32,"AAAAABz3R0g=")</f>
        <v>#VALUE!</v>
      </c>
      <c r="BV27" t="e">
        <f>AND(ТС_ППС!E32,"AAAAABz3R0k=")</f>
        <v>#VALUE!</v>
      </c>
      <c r="BW27" t="e">
        <f>AND(ТС_ППС!F32,"AAAAABz3R0o=")</f>
        <v>#VALUE!</v>
      </c>
      <c r="BX27" t="e">
        <f>AND(ТС_ППС!G32,"AAAAABz3R0s=")</f>
        <v>#VALUE!</v>
      </c>
      <c r="BY27" t="e">
        <f>AND(ТС_ППС!H32,"AAAAABz3R0w=")</f>
        <v>#VALUE!</v>
      </c>
      <c r="BZ27" t="e">
        <f>AND(ТС_ППС!I32,"AAAAABz3R00=")</f>
        <v>#VALUE!</v>
      </c>
      <c r="CA27" t="e">
        <f>AND(ТС_ППС!J32,"AAAAABz3R04=")</f>
        <v>#VALUE!</v>
      </c>
      <c r="CB27" t="e">
        <f>AND(ТС_ППС!K32,"AAAAABz3R08=")</f>
        <v>#VALUE!</v>
      </c>
      <c r="CC27" t="e">
        <f>AND(ТС_ППС!L32,"AAAAABz3R1A=")</f>
        <v>#VALUE!</v>
      </c>
      <c r="CD27" t="e">
        <f>AND(ТС_ППС!M32,"AAAAABz3R1E=")</f>
        <v>#VALUE!</v>
      </c>
      <c r="CE27" t="e">
        <f>AND(ТС_ППС!N32,"AAAAABz3R1I=")</f>
        <v>#VALUE!</v>
      </c>
      <c r="CF27" t="e">
        <f>AND(ТС_ППС!O32,"AAAAABz3R1M=")</f>
        <v>#VALUE!</v>
      </c>
      <c r="CG27">
        <f>IF(ТС_ППС!33:33,"AAAAABz3R1Q=",0)</f>
        <v>0</v>
      </c>
      <c r="CH27" t="e">
        <f>AND(ТС_ППС!A33,"AAAAABz3R1U=")</f>
        <v>#VALUE!</v>
      </c>
      <c r="CI27" t="e">
        <f>AND(ТС_ППС!B33,"AAAAABz3R1Y=")</f>
        <v>#VALUE!</v>
      </c>
      <c r="CJ27" t="e">
        <f>AND(ТС_ППС!C33,"AAAAABz3R1c=")</f>
        <v>#VALUE!</v>
      </c>
      <c r="CK27" t="e">
        <f>AND(ТС_ППС!D33,"AAAAABz3R1g=")</f>
        <v>#VALUE!</v>
      </c>
      <c r="CL27" t="e">
        <f>AND(ТС_ППС!E33,"AAAAABz3R1k=")</f>
        <v>#VALUE!</v>
      </c>
      <c r="CM27" t="e">
        <f>AND(ТС_ППС!F33,"AAAAABz3R1o=")</f>
        <v>#VALUE!</v>
      </c>
      <c r="CN27" t="e">
        <f>AND(ТС_ППС!G33,"AAAAABz3R1s=")</f>
        <v>#VALUE!</v>
      </c>
      <c r="CO27" t="e">
        <f>AND(ТС_ППС!H33,"AAAAABz3R1w=")</f>
        <v>#VALUE!</v>
      </c>
      <c r="CP27" t="e">
        <f>AND(ТС_ППС!I33,"AAAAABz3R10=")</f>
        <v>#VALUE!</v>
      </c>
      <c r="CQ27" t="e">
        <f>AND(ТС_ППС!J33,"AAAAABz3R14=")</f>
        <v>#VALUE!</v>
      </c>
      <c r="CR27" t="e">
        <f>AND(ТС_ППС!K33,"AAAAABz3R18=")</f>
        <v>#VALUE!</v>
      </c>
      <c r="CS27" t="e">
        <f>AND(ТС_ППС!L33,"AAAAABz3R2A=")</f>
        <v>#VALUE!</v>
      </c>
      <c r="CT27" t="e">
        <f>AND(ТС_ППС!M33,"AAAAABz3R2E=")</f>
        <v>#VALUE!</v>
      </c>
      <c r="CU27" t="e">
        <f>AND(ТС_ППС!N33,"AAAAABz3R2I=")</f>
        <v>#VALUE!</v>
      </c>
      <c r="CV27" t="e">
        <f>AND(ТС_ППС!O33,"AAAAABz3R2M=")</f>
        <v>#VALUE!</v>
      </c>
      <c r="CW27">
        <f>IF(ТС_ППС!34:34,"AAAAABz3R2Q=",0)</f>
        <v>0</v>
      </c>
      <c r="CX27" t="e">
        <f>AND(ТС_ППС!A34,"AAAAABz3R2U=")</f>
        <v>#VALUE!</v>
      </c>
      <c r="CY27" t="e">
        <f>AND(ТС_ППС!B34,"AAAAABz3R2Y=")</f>
        <v>#VALUE!</v>
      </c>
      <c r="CZ27" t="e">
        <f>AND(ТС_ППС!C34,"AAAAABz3R2c=")</f>
        <v>#VALUE!</v>
      </c>
      <c r="DA27" t="e">
        <f>AND(ТС_ППС!D34,"AAAAABz3R2g=")</f>
        <v>#VALUE!</v>
      </c>
      <c r="DB27" t="e">
        <f>AND(ТС_ППС!E34,"AAAAABz3R2k=")</f>
        <v>#VALUE!</v>
      </c>
      <c r="DC27" t="e">
        <f>AND(ТС_ППС!F34,"AAAAABz3R2o=")</f>
        <v>#VALUE!</v>
      </c>
      <c r="DD27" t="e">
        <f>AND(ТС_ППС!G34,"AAAAABz3R2s=")</f>
        <v>#VALUE!</v>
      </c>
      <c r="DE27" t="e">
        <f>AND(ТС_ППС!H34,"AAAAABz3R2w=")</f>
        <v>#VALUE!</v>
      </c>
      <c r="DF27" t="e">
        <f>AND(ТС_ППС!I34,"AAAAABz3R20=")</f>
        <v>#VALUE!</v>
      </c>
      <c r="DG27" t="e">
        <f>AND(ТС_ППС!J34,"AAAAABz3R24=")</f>
        <v>#VALUE!</v>
      </c>
      <c r="DH27" t="e">
        <f>AND(ТС_ППС!K34,"AAAAABz3R28=")</f>
        <v>#VALUE!</v>
      </c>
      <c r="DI27" t="e">
        <f>AND(ТС_ППС!L34,"AAAAABz3R3A=")</f>
        <v>#VALUE!</v>
      </c>
      <c r="DJ27" t="e">
        <f>AND(ТС_ППС!M34,"AAAAABz3R3E=")</f>
        <v>#VALUE!</v>
      </c>
      <c r="DK27" t="e">
        <f>AND(ТС_ППС!N34,"AAAAABz3R3I=")</f>
        <v>#VALUE!</v>
      </c>
      <c r="DL27" t="e">
        <f>AND(ТС_ППС!O34,"AAAAABz3R3M=")</f>
        <v>#VALUE!</v>
      </c>
      <c r="DM27">
        <f>IF(ТС_ППС!35:35,"AAAAABz3R3Q=",0)</f>
        <v>0</v>
      </c>
      <c r="DN27" t="e">
        <f>AND(ТС_ППС!A35,"AAAAABz3R3U=")</f>
        <v>#VALUE!</v>
      </c>
      <c r="DO27" t="e">
        <f>AND(ТС_ППС!B35,"AAAAABz3R3Y=")</f>
        <v>#VALUE!</v>
      </c>
      <c r="DP27" t="e">
        <f>AND(ТС_ППС!C35,"AAAAABz3R3c=")</f>
        <v>#VALUE!</v>
      </c>
      <c r="DQ27" t="e">
        <f>AND(ТС_ППС!D35,"AAAAABz3R3g=")</f>
        <v>#VALUE!</v>
      </c>
      <c r="DR27" t="e">
        <f>AND(ТС_ППС!E35,"AAAAABz3R3k=")</f>
        <v>#VALUE!</v>
      </c>
      <c r="DS27" t="e">
        <f>AND(ТС_ППС!F35,"AAAAABz3R3o=")</f>
        <v>#VALUE!</v>
      </c>
      <c r="DT27" t="e">
        <f>AND(ТС_ППС!G35,"AAAAABz3R3s=")</f>
        <v>#VALUE!</v>
      </c>
      <c r="DU27" t="e">
        <f>AND(ТС_ППС!H35,"AAAAABz3R3w=")</f>
        <v>#VALUE!</v>
      </c>
      <c r="DV27" t="e">
        <f>AND(ТС_ППС!I35,"AAAAABz3R30=")</f>
        <v>#VALUE!</v>
      </c>
      <c r="DW27" t="e">
        <f>AND(ТС_ППС!J35,"AAAAABz3R34=")</f>
        <v>#VALUE!</v>
      </c>
      <c r="DX27" t="e">
        <f>AND(ТС_ППС!K35,"AAAAABz3R38=")</f>
        <v>#VALUE!</v>
      </c>
      <c r="DY27" t="e">
        <f>AND(ТС_ППС!L35,"AAAAABz3R4A=")</f>
        <v>#VALUE!</v>
      </c>
      <c r="DZ27" t="e">
        <f>AND(ТС_ППС!M35,"AAAAABz3R4E=")</f>
        <v>#VALUE!</v>
      </c>
      <c r="EA27" t="e">
        <f>AND(ТС_ППС!N35,"AAAAABz3R4I=")</f>
        <v>#VALUE!</v>
      </c>
      <c r="EB27" t="e">
        <f>AND(ТС_ППС!O35,"AAAAABz3R4M=")</f>
        <v>#VALUE!</v>
      </c>
      <c r="EC27">
        <f>IF(ТС_ППС!36:36,"AAAAABz3R4Q=",0)</f>
        <v>0</v>
      </c>
      <c r="ED27" t="e">
        <f>AND(ТС_ППС!A36,"AAAAABz3R4U=")</f>
        <v>#VALUE!</v>
      </c>
      <c r="EE27" t="e">
        <f>AND(ТС_ППС!B36,"AAAAABz3R4Y=")</f>
        <v>#VALUE!</v>
      </c>
      <c r="EF27" t="e">
        <f>AND(ТС_ППС!C36,"AAAAABz3R4c=")</f>
        <v>#VALUE!</v>
      </c>
      <c r="EG27" t="e">
        <f>AND(ТС_ППС!D36,"AAAAABz3R4g=")</f>
        <v>#VALUE!</v>
      </c>
      <c r="EH27" t="e">
        <f>AND(ТС_ППС!E36,"AAAAABz3R4k=")</f>
        <v>#VALUE!</v>
      </c>
      <c r="EI27" t="e">
        <f>AND(ТС_ППС!F36,"AAAAABz3R4o=")</f>
        <v>#VALUE!</v>
      </c>
      <c r="EJ27" t="e">
        <f>AND(ТС_ППС!G36,"AAAAABz3R4s=")</f>
        <v>#VALUE!</v>
      </c>
      <c r="EK27" t="e">
        <f>AND(ТС_ППС!H36,"AAAAABz3R4w=")</f>
        <v>#VALUE!</v>
      </c>
      <c r="EL27" t="e">
        <f>AND(ТС_ППС!I36,"AAAAABz3R40=")</f>
        <v>#VALUE!</v>
      </c>
      <c r="EM27" t="e">
        <f>AND(ТС_ППС!J36,"AAAAABz3R44=")</f>
        <v>#VALUE!</v>
      </c>
      <c r="EN27" t="e">
        <f>AND(ТС_ППС!K36,"AAAAABz3R48=")</f>
        <v>#VALUE!</v>
      </c>
      <c r="EO27" t="e">
        <f>AND(ТС_ППС!L36,"AAAAABz3R5A=")</f>
        <v>#VALUE!</v>
      </c>
      <c r="EP27" t="e">
        <f>AND(ТС_ППС!M36,"AAAAABz3R5E=")</f>
        <v>#VALUE!</v>
      </c>
      <c r="EQ27" t="e">
        <f>AND(ТС_ППС!N36,"AAAAABz3R5I=")</f>
        <v>#VALUE!</v>
      </c>
      <c r="ER27" t="e">
        <f>AND(ТС_ППС!O36,"AAAAABz3R5M=")</f>
        <v>#VALUE!</v>
      </c>
      <c r="ES27">
        <f>IF(ТС_ППС!37:37,"AAAAABz3R5Q=",0)</f>
        <v>0</v>
      </c>
      <c r="ET27" t="e">
        <f>AND(ТС_ППС!A37,"AAAAABz3R5U=")</f>
        <v>#VALUE!</v>
      </c>
      <c r="EU27" t="e">
        <f>AND(ТС_ППС!B37,"AAAAABz3R5Y=")</f>
        <v>#VALUE!</v>
      </c>
      <c r="EV27" t="e">
        <f>AND(ТС_ППС!C37,"AAAAABz3R5c=")</f>
        <v>#VALUE!</v>
      </c>
      <c r="EW27" t="e">
        <f>AND(ТС_ППС!D37,"AAAAABz3R5g=")</f>
        <v>#VALUE!</v>
      </c>
      <c r="EX27" t="e">
        <f>AND(ТС_ППС!E37,"AAAAABz3R5k=")</f>
        <v>#VALUE!</v>
      </c>
      <c r="EY27" t="e">
        <f>AND(ТС_ППС!F37,"AAAAABz3R5o=")</f>
        <v>#VALUE!</v>
      </c>
      <c r="EZ27" t="e">
        <f>AND(ТС_ППС!G37,"AAAAABz3R5s=")</f>
        <v>#VALUE!</v>
      </c>
      <c r="FA27" t="e">
        <f>AND(ТС_ППС!H37,"AAAAABz3R5w=")</f>
        <v>#VALUE!</v>
      </c>
      <c r="FB27" t="e">
        <f>AND(ТС_ППС!I37,"AAAAABz3R50=")</f>
        <v>#VALUE!</v>
      </c>
      <c r="FC27" t="e">
        <f>AND(ТС_ППС!J37,"AAAAABz3R54=")</f>
        <v>#VALUE!</v>
      </c>
      <c r="FD27" t="e">
        <f>AND(ТС_ППС!K37,"AAAAABz3R58=")</f>
        <v>#VALUE!</v>
      </c>
      <c r="FE27" t="e">
        <f>AND(ТС_ППС!L37,"AAAAABz3R6A=")</f>
        <v>#VALUE!</v>
      </c>
      <c r="FF27" t="e">
        <f>AND(ТС_ППС!M37,"AAAAABz3R6E=")</f>
        <v>#VALUE!</v>
      </c>
      <c r="FG27" t="e">
        <f>AND(ТС_ППС!N37,"AAAAABz3R6I=")</f>
        <v>#VALUE!</v>
      </c>
      <c r="FH27" t="e">
        <f>AND(ТС_ППС!O37,"AAAAABz3R6M=")</f>
        <v>#VALUE!</v>
      </c>
      <c r="FI27">
        <f>IF(ТС_ППС!38:38,"AAAAABz3R6Q=",0)</f>
        <v>0</v>
      </c>
      <c r="FJ27" t="e">
        <f>AND(ТС_ППС!A38,"AAAAABz3R6U=")</f>
        <v>#VALUE!</v>
      </c>
      <c r="FK27" t="e">
        <f>AND(ТС_ППС!B38,"AAAAABz3R6Y=")</f>
        <v>#VALUE!</v>
      </c>
      <c r="FL27" t="e">
        <f>AND(ТС_ППС!C38,"AAAAABz3R6c=")</f>
        <v>#VALUE!</v>
      </c>
      <c r="FM27" t="e">
        <f>AND(ТС_ППС!D38,"AAAAABz3R6g=")</f>
        <v>#VALUE!</v>
      </c>
      <c r="FN27" t="e">
        <f>AND(ТС_ППС!E38,"AAAAABz3R6k=")</f>
        <v>#VALUE!</v>
      </c>
      <c r="FO27" t="e">
        <f>AND(ТС_ППС!F38,"AAAAABz3R6o=")</f>
        <v>#VALUE!</v>
      </c>
      <c r="FP27" t="e">
        <f>AND(ТС_ППС!G38,"AAAAABz3R6s=")</f>
        <v>#VALUE!</v>
      </c>
      <c r="FQ27" t="e">
        <f>AND(ТС_ППС!H38,"AAAAABz3R6w=")</f>
        <v>#VALUE!</v>
      </c>
      <c r="FR27" t="e">
        <f>AND(ТС_ППС!I38,"AAAAABz3R60=")</f>
        <v>#VALUE!</v>
      </c>
      <c r="FS27" t="e">
        <f>AND(ТС_ППС!J38,"AAAAABz3R64=")</f>
        <v>#VALUE!</v>
      </c>
      <c r="FT27" t="e">
        <f>AND(ТС_ППС!K38,"AAAAABz3R68=")</f>
        <v>#VALUE!</v>
      </c>
      <c r="FU27" t="e">
        <f>AND(ТС_ППС!L38,"AAAAABz3R7A=")</f>
        <v>#VALUE!</v>
      </c>
      <c r="FV27" t="e">
        <f>AND(ТС_ППС!M38,"AAAAABz3R7E=")</f>
        <v>#VALUE!</v>
      </c>
      <c r="FW27" t="e">
        <f>AND(ТС_ППС!N38,"AAAAABz3R7I=")</f>
        <v>#VALUE!</v>
      </c>
      <c r="FX27" t="e">
        <f>AND(ТС_ППС!O38,"AAAAABz3R7M=")</f>
        <v>#VALUE!</v>
      </c>
      <c r="FY27">
        <f>IF(ТС_ППС!39:39,"AAAAABz3R7Q=",0)</f>
        <v>0</v>
      </c>
      <c r="FZ27" t="e">
        <f>AND(ТС_ППС!A39,"AAAAABz3R7U=")</f>
        <v>#VALUE!</v>
      </c>
      <c r="GA27" t="e">
        <f>AND(ТС_ППС!B39,"AAAAABz3R7Y=")</f>
        <v>#VALUE!</v>
      </c>
      <c r="GB27" t="e">
        <f>AND(ТС_ППС!C39,"AAAAABz3R7c=")</f>
        <v>#VALUE!</v>
      </c>
      <c r="GC27" t="e">
        <f>AND(ТС_ППС!D39,"AAAAABz3R7g=")</f>
        <v>#VALUE!</v>
      </c>
      <c r="GD27" t="e">
        <f>AND(ТС_ППС!E39,"AAAAABz3R7k=")</f>
        <v>#VALUE!</v>
      </c>
      <c r="GE27" t="e">
        <f>AND(ТС_ППС!F39,"AAAAABz3R7o=")</f>
        <v>#VALUE!</v>
      </c>
      <c r="GF27" t="e">
        <f>AND(ТС_ППС!G39,"AAAAABz3R7s=")</f>
        <v>#VALUE!</v>
      </c>
      <c r="GG27" t="e">
        <f>AND(ТС_ППС!H39,"AAAAABz3R7w=")</f>
        <v>#VALUE!</v>
      </c>
      <c r="GH27" t="e">
        <f>AND(ТС_ППС!I39,"AAAAABz3R70=")</f>
        <v>#VALUE!</v>
      </c>
      <c r="GI27" t="e">
        <f>AND(ТС_ППС!J39,"AAAAABz3R74=")</f>
        <v>#VALUE!</v>
      </c>
      <c r="GJ27" t="e">
        <f>AND(ТС_ППС!K39,"AAAAABz3R78=")</f>
        <v>#VALUE!</v>
      </c>
      <c r="GK27" t="e">
        <f>AND(ТС_ППС!L39,"AAAAABz3R8A=")</f>
        <v>#VALUE!</v>
      </c>
      <c r="GL27" t="e">
        <f>AND(ТС_ППС!M39,"AAAAABz3R8E=")</f>
        <v>#VALUE!</v>
      </c>
      <c r="GM27" t="e">
        <f>AND(ТС_ППС!N39,"AAAAABz3R8I=")</f>
        <v>#VALUE!</v>
      </c>
      <c r="GN27" t="e">
        <f>AND(ТС_ППС!O39,"AAAAABz3R8M=")</f>
        <v>#VALUE!</v>
      </c>
      <c r="GO27">
        <f>IF(ТС_ППС!40:40,"AAAAABz3R8Q=",0)</f>
        <v>0</v>
      </c>
      <c r="GP27" t="e">
        <f>AND(ТС_ППС!A40,"AAAAABz3R8U=")</f>
        <v>#VALUE!</v>
      </c>
      <c r="GQ27" t="e">
        <f>AND(ТС_ППС!B40,"AAAAABz3R8Y=")</f>
        <v>#VALUE!</v>
      </c>
      <c r="GR27" t="e">
        <f>AND(ТС_ППС!C40,"AAAAABz3R8c=")</f>
        <v>#VALUE!</v>
      </c>
      <c r="GS27" t="e">
        <f>AND(ТС_ППС!D40,"AAAAABz3R8g=")</f>
        <v>#VALUE!</v>
      </c>
      <c r="GT27" t="e">
        <f>AND(ТС_ППС!E40,"AAAAABz3R8k=")</f>
        <v>#VALUE!</v>
      </c>
      <c r="GU27" t="e">
        <f>AND(ТС_ППС!F40,"AAAAABz3R8o=")</f>
        <v>#VALUE!</v>
      </c>
      <c r="GV27" t="e">
        <f>AND(ТС_ППС!G40,"AAAAABz3R8s=")</f>
        <v>#VALUE!</v>
      </c>
      <c r="GW27" t="e">
        <f>AND(ТС_ППС!H40,"AAAAABz3R8w=")</f>
        <v>#VALUE!</v>
      </c>
      <c r="GX27" t="e">
        <f>AND(ТС_ППС!I40,"AAAAABz3R80=")</f>
        <v>#VALUE!</v>
      </c>
      <c r="GY27" t="e">
        <f>AND(ТС_ППС!J40,"AAAAABz3R84=")</f>
        <v>#VALUE!</v>
      </c>
      <c r="GZ27" t="e">
        <f>AND(ТС_ППС!K40,"AAAAABz3R88=")</f>
        <v>#VALUE!</v>
      </c>
      <c r="HA27" t="e">
        <f>AND(ТС_ППС!L40,"AAAAABz3R9A=")</f>
        <v>#VALUE!</v>
      </c>
      <c r="HB27" t="e">
        <f>AND(ТС_ППС!M40,"AAAAABz3R9E=")</f>
        <v>#VALUE!</v>
      </c>
      <c r="HC27" t="e">
        <f>AND(ТС_ППС!N40,"AAAAABz3R9I=")</f>
        <v>#VALUE!</v>
      </c>
      <c r="HD27" t="e">
        <f>AND(ТС_ППС!O40,"AAAAABz3R9M=")</f>
        <v>#VALUE!</v>
      </c>
      <c r="HE27">
        <f>IF(ТС_ППС!41:41,"AAAAABz3R9Q=",0)</f>
        <v>0</v>
      </c>
      <c r="HF27" t="e">
        <f>AND(ТС_ППС!A41,"AAAAABz3R9U=")</f>
        <v>#VALUE!</v>
      </c>
      <c r="HG27" t="e">
        <f>AND(ТС_ППС!B41,"AAAAABz3R9Y=")</f>
        <v>#VALUE!</v>
      </c>
      <c r="HH27" t="e">
        <f>AND(ТС_ППС!C41,"AAAAABz3R9c=")</f>
        <v>#VALUE!</v>
      </c>
      <c r="HI27" t="e">
        <f>AND(ТС_ППС!D41,"AAAAABz3R9g=")</f>
        <v>#VALUE!</v>
      </c>
      <c r="HJ27" t="e">
        <f>AND(ТС_ППС!E41,"AAAAABz3R9k=")</f>
        <v>#VALUE!</v>
      </c>
      <c r="HK27" t="e">
        <f>AND(ТС_ППС!F41,"AAAAABz3R9o=")</f>
        <v>#VALUE!</v>
      </c>
      <c r="HL27" t="e">
        <f>AND(ТС_ППС!G41,"AAAAABz3R9s=")</f>
        <v>#VALUE!</v>
      </c>
      <c r="HM27" t="e">
        <f>AND(ТС_ППС!H41,"AAAAABz3R9w=")</f>
        <v>#VALUE!</v>
      </c>
      <c r="HN27" t="e">
        <f>AND(ТС_ППС!I41,"AAAAABz3R90=")</f>
        <v>#VALUE!</v>
      </c>
      <c r="HO27" t="e">
        <f>AND(ТС_ППС!J41,"AAAAABz3R94=")</f>
        <v>#VALUE!</v>
      </c>
      <c r="HP27" t="e">
        <f>AND(ТС_ППС!K41,"AAAAABz3R98=")</f>
        <v>#VALUE!</v>
      </c>
      <c r="HQ27" t="e">
        <f>AND(ТС_ППС!L41,"AAAAABz3R+A=")</f>
        <v>#VALUE!</v>
      </c>
      <c r="HR27" t="e">
        <f>AND(ТС_ППС!M41,"AAAAABz3R+E=")</f>
        <v>#VALUE!</v>
      </c>
      <c r="HS27" t="e">
        <f>AND(ТС_ППС!N41,"AAAAABz3R+I=")</f>
        <v>#VALUE!</v>
      </c>
      <c r="HT27" t="e">
        <f>AND(ТС_ППС!O41,"AAAAABz3R+M=")</f>
        <v>#VALUE!</v>
      </c>
      <c r="HU27">
        <f>IF(ТС_ППС!42:42,"AAAAABz3R+Q=",0)</f>
        <v>0</v>
      </c>
      <c r="HV27" t="e">
        <f>AND(ТС_ППС!A42,"AAAAABz3R+U=")</f>
        <v>#VALUE!</v>
      </c>
      <c r="HW27" t="e">
        <f>AND(ТС_ППС!B42,"AAAAABz3R+Y=")</f>
        <v>#VALUE!</v>
      </c>
      <c r="HX27" t="e">
        <f>AND(ТС_ППС!C42,"AAAAABz3R+c=")</f>
        <v>#VALUE!</v>
      </c>
      <c r="HY27" t="e">
        <f>AND(ТС_ППС!D42,"AAAAABz3R+g=")</f>
        <v>#VALUE!</v>
      </c>
      <c r="HZ27" t="e">
        <f>AND(ТС_ППС!E42,"AAAAABz3R+k=")</f>
        <v>#VALUE!</v>
      </c>
      <c r="IA27" t="e">
        <f>AND(ТС_ППС!F42,"AAAAABz3R+o=")</f>
        <v>#VALUE!</v>
      </c>
      <c r="IB27" t="e">
        <f>AND(ТС_ППС!G42,"AAAAABz3R+s=")</f>
        <v>#VALUE!</v>
      </c>
      <c r="IC27" t="e">
        <f>AND(ТС_ППС!H42,"AAAAABz3R+w=")</f>
        <v>#VALUE!</v>
      </c>
      <c r="ID27" t="e">
        <f>AND(ТС_ППС!I42,"AAAAABz3R+0=")</f>
        <v>#VALUE!</v>
      </c>
      <c r="IE27" t="e">
        <f>AND(ТС_ППС!J42,"AAAAABz3R+4=")</f>
        <v>#VALUE!</v>
      </c>
      <c r="IF27" t="e">
        <f>AND(ТС_ППС!K42,"AAAAABz3R+8=")</f>
        <v>#VALUE!</v>
      </c>
      <c r="IG27" t="e">
        <f>AND(ТС_ППС!L42,"AAAAABz3R/A=")</f>
        <v>#VALUE!</v>
      </c>
      <c r="IH27" t="e">
        <f>AND(ТС_ППС!M42,"AAAAABz3R/E=")</f>
        <v>#VALUE!</v>
      </c>
      <c r="II27" t="e">
        <f>AND(ТС_ППС!N42,"AAAAABz3R/I=")</f>
        <v>#VALUE!</v>
      </c>
      <c r="IJ27" t="e">
        <f>AND(ТС_ППС!O42,"AAAAABz3R/M=")</f>
        <v>#VALUE!</v>
      </c>
      <c r="IK27">
        <f>IF(ТС_ППС!43:43,"AAAAABz3R/Q=",0)</f>
        <v>0</v>
      </c>
      <c r="IL27" t="e">
        <f>AND(ТС_ППС!A43,"AAAAABz3R/U=")</f>
        <v>#VALUE!</v>
      </c>
      <c r="IM27" t="e">
        <f>AND(ТС_ППС!B43,"AAAAABz3R/Y=")</f>
        <v>#VALUE!</v>
      </c>
      <c r="IN27" t="e">
        <f>AND(ТС_ППС!C43,"AAAAABz3R/c=")</f>
        <v>#VALUE!</v>
      </c>
      <c r="IO27" t="e">
        <f>AND(ТС_ППС!D43,"AAAAABz3R/g=")</f>
        <v>#VALUE!</v>
      </c>
      <c r="IP27" t="e">
        <f>AND(ТС_ППС!E43,"AAAAABz3R/k=")</f>
        <v>#VALUE!</v>
      </c>
      <c r="IQ27" t="e">
        <f>AND(ТС_ППС!F43,"AAAAABz3R/o=")</f>
        <v>#VALUE!</v>
      </c>
      <c r="IR27" t="e">
        <f>AND(ТС_ППС!G43,"AAAAABz3R/s=")</f>
        <v>#VALUE!</v>
      </c>
      <c r="IS27" t="e">
        <f>AND(ТС_ППС!H43,"AAAAABz3R/w=")</f>
        <v>#VALUE!</v>
      </c>
      <c r="IT27" t="e">
        <f>AND(ТС_ППС!I43,"AAAAABz3R/0=")</f>
        <v>#VALUE!</v>
      </c>
      <c r="IU27" t="e">
        <f>AND(ТС_ППС!J43,"AAAAABz3R/4=")</f>
        <v>#VALUE!</v>
      </c>
      <c r="IV27" t="e">
        <f>AND(ТС_ППС!K43,"AAAAABz3R/8=")</f>
        <v>#VALUE!</v>
      </c>
    </row>
    <row r="28" spans="1:256">
      <c r="A28" t="e">
        <f>AND(ТС_ППС!L43,"AAAAAH8+fwA=")</f>
        <v>#VALUE!</v>
      </c>
      <c r="B28" t="e">
        <f>AND(ТС_ППС!M43,"AAAAAH8+fwE=")</f>
        <v>#VALUE!</v>
      </c>
      <c r="C28" t="e">
        <f>AND(ТС_ППС!N43,"AAAAAH8+fwI=")</f>
        <v>#VALUE!</v>
      </c>
      <c r="D28" t="e">
        <f>AND(ТС_ППС!O43,"AAAAAH8+fwM=")</f>
        <v>#VALUE!</v>
      </c>
      <c r="E28">
        <f>IF(ТС_ППС!44:44,"AAAAAH8+fwQ=",0)</f>
        <v>0</v>
      </c>
      <c r="F28" t="e">
        <f>AND(ТС_ППС!A44,"AAAAAH8+fwU=")</f>
        <v>#VALUE!</v>
      </c>
      <c r="G28" t="e">
        <f>AND(ТС_ППС!B44,"AAAAAH8+fwY=")</f>
        <v>#VALUE!</v>
      </c>
      <c r="H28" t="e">
        <f>AND(ТС_ППС!C44,"AAAAAH8+fwc=")</f>
        <v>#VALUE!</v>
      </c>
      <c r="I28" t="e">
        <f>AND(ТС_ППС!D44,"AAAAAH8+fwg=")</f>
        <v>#VALUE!</v>
      </c>
      <c r="J28" t="e">
        <f>AND(ТС_ППС!E44,"AAAAAH8+fwk=")</f>
        <v>#VALUE!</v>
      </c>
      <c r="K28" t="e">
        <f>AND(ТС_ППС!F44,"AAAAAH8+fwo=")</f>
        <v>#VALUE!</v>
      </c>
      <c r="L28" t="e">
        <f>AND(ТС_ППС!G44,"AAAAAH8+fws=")</f>
        <v>#VALUE!</v>
      </c>
      <c r="M28" t="e">
        <f>AND(ТС_ППС!H44,"AAAAAH8+fww=")</f>
        <v>#VALUE!</v>
      </c>
      <c r="N28" t="e">
        <f>AND(ТС_ППС!I44,"AAAAAH8+fw0=")</f>
        <v>#VALUE!</v>
      </c>
      <c r="O28" t="e">
        <f>AND(ТС_ППС!J44,"AAAAAH8+fw4=")</f>
        <v>#VALUE!</v>
      </c>
      <c r="P28" t="e">
        <f>AND(ТС_ППС!K44,"AAAAAH8+fw8=")</f>
        <v>#VALUE!</v>
      </c>
      <c r="Q28" t="e">
        <f>AND(ТС_ППС!L44,"AAAAAH8+fxA=")</f>
        <v>#VALUE!</v>
      </c>
      <c r="R28" t="e">
        <f>AND(ТС_ППС!M44,"AAAAAH8+fxE=")</f>
        <v>#VALUE!</v>
      </c>
      <c r="S28" t="e">
        <f>AND(ТС_ППС!N44,"AAAAAH8+fxI=")</f>
        <v>#VALUE!</v>
      </c>
      <c r="T28" t="e">
        <f>AND(ТС_ППС!O44,"AAAAAH8+fxM=")</f>
        <v>#VALUE!</v>
      </c>
      <c r="U28">
        <f>IF(ТС_ППС!45:45,"AAAAAH8+fxQ=",0)</f>
        <v>0</v>
      </c>
      <c r="V28" t="e">
        <f>AND(ТС_ППС!A45,"AAAAAH8+fxU=")</f>
        <v>#VALUE!</v>
      </c>
      <c r="W28" t="e">
        <f>AND(ТС_ППС!B45,"AAAAAH8+fxY=")</f>
        <v>#VALUE!</v>
      </c>
      <c r="X28" t="e">
        <f>AND(ТС_ППС!C45,"AAAAAH8+fxc=")</f>
        <v>#VALUE!</v>
      </c>
      <c r="Y28" t="e">
        <f>AND(ТС_ППС!D45,"AAAAAH8+fxg=")</f>
        <v>#VALUE!</v>
      </c>
      <c r="Z28" t="e">
        <f>AND(ТС_ППС!E45,"AAAAAH8+fxk=")</f>
        <v>#VALUE!</v>
      </c>
      <c r="AA28" t="e">
        <f>AND(ТС_ППС!F45,"AAAAAH8+fxo=")</f>
        <v>#VALUE!</v>
      </c>
      <c r="AB28" t="e">
        <f>AND(ТС_ППС!G45,"AAAAAH8+fxs=")</f>
        <v>#VALUE!</v>
      </c>
      <c r="AC28" t="e">
        <f>AND(ТС_ППС!H45,"AAAAAH8+fxw=")</f>
        <v>#VALUE!</v>
      </c>
      <c r="AD28" t="e">
        <f>AND(ТС_ППС!I45,"AAAAAH8+fx0=")</f>
        <v>#VALUE!</v>
      </c>
      <c r="AE28" t="e">
        <f>AND(ТС_ППС!J45,"AAAAAH8+fx4=")</f>
        <v>#VALUE!</v>
      </c>
      <c r="AF28" t="e">
        <f>AND(ТС_ППС!K45,"AAAAAH8+fx8=")</f>
        <v>#VALUE!</v>
      </c>
      <c r="AG28" t="e">
        <f>AND(ТС_ППС!L45,"AAAAAH8+fyA=")</f>
        <v>#VALUE!</v>
      </c>
      <c r="AH28" t="e">
        <f>AND(ТС_ППС!M45,"AAAAAH8+fyE=")</f>
        <v>#VALUE!</v>
      </c>
      <c r="AI28" t="e">
        <f>AND(ТС_ППС!N45,"AAAAAH8+fyI=")</f>
        <v>#VALUE!</v>
      </c>
      <c r="AJ28" t="e">
        <f>AND(ТС_ППС!O45,"AAAAAH8+fyM=")</f>
        <v>#VALUE!</v>
      </c>
      <c r="AK28">
        <f>IF(ТС_ППС!46:46,"AAAAAH8+fyQ=",0)</f>
        <v>0</v>
      </c>
      <c r="AL28" t="e">
        <f>AND(ТС_ППС!A46,"AAAAAH8+fyU=")</f>
        <v>#VALUE!</v>
      </c>
      <c r="AM28" t="e">
        <f>AND(ТС_ППС!B46,"AAAAAH8+fyY=")</f>
        <v>#VALUE!</v>
      </c>
      <c r="AN28" t="e">
        <f>AND(ТС_ППС!C46,"AAAAAH8+fyc=")</f>
        <v>#VALUE!</v>
      </c>
      <c r="AO28" t="e">
        <f>AND(ТС_ППС!D46,"AAAAAH8+fyg=")</f>
        <v>#VALUE!</v>
      </c>
      <c r="AP28" t="e">
        <f>AND(ТС_ППС!E46,"AAAAAH8+fyk=")</f>
        <v>#VALUE!</v>
      </c>
      <c r="AQ28" t="e">
        <f>AND(ТС_ППС!F46,"AAAAAH8+fyo=")</f>
        <v>#VALUE!</v>
      </c>
      <c r="AR28" t="e">
        <f>AND(ТС_ППС!G46,"AAAAAH8+fys=")</f>
        <v>#VALUE!</v>
      </c>
      <c r="AS28" t="e">
        <f>AND(ТС_ППС!H46,"AAAAAH8+fyw=")</f>
        <v>#VALUE!</v>
      </c>
      <c r="AT28" t="e">
        <f>AND(ТС_ППС!I46,"AAAAAH8+fy0=")</f>
        <v>#VALUE!</v>
      </c>
      <c r="AU28" t="e">
        <f>AND(ТС_ППС!J46,"AAAAAH8+fy4=")</f>
        <v>#VALUE!</v>
      </c>
      <c r="AV28" t="e">
        <f>AND(ТС_ППС!K46,"AAAAAH8+fy8=")</f>
        <v>#VALUE!</v>
      </c>
      <c r="AW28" t="e">
        <f>AND(ТС_ППС!L46,"AAAAAH8+fzA=")</f>
        <v>#VALUE!</v>
      </c>
      <c r="AX28" t="e">
        <f>AND(ТС_ППС!M46,"AAAAAH8+fzE=")</f>
        <v>#VALUE!</v>
      </c>
      <c r="AY28" t="e">
        <f>AND(ТС_ППС!N46,"AAAAAH8+fzI=")</f>
        <v>#VALUE!</v>
      </c>
      <c r="AZ28" t="e">
        <f>AND(ТС_ППС!O46,"AAAAAH8+fzM=")</f>
        <v>#VALUE!</v>
      </c>
      <c r="BA28">
        <f>IF(ТС_ППС!47:47,"AAAAAH8+fzQ=",0)</f>
        <v>0</v>
      </c>
      <c r="BB28" t="e">
        <f>AND(ТС_ППС!A47,"AAAAAH8+fzU=")</f>
        <v>#VALUE!</v>
      </c>
      <c r="BC28" t="e">
        <f>AND(ТС_ППС!B47,"AAAAAH8+fzY=")</f>
        <v>#VALUE!</v>
      </c>
      <c r="BD28" t="e">
        <f>AND(ТС_ППС!C47,"AAAAAH8+fzc=")</f>
        <v>#VALUE!</v>
      </c>
      <c r="BE28" t="e">
        <f>AND(ТС_ППС!D47,"AAAAAH8+fzg=")</f>
        <v>#VALUE!</v>
      </c>
      <c r="BF28" t="e">
        <f>AND(ТС_ППС!E47,"AAAAAH8+fzk=")</f>
        <v>#VALUE!</v>
      </c>
      <c r="BG28" t="e">
        <f>AND(ТС_ППС!F47,"AAAAAH8+fzo=")</f>
        <v>#VALUE!</v>
      </c>
      <c r="BH28" t="e">
        <f>AND(ТС_ППС!G47,"AAAAAH8+fzs=")</f>
        <v>#VALUE!</v>
      </c>
      <c r="BI28" t="e">
        <f>AND(ТС_ППС!H47,"AAAAAH8+fzw=")</f>
        <v>#VALUE!</v>
      </c>
      <c r="BJ28" t="e">
        <f>AND(ТС_ППС!I47,"AAAAAH8+fz0=")</f>
        <v>#VALUE!</v>
      </c>
      <c r="BK28" t="e">
        <f>AND(ТС_ППС!J47,"AAAAAH8+fz4=")</f>
        <v>#VALUE!</v>
      </c>
      <c r="BL28" t="e">
        <f>AND(ТС_ППС!K47,"AAAAAH8+fz8=")</f>
        <v>#VALUE!</v>
      </c>
      <c r="BM28" t="e">
        <f>AND(ТС_ППС!L47,"AAAAAH8+f0A=")</f>
        <v>#VALUE!</v>
      </c>
      <c r="BN28" t="e">
        <f>AND(ТС_ППС!M47,"AAAAAH8+f0E=")</f>
        <v>#VALUE!</v>
      </c>
      <c r="BO28" t="e">
        <f>AND(ТС_ППС!N47,"AAAAAH8+f0I=")</f>
        <v>#VALUE!</v>
      </c>
      <c r="BP28" t="e">
        <f>AND(ТС_ППС!O47,"AAAAAH8+f0M=")</f>
        <v>#VALUE!</v>
      </c>
      <c r="BQ28">
        <f>IF(ТС_ППС!48:48,"AAAAAH8+f0Q=",0)</f>
        <v>0</v>
      </c>
      <c r="BR28" t="e">
        <f>AND(ТС_ППС!A48,"AAAAAH8+f0U=")</f>
        <v>#VALUE!</v>
      </c>
      <c r="BS28" t="e">
        <f>AND(ТС_ППС!B48,"AAAAAH8+f0Y=")</f>
        <v>#VALUE!</v>
      </c>
      <c r="BT28" t="e">
        <f>AND(ТС_ППС!C48,"AAAAAH8+f0c=")</f>
        <v>#VALUE!</v>
      </c>
      <c r="BU28" t="e">
        <f>AND(ТС_ППС!D48,"AAAAAH8+f0g=")</f>
        <v>#VALUE!</v>
      </c>
      <c r="BV28" t="e">
        <f>AND(ТС_ППС!E48,"AAAAAH8+f0k=")</f>
        <v>#VALUE!</v>
      </c>
      <c r="BW28" t="e">
        <f>AND(ТС_ППС!F48,"AAAAAH8+f0o=")</f>
        <v>#VALUE!</v>
      </c>
      <c r="BX28" t="e">
        <f>AND(ТС_ППС!G48,"AAAAAH8+f0s=")</f>
        <v>#VALUE!</v>
      </c>
      <c r="BY28" t="e">
        <f>AND(ТС_ППС!H48,"AAAAAH8+f0w=")</f>
        <v>#VALUE!</v>
      </c>
      <c r="BZ28" t="e">
        <f>AND(ТС_ППС!I48,"AAAAAH8+f00=")</f>
        <v>#VALUE!</v>
      </c>
      <c r="CA28" t="e">
        <f>AND(ТС_ППС!J48,"AAAAAH8+f04=")</f>
        <v>#VALUE!</v>
      </c>
      <c r="CB28" t="e">
        <f>AND(ТС_ППС!K48,"AAAAAH8+f08=")</f>
        <v>#VALUE!</v>
      </c>
      <c r="CC28" t="e">
        <f>AND(ТС_ППС!L48,"AAAAAH8+f1A=")</f>
        <v>#VALUE!</v>
      </c>
      <c r="CD28" t="e">
        <f>AND(ТС_ППС!M48,"AAAAAH8+f1E=")</f>
        <v>#VALUE!</v>
      </c>
      <c r="CE28" t="e">
        <f>AND(ТС_ППС!N48,"AAAAAH8+f1I=")</f>
        <v>#VALUE!</v>
      </c>
      <c r="CF28" t="e">
        <f>AND(ТС_ППС!O48,"AAAAAH8+f1M=")</f>
        <v>#VALUE!</v>
      </c>
      <c r="CG28">
        <f>IF(ТС_ППС!49:49,"AAAAAH8+f1Q=",0)</f>
        <v>0</v>
      </c>
      <c r="CH28" t="e">
        <f>AND(ТС_ППС!A49,"AAAAAH8+f1U=")</f>
        <v>#VALUE!</v>
      </c>
      <c r="CI28" t="e">
        <f>AND(ТС_ППС!B49,"AAAAAH8+f1Y=")</f>
        <v>#VALUE!</v>
      </c>
      <c r="CJ28" t="e">
        <f>AND(ТС_ППС!C49,"AAAAAH8+f1c=")</f>
        <v>#VALUE!</v>
      </c>
      <c r="CK28" t="e">
        <f>AND(ТС_ППС!D49,"AAAAAH8+f1g=")</f>
        <v>#VALUE!</v>
      </c>
      <c r="CL28" t="e">
        <f>AND(ТС_ППС!E49,"AAAAAH8+f1k=")</f>
        <v>#VALUE!</v>
      </c>
      <c r="CM28" t="e">
        <f>AND(ТС_ППС!F49,"AAAAAH8+f1o=")</f>
        <v>#VALUE!</v>
      </c>
      <c r="CN28" t="e">
        <f>AND(ТС_ППС!G49,"AAAAAH8+f1s=")</f>
        <v>#VALUE!</v>
      </c>
      <c r="CO28" t="e">
        <f>AND(ТС_ППС!H49,"AAAAAH8+f1w=")</f>
        <v>#VALUE!</v>
      </c>
      <c r="CP28" t="e">
        <f>AND(ТС_ППС!I49,"AAAAAH8+f10=")</f>
        <v>#VALUE!</v>
      </c>
      <c r="CQ28" t="e">
        <f>AND(ТС_ППС!J49,"AAAAAH8+f14=")</f>
        <v>#VALUE!</v>
      </c>
      <c r="CR28" t="e">
        <f>AND(ТС_ППС!K49,"AAAAAH8+f18=")</f>
        <v>#VALUE!</v>
      </c>
      <c r="CS28" t="e">
        <f>AND(ТС_ППС!L49,"AAAAAH8+f2A=")</f>
        <v>#VALUE!</v>
      </c>
      <c r="CT28" t="e">
        <f>AND(ТС_ППС!M49,"AAAAAH8+f2E=")</f>
        <v>#VALUE!</v>
      </c>
      <c r="CU28" t="e">
        <f>AND(ТС_ППС!N49,"AAAAAH8+f2I=")</f>
        <v>#VALUE!</v>
      </c>
      <c r="CV28" t="e">
        <f>AND(ТС_ППС!O49,"AAAAAH8+f2M=")</f>
        <v>#VALUE!</v>
      </c>
      <c r="CW28">
        <f>IF(ТС_ППС!50:50,"AAAAAH8+f2Q=",0)</f>
        <v>0</v>
      </c>
      <c r="CX28" t="e">
        <f>AND(ТС_ППС!A50,"AAAAAH8+f2U=")</f>
        <v>#VALUE!</v>
      </c>
      <c r="CY28" t="e">
        <f>AND(ТС_ППС!B50,"AAAAAH8+f2Y=")</f>
        <v>#VALUE!</v>
      </c>
      <c r="CZ28" t="e">
        <f>AND(ТС_ППС!C50,"AAAAAH8+f2c=")</f>
        <v>#VALUE!</v>
      </c>
      <c r="DA28" t="e">
        <f>AND(ТС_ППС!D50,"AAAAAH8+f2g=")</f>
        <v>#VALUE!</v>
      </c>
      <c r="DB28" t="e">
        <f>AND(ТС_ППС!E50,"AAAAAH8+f2k=")</f>
        <v>#VALUE!</v>
      </c>
      <c r="DC28" t="e">
        <f>AND(ТС_ППС!F50,"AAAAAH8+f2o=")</f>
        <v>#VALUE!</v>
      </c>
      <c r="DD28" t="e">
        <f>AND(ТС_ППС!G50,"AAAAAH8+f2s=")</f>
        <v>#VALUE!</v>
      </c>
      <c r="DE28" t="e">
        <f>AND(ТС_ППС!H50,"AAAAAH8+f2w=")</f>
        <v>#VALUE!</v>
      </c>
      <c r="DF28" t="e">
        <f>AND(ТС_ППС!I50,"AAAAAH8+f20=")</f>
        <v>#VALUE!</v>
      </c>
      <c r="DG28" t="e">
        <f>AND(ТС_ППС!J50,"AAAAAH8+f24=")</f>
        <v>#VALUE!</v>
      </c>
      <c r="DH28" t="e">
        <f>AND(ТС_ППС!K50,"AAAAAH8+f28=")</f>
        <v>#VALUE!</v>
      </c>
      <c r="DI28" t="e">
        <f>AND(ТС_ППС!L50,"AAAAAH8+f3A=")</f>
        <v>#VALUE!</v>
      </c>
      <c r="DJ28" t="e">
        <f>AND(ТС_ППС!M50,"AAAAAH8+f3E=")</f>
        <v>#VALUE!</v>
      </c>
      <c r="DK28" t="e">
        <f>AND(ТС_ППС!N50,"AAAAAH8+f3I=")</f>
        <v>#VALUE!</v>
      </c>
      <c r="DL28" t="e">
        <f>AND(ТС_ППС!O50,"AAAAAH8+f3M=")</f>
        <v>#VALUE!</v>
      </c>
      <c r="DM28">
        <f>IF(ТС_ППС!51:51,"AAAAAH8+f3Q=",0)</f>
        <v>0</v>
      </c>
      <c r="DN28" t="e">
        <f>AND(ТС_ППС!A51,"AAAAAH8+f3U=")</f>
        <v>#VALUE!</v>
      </c>
      <c r="DO28" t="e">
        <f>AND(ТС_ППС!B51,"AAAAAH8+f3Y=")</f>
        <v>#VALUE!</v>
      </c>
      <c r="DP28" t="e">
        <f>AND(ТС_ППС!C51,"AAAAAH8+f3c=")</f>
        <v>#VALUE!</v>
      </c>
      <c r="DQ28" t="e">
        <f>AND(ТС_ППС!D51,"AAAAAH8+f3g=")</f>
        <v>#VALUE!</v>
      </c>
      <c r="DR28" t="e">
        <f>AND(ТС_ППС!E51,"AAAAAH8+f3k=")</f>
        <v>#VALUE!</v>
      </c>
      <c r="DS28" t="e">
        <f>AND(ТС_ППС!F51,"AAAAAH8+f3o=")</f>
        <v>#VALUE!</v>
      </c>
      <c r="DT28" t="e">
        <f>AND(ТС_ППС!G51,"AAAAAH8+f3s=")</f>
        <v>#VALUE!</v>
      </c>
      <c r="DU28" t="e">
        <f>AND(ТС_ППС!H51,"AAAAAH8+f3w=")</f>
        <v>#VALUE!</v>
      </c>
      <c r="DV28" t="e">
        <f>AND(ТС_ППС!I51,"AAAAAH8+f30=")</f>
        <v>#VALUE!</v>
      </c>
      <c r="DW28" t="e">
        <f>AND(ТС_ППС!J51,"AAAAAH8+f34=")</f>
        <v>#VALUE!</v>
      </c>
      <c r="DX28" t="e">
        <f>AND(ТС_ППС!K51,"AAAAAH8+f38=")</f>
        <v>#VALUE!</v>
      </c>
      <c r="DY28" t="e">
        <f>AND(ТС_ППС!L51,"AAAAAH8+f4A=")</f>
        <v>#VALUE!</v>
      </c>
      <c r="DZ28" t="e">
        <f>AND(ТС_ППС!M51,"AAAAAH8+f4E=")</f>
        <v>#VALUE!</v>
      </c>
      <c r="EA28" t="e">
        <f>AND(ТС_ППС!N51,"AAAAAH8+f4I=")</f>
        <v>#VALUE!</v>
      </c>
      <c r="EB28" t="e">
        <f>AND(ТС_ППС!O51,"AAAAAH8+f4M=")</f>
        <v>#VALUE!</v>
      </c>
      <c r="EC28">
        <f>IF(ТС_ППС!52:52,"AAAAAH8+f4Q=",0)</f>
        <v>0</v>
      </c>
      <c r="ED28" t="e">
        <f>AND(ТС_ППС!A52,"AAAAAH8+f4U=")</f>
        <v>#VALUE!</v>
      </c>
      <c r="EE28" t="e">
        <f>AND(ТС_ППС!B52,"AAAAAH8+f4Y=")</f>
        <v>#VALUE!</v>
      </c>
      <c r="EF28" t="e">
        <f>AND(ТС_ППС!C52,"AAAAAH8+f4c=")</f>
        <v>#VALUE!</v>
      </c>
      <c r="EG28" t="e">
        <f>AND(ТС_ППС!D52,"AAAAAH8+f4g=")</f>
        <v>#VALUE!</v>
      </c>
      <c r="EH28" t="e">
        <f>AND(ТС_ППС!E52,"AAAAAH8+f4k=")</f>
        <v>#VALUE!</v>
      </c>
      <c r="EI28" t="e">
        <f>AND(ТС_ППС!F52,"AAAAAH8+f4o=")</f>
        <v>#VALUE!</v>
      </c>
      <c r="EJ28" t="e">
        <f>AND(ТС_ППС!G52,"AAAAAH8+f4s=")</f>
        <v>#VALUE!</v>
      </c>
      <c r="EK28" t="e">
        <f>AND(ТС_ППС!H52,"AAAAAH8+f4w=")</f>
        <v>#VALUE!</v>
      </c>
      <c r="EL28" t="e">
        <f>AND(ТС_ППС!I52,"AAAAAH8+f40=")</f>
        <v>#VALUE!</v>
      </c>
      <c r="EM28" t="e">
        <f>AND(ТС_ППС!J52,"AAAAAH8+f44=")</f>
        <v>#VALUE!</v>
      </c>
      <c r="EN28" t="e">
        <f>AND(ТС_ППС!K52,"AAAAAH8+f48=")</f>
        <v>#VALUE!</v>
      </c>
      <c r="EO28" t="e">
        <f>AND(ТС_ППС!L52,"AAAAAH8+f5A=")</f>
        <v>#VALUE!</v>
      </c>
      <c r="EP28" t="e">
        <f>AND(ТС_ППС!M52,"AAAAAH8+f5E=")</f>
        <v>#VALUE!</v>
      </c>
      <c r="EQ28" t="e">
        <f>AND(ТС_ППС!N52,"AAAAAH8+f5I=")</f>
        <v>#VALUE!</v>
      </c>
      <c r="ER28" t="e">
        <f>AND(ТС_ППС!O52,"AAAAAH8+f5M=")</f>
        <v>#VALUE!</v>
      </c>
      <c r="ES28">
        <f>IF(ТС_ППС!53:53,"AAAAAH8+f5Q=",0)</f>
        <v>0</v>
      </c>
      <c r="ET28" t="e">
        <f>AND(ТС_ППС!A53,"AAAAAH8+f5U=")</f>
        <v>#VALUE!</v>
      </c>
      <c r="EU28" t="e">
        <f>AND(ТС_ППС!B53,"AAAAAH8+f5Y=")</f>
        <v>#VALUE!</v>
      </c>
      <c r="EV28" t="e">
        <f>AND(ТС_ППС!C53,"AAAAAH8+f5c=")</f>
        <v>#VALUE!</v>
      </c>
      <c r="EW28" t="e">
        <f>AND(ТС_ППС!D53,"AAAAAH8+f5g=")</f>
        <v>#VALUE!</v>
      </c>
      <c r="EX28" t="e">
        <f>AND(ТС_ППС!E53,"AAAAAH8+f5k=")</f>
        <v>#VALUE!</v>
      </c>
      <c r="EY28" t="e">
        <f>AND(ТС_ППС!F53,"AAAAAH8+f5o=")</f>
        <v>#VALUE!</v>
      </c>
      <c r="EZ28" t="e">
        <f>AND(ТС_ППС!G53,"AAAAAH8+f5s=")</f>
        <v>#VALUE!</v>
      </c>
      <c r="FA28" t="e">
        <f>AND(ТС_ППС!H53,"AAAAAH8+f5w=")</f>
        <v>#VALUE!</v>
      </c>
      <c r="FB28" t="e">
        <f>AND(ТС_ППС!I53,"AAAAAH8+f50=")</f>
        <v>#VALUE!</v>
      </c>
      <c r="FC28" t="e">
        <f>AND(ТС_ППС!J53,"AAAAAH8+f54=")</f>
        <v>#VALUE!</v>
      </c>
      <c r="FD28" t="e">
        <f>AND(ТС_ППС!K53,"AAAAAH8+f58=")</f>
        <v>#VALUE!</v>
      </c>
      <c r="FE28" t="e">
        <f>AND(ТС_ППС!L53,"AAAAAH8+f6A=")</f>
        <v>#VALUE!</v>
      </c>
      <c r="FF28" t="e">
        <f>AND(ТС_ППС!M53,"AAAAAH8+f6E=")</f>
        <v>#VALUE!</v>
      </c>
      <c r="FG28" t="e">
        <f>AND(ТС_ППС!N53,"AAAAAH8+f6I=")</f>
        <v>#VALUE!</v>
      </c>
      <c r="FH28" t="e">
        <f>AND(ТС_ППС!O53,"AAAAAH8+f6M=")</f>
        <v>#VALUE!</v>
      </c>
      <c r="FI28">
        <f>IF(ТС_ППС!54:54,"AAAAAH8+f6Q=",0)</f>
        <v>0</v>
      </c>
      <c r="FJ28" t="e">
        <f>AND(ТС_ППС!A54,"AAAAAH8+f6U=")</f>
        <v>#VALUE!</v>
      </c>
      <c r="FK28" t="e">
        <f>AND(ТС_ППС!B54,"AAAAAH8+f6Y=")</f>
        <v>#VALUE!</v>
      </c>
      <c r="FL28" t="e">
        <f>AND(ТС_ППС!C54,"AAAAAH8+f6c=")</f>
        <v>#VALUE!</v>
      </c>
      <c r="FM28" t="e">
        <f>AND(ТС_ППС!D54,"AAAAAH8+f6g=")</f>
        <v>#VALUE!</v>
      </c>
      <c r="FN28" t="e">
        <f>AND(ТС_ППС!E54,"AAAAAH8+f6k=")</f>
        <v>#VALUE!</v>
      </c>
      <c r="FO28" t="e">
        <f>AND(ТС_ППС!F54,"AAAAAH8+f6o=")</f>
        <v>#VALUE!</v>
      </c>
      <c r="FP28" t="e">
        <f>AND(ТС_ППС!G54,"AAAAAH8+f6s=")</f>
        <v>#VALUE!</v>
      </c>
      <c r="FQ28" t="e">
        <f>AND(ТС_ППС!H54,"AAAAAH8+f6w=")</f>
        <v>#VALUE!</v>
      </c>
      <c r="FR28" t="e">
        <f>AND(ТС_ППС!I54,"AAAAAH8+f60=")</f>
        <v>#VALUE!</v>
      </c>
      <c r="FS28" t="e">
        <f>AND(ТС_ППС!J54,"AAAAAH8+f64=")</f>
        <v>#VALUE!</v>
      </c>
      <c r="FT28" t="e">
        <f>AND(ТС_ППС!K54,"AAAAAH8+f68=")</f>
        <v>#VALUE!</v>
      </c>
      <c r="FU28" t="e">
        <f>AND(ТС_ППС!L54,"AAAAAH8+f7A=")</f>
        <v>#VALUE!</v>
      </c>
      <c r="FV28" t="e">
        <f>AND(ТС_ППС!M54,"AAAAAH8+f7E=")</f>
        <v>#VALUE!</v>
      </c>
      <c r="FW28" t="e">
        <f>AND(ТС_ППС!N54,"AAAAAH8+f7I=")</f>
        <v>#VALUE!</v>
      </c>
      <c r="FX28" t="e">
        <f>AND(ТС_ППС!O54,"AAAAAH8+f7M=")</f>
        <v>#VALUE!</v>
      </c>
      <c r="FY28">
        <f>IF(ТС_ППС!55:55,"AAAAAH8+f7Q=",0)</f>
        <v>0</v>
      </c>
      <c r="FZ28" t="e">
        <f>AND(ТС_ППС!A55,"AAAAAH8+f7U=")</f>
        <v>#VALUE!</v>
      </c>
      <c r="GA28" t="e">
        <f>AND(ТС_ППС!B55,"AAAAAH8+f7Y=")</f>
        <v>#VALUE!</v>
      </c>
      <c r="GB28" t="e">
        <f>AND(ТС_ППС!C55,"AAAAAH8+f7c=")</f>
        <v>#VALUE!</v>
      </c>
      <c r="GC28" t="e">
        <f>AND(ТС_ППС!D55,"AAAAAH8+f7g=")</f>
        <v>#VALUE!</v>
      </c>
      <c r="GD28" t="e">
        <f>AND(ТС_ППС!E55,"AAAAAH8+f7k=")</f>
        <v>#VALUE!</v>
      </c>
      <c r="GE28" t="e">
        <f>AND(ТС_ППС!F55,"AAAAAH8+f7o=")</f>
        <v>#VALUE!</v>
      </c>
      <c r="GF28" t="e">
        <f>AND(ТС_ППС!G55,"AAAAAH8+f7s=")</f>
        <v>#VALUE!</v>
      </c>
      <c r="GG28" t="e">
        <f>AND(ТС_ППС!H55,"AAAAAH8+f7w=")</f>
        <v>#VALUE!</v>
      </c>
      <c r="GH28" t="e">
        <f>AND(ТС_ППС!I55,"AAAAAH8+f70=")</f>
        <v>#VALUE!</v>
      </c>
      <c r="GI28" t="e">
        <f>AND(ТС_ППС!J55,"AAAAAH8+f74=")</f>
        <v>#VALUE!</v>
      </c>
      <c r="GJ28" t="e">
        <f>AND(ТС_ППС!K55,"AAAAAH8+f78=")</f>
        <v>#VALUE!</v>
      </c>
      <c r="GK28" t="e">
        <f>AND(ТС_ППС!L55,"AAAAAH8+f8A=")</f>
        <v>#VALUE!</v>
      </c>
      <c r="GL28" t="e">
        <f>AND(ТС_ППС!M55,"AAAAAH8+f8E=")</f>
        <v>#VALUE!</v>
      </c>
      <c r="GM28" t="e">
        <f>AND(ТС_ППС!N55,"AAAAAH8+f8I=")</f>
        <v>#VALUE!</v>
      </c>
      <c r="GN28" t="e">
        <f>AND(ТС_ППС!O55,"AAAAAH8+f8M=")</f>
        <v>#VALUE!</v>
      </c>
      <c r="GO28">
        <f>IF(ТС_ППС!56:56,"AAAAAH8+f8Q=",0)</f>
        <v>0</v>
      </c>
      <c r="GP28" t="e">
        <f>AND(ТС_ППС!A56,"AAAAAH8+f8U=")</f>
        <v>#VALUE!</v>
      </c>
      <c r="GQ28" t="e">
        <f>AND(ТС_ППС!B56,"AAAAAH8+f8Y=")</f>
        <v>#VALUE!</v>
      </c>
      <c r="GR28" t="e">
        <f>AND(ТС_ППС!C56,"AAAAAH8+f8c=")</f>
        <v>#VALUE!</v>
      </c>
      <c r="GS28" t="e">
        <f>AND(ТС_ППС!D56,"AAAAAH8+f8g=")</f>
        <v>#VALUE!</v>
      </c>
      <c r="GT28" t="e">
        <f>AND(ТС_ППС!E56,"AAAAAH8+f8k=")</f>
        <v>#VALUE!</v>
      </c>
      <c r="GU28" t="e">
        <f>AND(ТС_ППС!F56,"AAAAAH8+f8o=")</f>
        <v>#VALUE!</v>
      </c>
      <c r="GV28" t="e">
        <f>AND(ТС_ППС!G56,"AAAAAH8+f8s=")</f>
        <v>#VALUE!</v>
      </c>
      <c r="GW28" t="e">
        <f>AND(ТС_ППС!H56,"AAAAAH8+f8w=")</f>
        <v>#VALUE!</v>
      </c>
      <c r="GX28" t="e">
        <f>AND(ТС_ППС!I56,"AAAAAH8+f80=")</f>
        <v>#VALUE!</v>
      </c>
      <c r="GY28" t="e">
        <f>AND(ТС_ППС!J56,"AAAAAH8+f84=")</f>
        <v>#VALUE!</v>
      </c>
      <c r="GZ28" t="e">
        <f>AND(ТС_ППС!K56,"AAAAAH8+f88=")</f>
        <v>#VALUE!</v>
      </c>
      <c r="HA28" t="e">
        <f>AND(ТС_ППС!L56,"AAAAAH8+f9A=")</f>
        <v>#VALUE!</v>
      </c>
      <c r="HB28" t="e">
        <f>AND(ТС_ППС!M56,"AAAAAH8+f9E=")</f>
        <v>#VALUE!</v>
      </c>
      <c r="HC28" t="e">
        <f>AND(ТС_ППС!N56,"AAAAAH8+f9I=")</f>
        <v>#VALUE!</v>
      </c>
      <c r="HD28" t="e">
        <f>AND(ТС_ППС!O56,"AAAAAH8+f9M=")</f>
        <v>#VALUE!</v>
      </c>
      <c r="HE28">
        <f>IF(ТС_ППС!57:57,"AAAAAH8+f9Q=",0)</f>
        <v>0</v>
      </c>
      <c r="HF28" t="e">
        <f>AND(ТС_ППС!A57,"AAAAAH8+f9U=")</f>
        <v>#VALUE!</v>
      </c>
      <c r="HG28" t="e">
        <f>AND(ТС_ППС!B57,"AAAAAH8+f9Y=")</f>
        <v>#VALUE!</v>
      </c>
      <c r="HH28" t="e">
        <f>AND(ТС_ППС!C57,"AAAAAH8+f9c=")</f>
        <v>#VALUE!</v>
      </c>
      <c r="HI28" t="e">
        <f>AND(ТС_ППС!D57,"AAAAAH8+f9g=")</f>
        <v>#VALUE!</v>
      </c>
      <c r="HJ28" t="e">
        <f>AND(ТС_ППС!E57,"AAAAAH8+f9k=")</f>
        <v>#VALUE!</v>
      </c>
      <c r="HK28" t="e">
        <f>AND(ТС_ППС!F57,"AAAAAH8+f9o=")</f>
        <v>#VALUE!</v>
      </c>
      <c r="HL28" t="e">
        <f>AND(ТС_ППС!G57,"AAAAAH8+f9s=")</f>
        <v>#VALUE!</v>
      </c>
      <c r="HM28" t="e">
        <f>AND(ТС_ППС!H57,"AAAAAH8+f9w=")</f>
        <v>#VALUE!</v>
      </c>
      <c r="HN28" t="e">
        <f>AND(ТС_ППС!I57,"AAAAAH8+f90=")</f>
        <v>#VALUE!</v>
      </c>
      <c r="HO28" t="e">
        <f>AND(ТС_ППС!J57,"AAAAAH8+f94=")</f>
        <v>#VALUE!</v>
      </c>
      <c r="HP28" t="e">
        <f>AND(ТС_ППС!K57,"AAAAAH8+f98=")</f>
        <v>#VALUE!</v>
      </c>
      <c r="HQ28" t="e">
        <f>AND(ТС_ППС!L57,"AAAAAH8+f+A=")</f>
        <v>#VALUE!</v>
      </c>
      <c r="HR28" t="e">
        <f>AND(ТС_ППС!M57,"AAAAAH8+f+E=")</f>
        <v>#VALUE!</v>
      </c>
      <c r="HS28" t="e">
        <f>AND(ТС_ППС!N57,"AAAAAH8+f+I=")</f>
        <v>#VALUE!</v>
      </c>
      <c r="HT28" t="e">
        <f>AND(ТС_ППС!O57,"AAAAAH8+f+M=")</f>
        <v>#VALUE!</v>
      </c>
      <c r="HU28">
        <f>IF(ТС_ППС!58:58,"AAAAAH8+f+Q=",0)</f>
        <v>0</v>
      </c>
      <c r="HV28" t="e">
        <f>AND(ТС_ППС!A58,"AAAAAH8+f+U=")</f>
        <v>#VALUE!</v>
      </c>
      <c r="HW28" t="e">
        <f>AND(ТС_ППС!B58,"AAAAAH8+f+Y=")</f>
        <v>#VALUE!</v>
      </c>
      <c r="HX28" t="e">
        <f>AND(ТС_ППС!C58,"AAAAAH8+f+c=")</f>
        <v>#VALUE!</v>
      </c>
      <c r="HY28" t="e">
        <f>AND(ТС_ППС!D58,"AAAAAH8+f+g=")</f>
        <v>#VALUE!</v>
      </c>
      <c r="HZ28" t="e">
        <f>AND(ТС_ППС!E58,"AAAAAH8+f+k=")</f>
        <v>#VALUE!</v>
      </c>
      <c r="IA28" t="e">
        <f>AND(ТС_ППС!F58,"AAAAAH8+f+o=")</f>
        <v>#VALUE!</v>
      </c>
      <c r="IB28" t="e">
        <f>AND(ТС_ППС!G58,"AAAAAH8+f+s=")</f>
        <v>#VALUE!</v>
      </c>
      <c r="IC28" t="e">
        <f>AND(ТС_ППС!H58,"AAAAAH8+f+w=")</f>
        <v>#VALUE!</v>
      </c>
      <c r="ID28" t="e">
        <f>AND(ТС_ППС!I58,"AAAAAH8+f+0=")</f>
        <v>#VALUE!</v>
      </c>
      <c r="IE28" t="e">
        <f>AND(ТС_ППС!J58,"AAAAAH8+f+4=")</f>
        <v>#VALUE!</v>
      </c>
      <c r="IF28" t="e">
        <f>AND(ТС_ППС!K58,"AAAAAH8+f+8=")</f>
        <v>#VALUE!</v>
      </c>
      <c r="IG28" t="e">
        <f>AND(ТС_ППС!L58,"AAAAAH8+f/A=")</f>
        <v>#VALUE!</v>
      </c>
      <c r="IH28" t="e">
        <f>AND(ТС_ППС!M58,"AAAAAH8+f/E=")</f>
        <v>#VALUE!</v>
      </c>
      <c r="II28" t="e">
        <f>AND(ТС_ППС!N58,"AAAAAH8+f/I=")</f>
        <v>#VALUE!</v>
      </c>
      <c r="IJ28" t="e">
        <f>AND(ТС_ППС!O58,"AAAAAH8+f/M=")</f>
        <v>#VALUE!</v>
      </c>
      <c r="IK28">
        <f>IF(ТС_ППС!59:59,"AAAAAH8+f/Q=",0)</f>
        <v>0</v>
      </c>
      <c r="IL28" t="e">
        <f>AND(ТС_ППС!A59,"AAAAAH8+f/U=")</f>
        <v>#VALUE!</v>
      </c>
      <c r="IM28" t="e">
        <f>AND(ТС_ППС!B59,"AAAAAH8+f/Y=")</f>
        <v>#VALUE!</v>
      </c>
      <c r="IN28" t="e">
        <f>AND(ТС_ППС!C59,"AAAAAH8+f/c=")</f>
        <v>#VALUE!</v>
      </c>
      <c r="IO28" t="e">
        <f>AND(ТС_ППС!D59,"AAAAAH8+f/g=")</f>
        <v>#VALUE!</v>
      </c>
      <c r="IP28" t="e">
        <f>AND(ТС_ППС!E59,"AAAAAH8+f/k=")</f>
        <v>#VALUE!</v>
      </c>
      <c r="IQ28" t="e">
        <f>AND(ТС_ППС!F59,"AAAAAH8+f/o=")</f>
        <v>#VALUE!</v>
      </c>
      <c r="IR28" t="e">
        <f>AND(ТС_ППС!G59,"AAAAAH8+f/s=")</f>
        <v>#VALUE!</v>
      </c>
      <c r="IS28" t="e">
        <f>AND(ТС_ППС!H59,"AAAAAH8+f/w=")</f>
        <v>#VALUE!</v>
      </c>
      <c r="IT28" t="e">
        <f>AND(ТС_ППС!I59,"AAAAAH8+f/0=")</f>
        <v>#VALUE!</v>
      </c>
      <c r="IU28" t="e">
        <f>AND(ТС_ППС!J59,"AAAAAH8+f/4=")</f>
        <v>#VALUE!</v>
      </c>
      <c r="IV28" t="e">
        <f>AND(ТС_ППС!K59,"AAAAAH8+f/8=")</f>
        <v>#VALUE!</v>
      </c>
    </row>
    <row r="29" spans="1:256">
      <c r="A29" t="e">
        <f>AND(ТС_ППС!L59,"AAAAADL/7wA=")</f>
        <v>#VALUE!</v>
      </c>
      <c r="B29" t="e">
        <f>AND(ТС_ППС!M59,"AAAAADL/7wE=")</f>
        <v>#VALUE!</v>
      </c>
      <c r="C29" t="e">
        <f>AND(ТС_ППС!N59,"AAAAADL/7wI=")</f>
        <v>#VALUE!</v>
      </c>
      <c r="D29" t="e">
        <f>AND(ТС_ППС!O59,"AAAAADL/7wM=")</f>
        <v>#VALUE!</v>
      </c>
      <c r="E29">
        <f>IF(ТС_ППС!60:60,"AAAAADL/7wQ=",0)</f>
        <v>0</v>
      </c>
      <c r="F29" t="e">
        <f>AND(ТС_ППС!A60,"AAAAADL/7wU=")</f>
        <v>#VALUE!</v>
      </c>
      <c r="G29" t="e">
        <f>AND(ТС_ППС!B60,"AAAAADL/7wY=")</f>
        <v>#VALUE!</v>
      </c>
      <c r="H29" t="e">
        <f>AND(ТС_ППС!C60,"AAAAADL/7wc=")</f>
        <v>#VALUE!</v>
      </c>
      <c r="I29" t="e">
        <f>AND(ТС_ППС!D60,"AAAAADL/7wg=")</f>
        <v>#VALUE!</v>
      </c>
      <c r="J29" t="e">
        <f>AND(ТС_ППС!E60,"AAAAADL/7wk=")</f>
        <v>#VALUE!</v>
      </c>
      <c r="K29" t="e">
        <f>AND(ТС_ППС!F60,"AAAAADL/7wo=")</f>
        <v>#VALUE!</v>
      </c>
      <c r="L29" t="e">
        <f>AND(ТС_ППС!G60,"AAAAADL/7ws=")</f>
        <v>#VALUE!</v>
      </c>
      <c r="M29" t="e">
        <f>AND(ТС_ППС!H60,"AAAAADL/7ww=")</f>
        <v>#VALUE!</v>
      </c>
      <c r="N29" t="e">
        <f>AND(ТС_ППС!I60,"AAAAADL/7w0=")</f>
        <v>#VALUE!</v>
      </c>
      <c r="O29" t="e">
        <f>AND(ТС_ППС!J60,"AAAAADL/7w4=")</f>
        <v>#VALUE!</v>
      </c>
      <c r="P29" t="e">
        <f>AND(ТС_ППС!K60,"AAAAADL/7w8=")</f>
        <v>#VALUE!</v>
      </c>
      <c r="Q29" t="e">
        <f>AND(ТС_ППС!L60,"AAAAADL/7xA=")</f>
        <v>#VALUE!</v>
      </c>
      <c r="R29" t="e">
        <f>AND(ТС_ППС!M60,"AAAAADL/7xE=")</f>
        <v>#VALUE!</v>
      </c>
      <c r="S29" t="e">
        <f>AND(ТС_ППС!N60,"AAAAADL/7xI=")</f>
        <v>#VALUE!</v>
      </c>
      <c r="T29" t="e">
        <f>AND(ТС_ППС!O60,"AAAAADL/7xM=")</f>
        <v>#VALUE!</v>
      </c>
      <c r="U29">
        <f>IF(ТС_ППС!61:61,"AAAAADL/7xQ=",0)</f>
        <v>0</v>
      </c>
      <c r="V29" t="e">
        <f>AND(ТС_ППС!A61,"AAAAADL/7xU=")</f>
        <v>#VALUE!</v>
      </c>
      <c r="W29" t="e">
        <f>AND(ТС_ППС!B61,"AAAAADL/7xY=")</f>
        <v>#VALUE!</v>
      </c>
      <c r="X29" t="e">
        <f>AND(ТС_ППС!C61,"AAAAADL/7xc=")</f>
        <v>#VALUE!</v>
      </c>
      <c r="Y29" t="e">
        <f>AND(ТС_ППС!D61,"AAAAADL/7xg=")</f>
        <v>#VALUE!</v>
      </c>
      <c r="Z29" t="e">
        <f>AND(ТС_ППС!E61,"AAAAADL/7xk=")</f>
        <v>#VALUE!</v>
      </c>
      <c r="AA29" t="e">
        <f>AND(ТС_ППС!F61,"AAAAADL/7xo=")</f>
        <v>#VALUE!</v>
      </c>
      <c r="AB29" t="e">
        <f>AND(ТС_ППС!G61,"AAAAADL/7xs=")</f>
        <v>#VALUE!</v>
      </c>
      <c r="AC29" t="e">
        <f>AND(ТС_ППС!H61,"AAAAADL/7xw=")</f>
        <v>#VALUE!</v>
      </c>
      <c r="AD29" t="e">
        <f>AND(ТС_ППС!I61,"AAAAADL/7x0=")</f>
        <v>#VALUE!</v>
      </c>
      <c r="AE29" t="e">
        <f>AND(ТС_ППС!J61,"AAAAADL/7x4=")</f>
        <v>#VALUE!</v>
      </c>
      <c r="AF29" t="e">
        <f>AND(ТС_ППС!K61,"AAAAADL/7x8=")</f>
        <v>#VALUE!</v>
      </c>
      <c r="AG29" t="e">
        <f>AND(ТС_ППС!L61,"AAAAADL/7yA=")</f>
        <v>#VALUE!</v>
      </c>
      <c r="AH29" t="e">
        <f>AND(ТС_ППС!M61,"AAAAADL/7yE=")</f>
        <v>#VALUE!</v>
      </c>
      <c r="AI29" t="e">
        <f>AND(ТС_ППС!N61,"AAAAADL/7yI=")</f>
        <v>#VALUE!</v>
      </c>
      <c r="AJ29" t="e">
        <f>AND(ТС_ППС!O61,"AAAAADL/7yM=")</f>
        <v>#VALUE!</v>
      </c>
      <c r="AK29">
        <f>IF(ТС_ППС!62:62,"AAAAADL/7yQ=",0)</f>
        <v>0</v>
      </c>
      <c r="AL29" t="e">
        <f>AND(ТС_ППС!A62,"AAAAADL/7yU=")</f>
        <v>#VALUE!</v>
      </c>
      <c r="AM29" t="e">
        <f>AND(ТС_ППС!B62,"AAAAADL/7yY=")</f>
        <v>#VALUE!</v>
      </c>
      <c r="AN29" t="e">
        <f>AND(ТС_ППС!C62,"AAAAADL/7yc=")</f>
        <v>#VALUE!</v>
      </c>
      <c r="AO29" t="e">
        <f>AND(ТС_ППС!D62,"AAAAADL/7yg=")</f>
        <v>#VALUE!</v>
      </c>
      <c r="AP29" t="e">
        <f>AND(ТС_ППС!E62,"AAAAADL/7yk=")</f>
        <v>#VALUE!</v>
      </c>
      <c r="AQ29" t="e">
        <f>AND(ТС_ППС!F62,"AAAAADL/7yo=")</f>
        <v>#VALUE!</v>
      </c>
      <c r="AR29" t="e">
        <f>AND(ТС_ППС!G62,"AAAAADL/7ys=")</f>
        <v>#VALUE!</v>
      </c>
      <c r="AS29" t="e">
        <f>AND(ТС_ППС!H62,"AAAAADL/7yw=")</f>
        <v>#VALUE!</v>
      </c>
      <c r="AT29" t="e">
        <f>AND(ТС_ППС!I62,"AAAAADL/7y0=")</f>
        <v>#VALUE!</v>
      </c>
      <c r="AU29" t="e">
        <f>AND(ТС_ППС!J62,"AAAAADL/7y4=")</f>
        <v>#VALUE!</v>
      </c>
      <c r="AV29" t="e">
        <f>AND(ТС_ППС!K62,"AAAAADL/7y8=")</f>
        <v>#VALUE!</v>
      </c>
      <c r="AW29" t="e">
        <f>AND(ТС_ППС!L62,"AAAAADL/7zA=")</f>
        <v>#VALUE!</v>
      </c>
      <c r="AX29" t="e">
        <f>AND(ТС_ППС!M62,"AAAAADL/7zE=")</f>
        <v>#VALUE!</v>
      </c>
      <c r="AY29" t="e">
        <f>AND(ТС_ППС!N62,"AAAAADL/7zI=")</f>
        <v>#VALUE!</v>
      </c>
      <c r="AZ29" t="e">
        <f>AND(ТС_ППС!O62,"AAAAADL/7zM=")</f>
        <v>#VALUE!</v>
      </c>
      <c r="BA29">
        <f>IF(ТС_ППС!63:63,"AAAAADL/7zQ=",0)</f>
        <v>0</v>
      </c>
      <c r="BB29" t="e">
        <f>AND(ТС_ППС!A63,"AAAAADL/7zU=")</f>
        <v>#VALUE!</v>
      </c>
      <c r="BC29" t="e">
        <f>AND(ТС_ППС!B63,"AAAAADL/7zY=")</f>
        <v>#VALUE!</v>
      </c>
      <c r="BD29" t="e">
        <f>AND(ТС_ППС!C63,"AAAAADL/7zc=")</f>
        <v>#VALUE!</v>
      </c>
      <c r="BE29" t="e">
        <f>AND(ТС_ППС!D63,"AAAAADL/7zg=")</f>
        <v>#VALUE!</v>
      </c>
      <c r="BF29" t="e">
        <f>AND(ТС_ППС!E63,"AAAAADL/7zk=")</f>
        <v>#VALUE!</v>
      </c>
      <c r="BG29" t="e">
        <f>AND(ТС_ППС!F63,"AAAAADL/7zo=")</f>
        <v>#VALUE!</v>
      </c>
      <c r="BH29" t="e">
        <f>AND(ТС_ППС!G63,"AAAAADL/7zs=")</f>
        <v>#VALUE!</v>
      </c>
      <c r="BI29" t="e">
        <f>AND(ТС_ППС!H63,"AAAAADL/7zw=")</f>
        <v>#VALUE!</v>
      </c>
      <c r="BJ29" t="e">
        <f>AND(ТС_ППС!I63,"AAAAADL/7z0=")</f>
        <v>#VALUE!</v>
      </c>
      <c r="BK29" t="e">
        <f>AND(ТС_ППС!J63,"AAAAADL/7z4=")</f>
        <v>#VALUE!</v>
      </c>
      <c r="BL29" t="e">
        <f>AND(ТС_ППС!K63,"AAAAADL/7z8=")</f>
        <v>#VALUE!</v>
      </c>
      <c r="BM29" t="e">
        <f>AND(ТС_ППС!L63,"AAAAADL/70A=")</f>
        <v>#VALUE!</v>
      </c>
      <c r="BN29" t="e">
        <f>AND(ТС_ППС!M63,"AAAAADL/70E=")</f>
        <v>#VALUE!</v>
      </c>
      <c r="BO29" t="e">
        <f>AND(ТС_ППС!N63,"AAAAADL/70I=")</f>
        <v>#VALUE!</v>
      </c>
      <c r="BP29" t="e">
        <f>AND(ТС_ППС!O63,"AAAAADL/70M=")</f>
        <v>#VALUE!</v>
      </c>
      <c r="BQ29">
        <f>IF(ТС_ППС!64:64,"AAAAADL/70Q=",0)</f>
        <v>0</v>
      </c>
      <c r="BR29" t="e">
        <f>AND(ТС_ППС!A64,"AAAAADL/70U=")</f>
        <v>#VALUE!</v>
      </c>
      <c r="BS29" t="e">
        <f>AND(ТС_ППС!B64,"AAAAADL/70Y=")</f>
        <v>#VALUE!</v>
      </c>
      <c r="BT29" t="e">
        <f>AND(ТС_ППС!C64,"AAAAADL/70c=")</f>
        <v>#VALUE!</v>
      </c>
      <c r="BU29" t="e">
        <f>AND(ТС_ППС!D64,"AAAAADL/70g=")</f>
        <v>#VALUE!</v>
      </c>
      <c r="BV29" t="e">
        <f>AND(ТС_ППС!E64,"AAAAADL/70k=")</f>
        <v>#VALUE!</v>
      </c>
      <c r="BW29" t="e">
        <f>AND(ТС_ППС!F64,"AAAAADL/70o=")</f>
        <v>#VALUE!</v>
      </c>
      <c r="BX29" t="e">
        <f>AND(ТС_ППС!G64,"AAAAADL/70s=")</f>
        <v>#VALUE!</v>
      </c>
      <c r="BY29" t="e">
        <f>AND(ТС_ППС!H64,"AAAAADL/70w=")</f>
        <v>#VALUE!</v>
      </c>
      <c r="BZ29" t="e">
        <f>AND(ТС_ППС!I64,"AAAAADL/700=")</f>
        <v>#VALUE!</v>
      </c>
      <c r="CA29" t="e">
        <f>AND(ТС_ППС!J64,"AAAAADL/704=")</f>
        <v>#VALUE!</v>
      </c>
      <c r="CB29" t="e">
        <f>AND(ТС_ППС!K64,"AAAAADL/708=")</f>
        <v>#VALUE!</v>
      </c>
      <c r="CC29" t="e">
        <f>AND(ТС_ППС!L64,"AAAAADL/71A=")</f>
        <v>#VALUE!</v>
      </c>
      <c r="CD29" t="e">
        <f>AND(ТС_ППС!M64,"AAAAADL/71E=")</f>
        <v>#VALUE!</v>
      </c>
      <c r="CE29" t="e">
        <f>AND(ТС_ППС!N64,"AAAAADL/71I=")</f>
        <v>#VALUE!</v>
      </c>
      <c r="CF29" t="e">
        <f>AND(ТС_ППС!O64,"AAAAADL/71M=")</f>
        <v>#VALUE!</v>
      </c>
      <c r="CG29">
        <f>IF(ТС_ППС!65:65,"AAAAADL/71Q=",0)</f>
        <v>0</v>
      </c>
      <c r="CH29" t="e">
        <f>AND(ТС_ППС!A65,"AAAAADL/71U=")</f>
        <v>#VALUE!</v>
      </c>
      <c r="CI29" t="e">
        <f>AND(ТС_ППС!B65,"AAAAADL/71Y=")</f>
        <v>#VALUE!</v>
      </c>
      <c r="CJ29" t="e">
        <f>AND(ТС_ППС!C65,"AAAAADL/71c=")</f>
        <v>#VALUE!</v>
      </c>
      <c r="CK29" t="e">
        <f>AND(ТС_ППС!D65,"AAAAADL/71g=")</f>
        <v>#VALUE!</v>
      </c>
      <c r="CL29" t="e">
        <f>AND(ТС_ППС!E65,"AAAAADL/71k=")</f>
        <v>#VALUE!</v>
      </c>
      <c r="CM29" t="e">
        <f>AND(ТС_ППС!F65,"AAAAADL/71o=")</f>
        <v>#VALUE!</v>
      </c>
      <c r="CN29" t="e">
        <f>AND(ТС_ППС!G65,"AAAAADL/71s=")</f>
        <v>#VALUE!</v>
      </c>
      <c r="CO29" t="e">
        <f>AND(ТС_ППС!H65,"AAAAADL/71w=")</f>
        <v>#VALUE!</v>
      </c>
      <c r="CP29" t="e">
        <f>AND(ТС_ППС!I65,"AAAAADL/710=")</f>
        <v>#VALUE!</v>
      </c>
      <c r="CQ29" t="e">
        <f>AND(ТС_ППС!J65,"AAAAADL/714=")</f>
        <v>#VALUE!</v>
      </c>
      <c r="CR29" t="e">
        <f>AND(ТС_ППС!K65,"AAAAADL/718=")</f>
        <v>#VALUE!</v>
      </c>
      <c r="CS29" t="e">
        <f>AND(ТС_ППС!L65,"AAAAADL/72A=")</f>
        <v>#VALUE!</v>
      </c>
      <c r="CT29" t="e">
        <f>AND(ТС_ППС!M65,"AAAAADL/72E=")</f>
        <v>#VALUE!</v>
      </c>
      <c r="CU29" t="e">
        <f>AND(ТС_ППС!N65,"AAAAADL/72I=")</f>
        <v>#VALUE!</v>
      </c>
      <c r="CV29" t="e">
        <f>AND(ТС_ППС!O65,"AAAAADL/72M=")</f>
        <v>#VALUE!</v>
      </c>
      <c r="CW29">
        <f>IF(ТС_ППС!66:66,"AAAAADL/72Q=",0)</f>
        <v>0</v>
      </c>
      <c r="CX29" t="e">
        <f>AND(ТС_ППС!A66,"AAAAADL/72U=")</f>
        <v>#VALUE!</v>
      </c>
      <c r="CY29" t="e">
        <f>AND(ТС_ППС!B66,"AAAAADL/72Y=")</f>
        <v>#VALUE!</v>
      </c>
      <c r="CZ29" t="e">
        <f>AND(ТС_ППС!C66,"AAAAADL/72c=")</f>
        <v>#VALUE!</v>
      </c>
      <c r="DA29" t="e">
        <f>AND(ТС_ППС!D66,"AAAAADL/72g=")</f>
        <v>#VALUE!</v>
      </c>
      <c r="DB29" t="e">
        <f>AND(ТС_ППС!E66,"AAAAADL/72k=")</f>
        <v>#VALUE!</v>
      </c>
      <c r="DC29" t="e">
        <f>AND(ТС_ППС!F66,"AAAAADL/72o=")</f>
        <v>#VALUE!</v>
      </c>
      <c r="DD29" t="e">
        <f>AND(ТС_ППС!G66,"AAAAADL/72s=")</f>
        <v>#VALUE!</v>
      </c>
      <c r="DE29" t="e">
        <f>AND(ТС_ППС!H66,"AAAAADL/72w=")</f>
        <v>#VALUE!</v>
      </c>
      <c r="DF29" t="e">
        <f>AND(ТС_ППС!I66,"AAAAADL/720=")</f>
        <v>#VALUE!</v>
      </c>
      <c r="DG29" t="e">
        <f>AND(ТС_ППС!J66,"AAAAADL/724=")</f>
        <v>#VALUE!</v>
      </c>
      <c r="DH29" t="e">
        <f>AND(ТС_ППС!K66,"AAAAADL/728=")</f>
        <v>#VALUE!</v>
      </c>
      <c r="DI29" t="e">
        <f>AND(ТС_ППС!L66,"AAAAADL/73A=")</f>
        <v>#VALUE!</v>
      </c>
      <c r="DJ29" t="e">
        <f>AND(ТС_ППС!M66,"AAAAADL/73E=")</f>
        <v>#VALUE!</v>
      </c>
      <c r="DK29" t="e">
        <f>AND(ТС_ППС!N66,"AAAAADL/73I=")</f>
        <v>#VALUE!</v>
      </c>
      <c r="DL29" t="e">
        <f>AND(ТС_ППС!O66,"AAAAADL/73M=")</f>
        <v>#VALUE!</v>
      </c>
      <c r="DM29">
        <f>IF(ТС_ППС!67:67,"AAAAADL/73Q=",0)</f>
        <v>0</v>
      </c>
      <c r="DN29" t="e">
        <f>AND(ТС_ППС!A67,"AAAAADL/73U=")</f>
        <v>#VALUE!</v>
      </c>
      <c r="DO29" t="e">
        <f>AND(ТС_ППС!B67,"AAAAADL/73Y=")</f>
        <v>#VALUE!</v>
      </c>
      <c r="DP29" t="e">
        <f>AND(ТС_ППС!C67,"AAAAADL/73c=")</f>
        <v>#VALUE!</v>
      </c>
      <c r="DQ29" t="e">
        <f>AND(ТС_ППС!D67,"AAAAADL/73g=")</f>
        <v>#VALUE!</v>
      </c>
      <c r="DR29" t="e">
        <f>AND(ТС_ППС!E67,"AAAAADL/73k=")</f>
        <v>#VALUE!</v>
      </c>
      <c r="DS29" t="e">
        <f>AND(ТС_ППС!F67,"AAAAADL/73o=")</f>
        <v>#VALUE!</v>
      </c>
      <c r="DT29" t="e">
        <f>AND(ТС_ППС!G67,"AAAAADL/73s=")</f>
        <v>#VALUE!</v>
      </c>
      <c r="DU29" t="e">
        <f>AND(ТС_ППС!H67,"AAAAADL/73w=")</f>
        <v>#VALUE!</v>
      </c>
      <c r="DV29" t="e">
        <f>AND(ТС_ППС!I67,"AAAAADL/730=")</f>
        <v>#VALUE!</v>
      </c>
      <c r="DW29" t="e">
        <f>AND(ТС_ППС!J67,"AAAAADL/734=")</f>
        <v>#VALUE!</v>
      </c>
      <c r="DX29" t="e">
        <f>AND(ТС_ППС!K67,"AAAAADL/738=")</f>
        <v>#VALUE!</v>
      </c>
      <c r="DY29" t="e">
        <f>AND(ТС_ППС!L67,"AAAAADL/74A=")</f>
        <v>#VALUE!</v>
      </c>
      <c r="DZ29" t="e">
        <f>AND(ТС_ППС!M67,"AAAAADL/74E=")</f>
        <v>#VALUE!</v>
      </c>
      <c r="EA29" t="e">
        <f>AND(ТС_ППС!N67,"AAAAADL/74I=")</f>
        <v>#VALUE!</v>
      </c>
      <c r="EB29" t="e">
        <f>AND(ТС_ППС!O67,"AAAAADL/74M=")</f>
        <v>#VALUE!</v>
      </c>
      <c r="EC29">
        <f>IF(ТС_ППС!68:68,"AAAAADL/74Q=",0)</f>
        <v>0</v>
      </c>
      <c r="ED29" t="e">
        <f>AND(ТС_ППС!A68,"AAAAADL/74U=")</f>
        <v>#VALUE!</v>
      </c>
      <c r="EE29" t="e">
        <f>AND(ТС_ППС!B68,"AAAAADL/74Y=")</f>
        <v>#VALUE!</v>
      </c>
      <c r="EF29" t="e">
        <f>AND(ТС_ППС!C68,"AAAAADL/74c=")</f>
        <v>#VALUE!</v>
      </c>
      <c r="EG29" t="e">
        <f>AND(ТС_ППС!D68,"AAAAADL/74g=")</f>
        <v>#VALUE!</v>
      </c>
      <c r="EH29" t="e">
        <f>AND(ТС_ППС!E68,"AAAAADL/74k=")</f>
        <v>#VALUE!</v>
      </c>
      <c r="EI29" t="e">
        <f>AND(ТС_ППС!F68,"AAAAADL/74o=")</f>
        <v>#VALUE!</v>
      </c>
      <c r="EJ29" t="e">
        <f>AND(ТС_ППС!G68,"AAAAADL/74s=")</f>
        <v>#VALUE!</v>
      </c>
      <c r="EK29" t="e">
        <f>AND(ТС_ППС!H68,"AAAAADL/74w=")</f>
        <v>#VALUE!</v>
      </c>
      <c r="EL29" t="e">
        <f>AND(ТС_ППС!I68,"AAAAADL/740=")</f>
        <v>#VALUE!</v>
      </c>
      <c r="EM29" t="e">
        <f>AND(ТС_ППС!J68,"AAAAADL/744=")</f>
        <v>#VALUE!</v>
      </c>
      <c r="EN29" t="e">
        <f>AND(ТС_ППС!K68,"AAAAADL/748=")</f>
        <v>#VALUE!</v>
      </c>
      <c r="EO29" t="e">
        <f>AND(ТС_ППС!L68,"AAAAADL/75A=")</f>
        <v>#VALUE!</v>
      </c>
      <c r="EP29" t="e">
        <f>AND(ТС_ППС!M68,"AAAAADL/75E=")</f>
        <v>#VALUE!</v>
      </c>
      <c r="EQ29" t="e">
        <f>AND(ТС_ППС!N68,"AAAAADL/75I=")</f>
        <v>#VALUE!</v>
      </c>
      <c r="ER29" t="e">
        <f>AND(ТС_ППС!O68,"AAAAADL/75M=")</f>
        <v>#VALUE!</v>
      </c>
      <c r="ES29">
        <f>IF(ТС_ППС!69:69,"AAAAADL/75Q=",0)</f>
        <v>0</v>
      </c>
      <c r="ET29" t="e">
        <f>AND(ТС_ППС!A69,"AAAAADL/75U=")</f>
        <v>#VALUE!</v>
      </c>
      <c r="EU29" t="e">
        <f>AND(ТС_ППС!B69,"AAAAADL/75Y=")</f>
        <v>#VALUE!</v>
      </c>
      <c r="EV29" t="e">
        <f>AND(ТС_ППС!C69,"AAAAADL/75c=")</f>
        <v>#VALUE!</v>
      </c>
      <c r="EW29" t="e">
        <f>AND(ТС_ППС!D69,"AAAAADL/75g=")</f>
        <v>#VALUE!</v>
      </c>
      <c r="EX29" t="e">
        <f>AND(ТС_ППС!E69,"AAAAADL/75k=")</f>
        <v>#VALUE!</v>
      </c>
      <c r="EY29" t="e">
        <f>AND(ТС_ППС!F69,"AAAAADL/75o=")</f>
        <v>#VALUE!</v>
      </c>
      <c r="EZ29" t="e">
        <f>AND(ТС_ППС!G69,"AAAAADL/75s=")</f>
        <v>#VALUE!</v>
      </c>
      <c r="FA29" t="e">
        <f>AND(ТС_ППС!H69,"AAAAADL/75w=")</f>
        <v>#VALUE!</v>
      </c>
      <c r="FB29" t="e">
        <f>AND(ТС_ППС!I69,"AAAAADL/750=")</f>
        <v>#VALUE!</v>
      </c>
      <c r="FC29" t="e">
        <f>AND(ТС_ППС!J69,"AAAAADL/754=")</f>
        <v>#VALUE!</v>
      </c>
      <c r="FD29" t="e">
        <f>AND(ТС_ППС!K69,"AAAAADL/758=")</f>
        <v>#VALUE!</v>
      </c>
      <c r="FE29" t="e">
        <f>AND(ТС_ППС!L69,"AAAAADL/76A=")</f>
        <v>#VALUE!</v>
      </c>
      <c r="FF29" t="e">
        <f>AND(ТС_ППС!M69,"AAAAADL/76E=")</f>
        <v>#VALUE!</v>
      </c>
      <c r="FG29" t="e">
        <f>AND(ТС_ППС!N69,"AAAAADL/76I=")</f>
        <v>#VALUE!</v>
      </c>
      <c r="FH29" t="e">
        <f>AND(ТС_ППС!O69,"AAAAADL/76M=")</f>
        <v>#VALUE!</v>
      </c>
      <c r="FI29">
        <f>IF(ТС_ППС!70:70,"AAAAADL/76Q=",0)</f>
        <v>0</v>
      </c>
      <c r="FJ29" t="e">
        <f>AND(ТС_ППС!A70,"AAAAADL/76U=")</f>
        <v>#VALUE!</v>
      </c>
      <c r="FK29" t="e">
        <f>AND(ТС_ППС!B70,"AAAAADL/76Y=")</f>
        <v>#VALUE!</v>
      </c>
      <c r="FL29" t="e">
        <f>AND(ТС_ППС!C70,"AAAAADL/76c=")</f>
        <v>#VALUE!</v>
      </c>
      <c r="FM29" t="e">
        <f>AND(ТС_ППС!D70,"AAAAADL/76g=")</f>
        <v>#VALUE!</v>
      </c>
      <c r="FN29" t="e">
        <f>AND(ТС_ППС!E70,"AAAAADL/76k=")</f>
        <v>#VALUE!</v>
      </c>
      <c r="FO29" t="e">
        <f>AND(ТС_ППС!F70,"AAAAADL/76o=")</f>
        <v>#VALUE!</v>
      </c>
      <c r="FP29" t="e">
        <f>AND(ТС_ППС!G70,"AAAAADL/76s=")</f>
        <v>#VALUE!</v>
      </c>
      <c r="FQ29" t="e">
        <f>AND(ТС_ППС!H70,"AAAAADL/76w=")</f>
        <v>#VALUE!</v>
      </c>
      <c r="FR29" t="e">
        <f>AND(ТС_ППС!I70,"AAAAADL/760=")</f>
        <v>#VALUE!</v>
      </c>
      <c r="FS29" t="e">
        <f>AND(ТС_ППС!J70,"AAAAADL/764=")</f>
        <v>#VALUE!</v>
      </c>
      <c r="FT29" t="e">
        <f>AND(ТС_ППС!K70,"AAAAADL/768=")</f>
        <v>#VALUE!</v>
      </c>
      <c r="FU29" t="e">
        <f>AND(ТС_ППС!L70,"AAAAADL/77A=")</f>
        <v>#VALUE!</v>
      </c>
      <c r="FV29" t="e">
        <f>AND(ТС_ППС!M70,"AAAAADL/77E=")</f>
        <v>#VALUE!</v>
      </c>
      <c r="FW29" t="e">
        <f>AND(ТС_ППС!N70,"AAAAADL/77I=")</f>
        <v>#VALUE!</v>
      </c>
      <c r="FX29" t="e">
        <f>AND(ТС_ППС!O70,"AAAAADL/77M=")</f>
        <v>#VALUE!</v>
      </c>
      <c r="FY29">
        <f>IF(ТС_ППС!71:71,"AAAAADL/77Q=",0)</f>
        <v>0</v>
      </c>
      <c r="FZ29" t="e">
        <f>AND(ТС_ППС!A71,"AAAAADL/77U=")</f>
        <v>#VALUE!</v>
      </c>
      <c r="GA29" t="e">
        <f>AND(ТС_ППС!B71,"AAAAADL/77Y=")</f>
        <v>#VALUE!</v>
      </c>
      <c r="GB29" t="e">
        <f>AND(ТС_ППС!C71,"AAAAADL/77c=")</f>
        <v>#VALUE!</v>
      </c>
      <c r="GC29" t="e">
        <f>AND(ТС_ППС!D71,"AAAAADL/77g=")</f>
        <v>#VALUE!</v>
      </c>
      <c r="GD29" t="e">
        <f>AND(ТС_ППС!E71,"AAAAADL/77k=")</f>
        <v>#VALUE!</v>
      </c>
      <c r="GE29" t="e">
        <f>AND(ТС_ППС!F71,"AAAAADL/77o=")</f>
        <v>#VALUE!</v>
      </c>
      <c r="GF29" t="e">
        <f>AND(ТС_ППС!G71,"AAAAADL/77s=")</f>
        <v>#VALUE!</v>
      </c>
      <c r="GG29" t="e">
        <f>AND(ТС_ППС!H71,"AAAAADL/77w=")</f>
        <v>#VALUE!</v>
      </c>
      <c r="GH29" t="e">
        <f>AND(ТС_ППС!I71,"AAAAADL/770=")</f>
        <v>#VALUE!</v>
      </c>
      <c r="GI29" t="e">
        <f>AND(ТС_ППС!J71,"AAAAADL/774=")</f>
        <v>#VALUE!</v>
      </c>
      <c r="GJ29" t="e">
        <f>AND(ТС_ППС!K71,"AAAAADL/778=")</f>
        <v>#VALUE!</v>
      </c>
      <c r="GK29" t="e">
        <f>AND(ТС_ППС!L71,"AAAAADL/78A=")</f>
        <v>#VALUE!</v>
      </c>
      <c r="GL29" t="e">
        <f>AND(ТС_ППС!M71,"AAAAADL/78E=")</f>
        <v>#VALUE!</v>
      </c>
      <c r="GM29" t="e">
        <f>AND(ТС_ППС!N71,"AAAAADL/78I=")</f>
        <v>#VALUE!</v>
      </c>
      <c r="GN29" t="e">
        <f>AND(ТС_ППС!O71,"AAAAADL/78M=")</f>
        <v>#VALUE!</v>
      </c>
      <c r="GO29">
        <f>IF(ТС_ППС!72:72,"AAAAADL/78Q=",0)</f>
        <v>0</v>
      </c>
      <c r="GP29" t="e">
        <f>AND(ТС_ППС!A72,"AAAAADL/78U=")</f>
        <v>#VALUE!</v>
      </c>
      <c r="GQ29" t="e">
        <f>AND(ТС_ППС!B72,"AAAAADL/78Y=")</f>
        <v>#VALUE!</v>
      </c>
      <c r="GR29" t="e">
        <f>AND(ТС_ППС!C72,"AAAAADL/78c=")</f>
        <v>#VALUE!</v>
      </c>
      <c r="GS29" t="e">
        <f>AND(ТС_ППС!D72,"AAAAADL/78g=")</f>
        <v>#VALUE!</v>
      </c>
      <c r="GT29" t="e">
        <f>AND(ТС_ППС!E72,"AAAAADL/78k=")</f>
        <v>#VALUE!</v>
      </c>
      <c r="GU29" t="e">
        <f>AND(ТС_ППС!F72,"AAAAADL/78o=")</f>
        <v>#VALUE!</v>
      </c>
      <c r="GV29" t="e">
        <f>AND(ТС_ППС!G72,"AAAAADL/78s=")</f>
        <v>#VALUE!</v>
      </c>
      <c r="GW29" t="e">
        <f>AND(ТС_ППС!H72,"AAAAADL/78w=")</f>
        <v>#VALUE!</v>
      </c>
      <c r="GX29" t="e">
        <f>AND(ТС_ППС!I72,"AAAAADL/780=")</f>
        <v>#VALUE!</v>
      </c>
      <c r="GY29" t="e">
        <f>AND(ТС_ППС!J72,"AAAAADL/784=")</f>
        <v>#VALUE!</v>
      </c>
      <c r="GZ29" t="e">
        <f>AND(ТС_ППС!K72,"AAAAADL/788=")</f>
        <v>#VALUE!</v>
      </c>
      <c r="HA29" t="e">
        <f>AND(ТС_ППС!L72,"AAAAADL/79A=")</f>
        <v>#VALUE!</v>
      </c>
      <c r="HB29" t="e">
        <f>AND(ТС_ППС!M72,"AAAAADL/79E=")</f>
        <v>#VALUE!</v>
      </c>
      <c r="HC29" t="e">
        <f>AND(ТС_ППС!N72,"AAAAADL/79I=")</f>
        <v>#VALUE!</v>
      </c>
      <c r="HD29" t="e">
        <f>AND(ТС_ППС!O72,"AAAAADL/79M=")</f>
        <v>#VALUE!</v>
      </c>
      <c r="HE29">
        <f>IF(ТС_ППС!73:73,"AAAAADL/79Q=",0)</f>
        <v>0</v>
      </c>
      <c r="HF29" t="e">
        <f>AND(ТС_ППС!A73,"AAAAADL/79U=")</f>
        <v>#VALUE!</v>
      </c>
      <c r="HG29" t="e">
        <f>AND(ТС_ППС!B73,"AAAAADL/79Y=")</f>
        <v>#VALUE!</v>
      </c>
      <c r="HH29" t="e">
        <f>AND(ТС_ППС!C73,"AAAAADL/79c=")</f>
        <v>#VALUE!</v>
      </c>
      <c r="HI29" t="e">
        <f>AND(ТС_ППС!D73,"AAAAADL/79g=")</f>
        <v>#VALUE!</v>
      </c>
      <c r="HJ29" t="e">
        <f>AND(ТС_ППС!E73,"AAAAADL/79k=")</f>
        <v>#VALUE!</v>
      </c>
      <c r="HK29" t="e">
        <f>AND(ТС_ППС!F73,"AAAAADL/79o=")</f>
        <v>#VALUE!</v>
      </c>
      <c r="HL29" t="e">
        <f>AND(ТС_ППС!G73,"AAAAADL/79s=")</f>
        <v>#VALUE!</v>
      </c>
      <c r="HM29" t="e">
        <f>AND(ТС_ППС!H73,"AAAAADL/79w=")</f>
        <v>#VALUE!</v>
      </c>
      <c r="HN29" t="e">
        <f>AND(ТС_ППС!I73,"AAAAADL/790=")</f>
        <v>#VALUE!</v>
      </c>
      <c r="HO29" t="e">
        <f>AND(ТС_ППС!J73,"AAAAADL/794=")</f>
        <v>#VALUE!</v>
      </c>
      <c r="HP29" t="e">
        <f>AND(ТС_ППС!K73,"AAAAADL/798=")</f>
        <v>#VALUE!</v>
      </c>
      <c r="HQ29" t="e">
        <f>AND(ТС_ППС!L73,"AAAAADL/7+A=")</f>
        <v>#VALUE!</v>
      </c>
      <c r="HR29" t="e">
        <f>AND(ТС_ППС!M73,"AAAAADL/7+E=")</f>
        <v>#VALUE!</v>
      </c>
      <c r="HS29" t="e">
        <f>AND(ТС_ППС!N73,"AAAAADL/7+I=")</f>
        <v>#VALUE!</v>
      </c>
      <c r="HT29" t="e">
        <f>AND(ТС_ППС!O73,"AAAAADL/7+M=")</f>
        <v>#VALUE!</v>
      </c>
      <c r="HU29">
        <f>IF(ТС_ППС!74:74,"AAAAADL/7+Q=",0)</f>
        <v>0</v>
      </c>
      <c r="HV29" t="e">
        <f>AND(ТС_ППС!A74,"AAAAADL/7+U=")</f>
        <v>#VALUE!</v>
      </c>
      <c r="HW29" t="e">
        <f>AND(ТС_ППС!B74,"AAAAADL/7+Y=")</f>
        <v>#VALUE!</v>
      </c>
      <c r="HX29" t="e">
        <f>AND(ТС_ППС!C74,"AAAAADL/7+c=")</f>
        <v>#VALUE!</v>
      </c>
      <c r="HY29" t="e">
        <f>AND(ТС_ППС!D74,"AAAAADL/7+g=")</f>
        <v>#VALUE!</v>
      </c>
      <c r="HZ29" t="e">
        <f>AND(ТС_ППС!E74,"AAAAADL/7+k=")</f>
        <v>#VALUE!</v>
      </c>
      <c r="IA29" t="e">
        <f>AND(ТС_ППС!F74,"AAAAADL/7+o=")</f>
        <v>#VALUE!</v>
      </c>
      <c r="IB29" t="e">
        <f>AND(ТС_ППС!G74,"AAAAADL/7+s=")</f>
        <v>#VALUE!</v>
      </c>
      <c r="IC29" t="e">
        <f>AND(ТС_ППС!H74,"AAAAADL/7+w=")</f>
        <v>#VALUE!</v>
      </c>
      <c r="ID29" t="e">
        <f>AND(ТС_ППС!I74,"AAAAADL/7+0=")</f>
        <v>#VALUE!</v>
      </c>
      <c r="IE29" t="e">
        <f>AND(ТС_ППС!J74,"AAAAADL/7+4=")</f>
        <v>#VALUE!</v>
      </c>
      <c r="IF29" t="e">
        <f>AND(ТС_ППС!K74,"AAAAADL/7+8=")</f>
        <v>#VALUE!</v>
      </c>
      <c r="IG29" t="e">
        <f>AND(ТС_ППС!L74,"AAAAADL/7/A=")</f>
        <v>#VALUE!</v>
      </c>
      <c r="IH29" t="e">
        <f>AND(ТС_ППС!M74,"AAAAADL/7/E=")</f>
        <v>#VALUE!</v>
      </c>
      <c r="II29" t="e">
        <f>AND(ТС_ППС!N74,"AAAAADL/7/I=")</f>
        <v>#VALUE!</v>
      </c>
      <c r="IJ29" t="e">
        <f>AND(ТС_ППС!O74,"AAAAADL/7/M=")</f>
        <v>#VALUE!</v>
      </c>
      <c r="IK29">
        <f>IF(ТС_ППС!75:75,"AAAAADL/7/Q=",0)</f>
        <v>0</v>
      </c>
      <c r="IL29" t="e">
        <f>AND(ТС_ППС!A75,"AAAAADL/7/U=")</f>
        <v>#VALUE!</v>
      </c>
      <c r="IM29" t="e">
        <f>AND(ТС_ППС!B75,"AAAAADL/7/Y=")</f>
        <v>#VALUE!</v>
      </c>
      <c r="IN29" t="e">
        <f>AND(ТС_ППС!C75,"AAAAADL/7/c=")</f>
        <v>#VALUE!</v>
      </c>
      <c r="IO29" t="e">
        <f>AND(ТС_ППС!D75,"AAAAADL/7/g=")</f>
        <v>#VALUE!</v>
      </c>
      <c r="IP29" t="e">
        <f>AND(ТС_ППС!E75,"AAAAADL/7/k=")</f>
        <v>#VALUE!</v>
      </c>
      <c r="IQ29" t="e">
        <f>AND(ТС_ППС!F75,"AAAAADL/7/o=")</f>
        <v>#VALUE!</v>
      </c>
      <c r="IR29" t="e">
        <f>AND(ТС_ППС!G75,"AAAAADL/7/s=")</f>
        <v>#VALUE!</v>
      </c>
      <c r="IS29" t="e">
        <f>AND(ТС_ППС!H75,"AAAAADL/7/w=")</f>
        <v>#VALUE!</v>
      </c>
      <c r="IT29" t="e">
        <f>AND(ТС_ППС!I75,"AAAAADL/7/0=")</f>
        <v>#VALUE!</v>
      </c>
      <c r="IU29" t="e">
        <f>AND(ТС_ППС!J75,"AAAAADL/7/4=")</f>
        <v>#VALUE!</v>
      </c>
      <c r="IV29" t="e">
        <f>AND(ТС_ППС!K75,"AAAAADL/7/8=")</f>
        <v>#VALUE!</v>
      </c>
    </row>
    <row r="30" spans="1:256">
      <c r="A30" t="e">
        <f>AND(ТС_ППС!L75,"AAAAAHX7/wA=")</f>
        <v>#VALUE!</v>
      </c>
      <c r="B30" t="e">
        <f>AND(ТС_ППС!M75,"AAAAAHX7/wE=")</f>
        <v>#VALUE!</v>
      </c>
      <c r="C30" t="e">
        <f>AND(ТС_ППС!N75,"AAAAAHX7/wI=")</f>
        <v>#VALUE!</v>
      </c>
      <c r="D30" t="e">
        <f>AND(ТС_ППС!O75,"AAAAAHX7/wM=")</f>
        <v>#VALUE!</v>
      </c>
      <c r="E30">
        <f>IF(ТС_ППС!76:76,"AAAAAHX7/wQ=",0)</f>
        <v>0</v>
      </c>
      <c r="F30" t="e">
        <f>AND(ТС_ППС!A76,"AAAAAHX7/wU=")</f>
        <v>#VALUE!</v>
      </c>
      <c r="G30" t="e">
        <f>AND(ТС_ППС!B76,"AAAAAHX7/wY=")</f>
        <v>#VALUE!</v>
      </c>
      <c r="H30" t="e">
        <f>AND(ТС_ППС!C76,"AAAAAHX7/wc=")</f>
        <v>#VALUE!</v>
      </c>
      <c r="I30" t="e">
        <f>AND(ТС_ППС!D76,"AAAAAHX7/wg=")</f>
        <v>#VALUE!</v>
      </c>
      <c r="J30" t="e">
        <f>AND(ТС_ППС!E76,"AAAAAHX7/wk=")</f>
        <v>#VALUE!</v>
      </c>
      <c r="K30" t="e">
        <f>AND(ТС_ППС!F76,"AAAAAHX7/wo=")</f>
        <v>#VALUE!</v>
      </c>
      <c r="L30" t="e">
        <f>AND(ТС_ППС!G76,"AAAAAHX7/ws=")</f>
        <v>#VALUE!</v>
      </c>
      <c r="M30" t="e">
        <f>AND(ТС_ППС!H76,"AAAAAHX7/ww=")</f>
        <v>#VALUE!</v>
      </c>
      <c r="N30" t="e">
        <f>AND(ТС_ППС!I76,"AAAAAHX7/w0=")</f>
        <v>#VALUE!</v>
      </c>
      <c r="O30" t="e">
        <f>AND(ТС_ППС!J76,"AAAAAHX7/w4=")</f>
        <v>#VALUE!</v>
      </c>
      <c r="P30" t="e">
        <f>AND(ТС_ППС!K76,"AAAAAHX7/w8=")</f>
        <v>#VALUE!</v>
      </c>
      <c r="Q30" t="e">
        <f>AND(ТС_ППС!L76,"AAAAAHX7/xA=")</f>
        <v>#VALUE!</v>
      </c>
      <c r="R30" t="e">
        <f>AND(ТС_ППС!M76,"AAAAAHX7/xE=")</f>
        <v>#VALUE!</v>
      </c>
      <c r="S30" t="e">
        <f>AND(ТС_ППС!N76,"AAAAAHX7/xI=")</f>
        <v>#VALUE!</v>
      </c>
      <c r="T30" t="e">
        <f>AND(ТС_ППС!O76,"AAAAAHX7/xM=")</f>
        <v>#VALUE!</v>
      </c>
      <c r="U30">
        <f>IF(ТС_ППС!77:77,"AAAAAHX7/xQ=",0)</f>
        <v>0</v>
      </c>
      <c r="V30" t="e">
        <f>AND(ТС_ППС!A77,"AAAAAHX7/xU=")</f>
        <v>#VALUE!</v>
      </c>
      <c r="W30" t="e">
        <f>AND(ТС_ППС!B77,"AAAAAHX7/xY=")</f>
        <v>#VALUE!</v>
      </c>
      <c r="X30" t="e">
        <f>AND(ТС_ППС!C77,"AAAAAHX7/xc=")</f>
        <v>#VALUE!</v>
      </c>
      <c r="Y30" t="e">
        <f>AND(ТС_ППС!D77,"AAAAAHX7/xg=")</f>
        <v>#VALUE!</v>
      </c>
      <c r="Z30" t="e">
        <f>AND(ТС_ППС!E77,"AAAAAHX7/xk=")</f>
        <v>#VALUE!</v>
      </c>
      <c r="AA30" t="e">
        <f>AND(ТС_ППС!F77,"AAAAAHX7/xo=")</f>
        <v>#VALUE!</v>
      </c>
      <c r="AB30" t="e">
        <f>AND(ТС_ППС!G77,"AAAAAHX7/xs=")</f>
        <v>#VALUE!</v>
      </c>
      <c r="AC30" t="e">
        <f>AND(ТС_ППС!H77,"AAAAAHX7/xw=")</f>
        <v>#VALUE!</v>
      </c>
      <c r="AD30" t="e">
        <f>AND(ТС_ППС!I77,"AAAAAHX7/x0=")</f>
        <v>#VALUE!</v>
      </c>
      <c r="AE30" t="e">
        <f>AND(ТС_ППС!J77,"AAAAAHX7/x4=")</f>
        <v>#VALUE!</v>
      </c>
      <c r="AF30" t="e">
        <f>AND(ТС_ППС!K77,"AAAAAHX7/x8=")</f>
        <v>#VALUE!</v>
      </c>
      <c r="AG30" t="e">
        <f>AND(ТС_ППС!L77,"AAAAAHX7/yA=")</f>
        <v>#VALUE!</v>
      </c>
      <c r="AH30" t="e">
        <f>AND(ТС_ППС!M77,"AAAAAHX7/yE=")</f>
        <v>#VALUE!</v>
      </c>
      <c r="AI30" t="e">
        <f>AND(ТС_ППС!N77,"AAAAAHX7/yI=")</f>
        <v>#VALUE!</v>
      </c>
      <c r="AJ30" t="e">
        <f>AND(ТС_ППС!O77,"AAAAAHX7/yM=")</f>
        <v>#VALUE!</v>
      </c>
      <c r="AK30">
        <f>IF(ТС_ППС!78:78,"AAAAAHX7/yQ=",0)</f>
        <v>0</v>
      </c>
      <c r="AL30" t="e">
        <f>AND(ТС_ППС!A78,"AAAAAHX7/yU=")</f>
        <v>#VALUE!</v>
      </c>
      <c r="AM30" t="e">
        <f>AND(ТС_ППС!B78,"AAAAAHX7/yY=")</f>
        <v>#VALUE!</v>
      </c>
      <c r="AN30" t="e">
        <f>AND(ТС_ППС!C78,"AAAAAHX7/yc=")</f>
        <v>#VALUE!</v>
      </c>
      <c r="AO30" t="e">
        <f>AND(ТС_ППС!D78,"AAAAAHX7/yg=")</f>
        <v>#VALUE!</v>
      </c>
      <c r="AP30" t="e">
        <f>AND(ТС_ППС!E78,"AAAAAHX7/yk=")</f>
        <v>#VALUE!</v>
      </c>
      <c r="AQ30" t="e">
        <f>AND(ТС_ППС!F78,"AAAAAHX7/yo=")</f>
        <v>#VALUE!</v>
      </c>
      <c r="AR30" t="e">
        <f>AND(ТС_ППС!G78,"AAAAAHX7/ys=")</f>
        <v>#VALUE!</v>
      </c>
      <c r="AS30" t="e">
        <f>AND(ТС_ППС!H78,"AAAAAHX7/yw=")</f>
        <v>#VALUE!</v>
      </c>
      <c r="AT30" t="e">
        <f>AND(ТС_ППС!I78,"AAAAAHX7/y0=")</f>
        <v>#VALUE!</v>
      </c>
      <c r="AU30" t="e">
        <f>AND(ТС_ППС!J78,"AAAAAHX7/y4=")</f>
        <v>#VALUE!</v>
      </c>
      <c r="AV30" t="e">
        <f>AND(ТС_ППС!K78,"AAAAAHX7/y8=")</f>
        <v>#VALUE!</v>
      </c>
      <c r="AW30" t="e">
        <f>AND(ТС_ППС!L78,"AAAAAHX7/zA=")</f>
        <v>#VALUE!</v>
      </c>
      <c r="AX30" t="e">
        <f>AND(ТС_ППС!M78,"AAAAAHX7/zE=")</f>
        <v>#VALUE!</v>
      </c>
      <c r="AY30" t="e">
        <f>AND(ТС_ППС!N78,"AAAAAHX7/zI=")</f>
        <v>#VALUE!</v>
      </c>
      <c r="AZ30" t="e">
        <f>AND(ТС_ППС!O78,"AAAAAHX7/zM=")</f>
        <v>#VALUE!</v>
      </c>
      <c r="BA30">
        <f>IF(ТС_ППС!79:79,"AAAAAHX7/zQ=",0)</f>
        <v>0</v>
      </c>
      <c r="BB30" t="e">
        <f>AND(ТС_ППС!A79,"AAAAAHX7/zU=")</f>
        <v>#VALUE!</v>
      </c>
      <c r="BC30" t="e">
        <f>AND(ТС_ППС!B79,"AAAAAHX7/zY=")</f>
        <v>#VALUE!</v>
      </c>
      <c r="BD30" t="e">
        <f>AND(ТС_ППС!C79,"AAAAAHX7/zc=")</f>
        <v>#VALUE!</v>
      </c>
      <c r="BE30" t="e">
        <f>AND(ТС_ППС!D79,"AAAAAHX7/zg=")</f>
        <v>#VALUE!</v>
      </c>
      <c r="BF30" t="e">
        <f>AND(ТС_ППС!E79,"AAAAAHX7/zk=")</f>
        <v>#VALUE!</v>
      </c>
      <c r="BG30" t="e">
        <f>AND(ТС_ППС!F79,"AAAAAHX7/zo=")</f>
        <v>#VALUE!</v>
      </c>
      <c r="BH30" t="e">
        <f>AND(ТС_ППС!G79,"AAAAAHX7/zs=")</f>
        <v>#VALUE!</v>
      </c>
      <c r="BI30" t="e">
        <f>AND(ТС_ППС!H79,"AAAAAHX7/zw=")</f>
        <v>#VALUE!</v>
      </c>
      <c r="BJ30" t="e">
        <f>AND(ТС_ППС!I79,"AAAAAHX7/z0=")</f>
        <v>#VALUE!</v>
      </c>
      <c r="BK30" t="e">
        <f>AND(ТС_ППС!J79,"AAAAAHX7/z4=")</f>
        <v>#VALUE!</v>
      </c>
      <c r="BL30" t="e">
        <f>AND(ТС_ППС!K79,"AAAAAHX7/z8=")</f>
        <v>#VALUE!</v>
      </c>
      <c r="BM30" t="e">
        <f>AND(ТС_ППС!L79,"AAAAAHX7/0A=")</f>
        <v>#VALUE!</v>
      </c>
      <c r="BN30" t="e">
        <f>AND(ТС_ППС!M79,"AAAAAHX7/0E=")</f>
        <v>#VALUE!</v>
      </c>
      <c r="BO30" t="e">
        <f>AND(ТС_ППС!N79,"AAAAAHX7/0I=")</f>
        <v>#VALUE!</v>
      </c>
      <c r="BP30" t="e">
        <f>AND(ТС_ППС!O79,"AAAAAHX7/0M=")</f>
        <v>#VALUE!</v>
      </c>
      <c r="BQ30">
        <f>IF(ТС_ППС!80:80,"AAAAAHX7/0Q=",0)</f>
        <v>0</v>
      </c>
      <c r="BR30" t="e">
        <f>AND(ТС_ППС!A80,"AAAAAHX7/0U=")</f>
        <v>#VALUE!</v>
      </c>
      <c r="BS30" t="e">
        <f>AND(ТС_ППС!B80,"AAAAAHX7/0Y=")</f>
        <v>#VALUE!</v>
      </c>
      <c r="BT30" t="e">
        <f>AND(ТС_ППС!C80,"AAAAAHX7/0c=")</f>
        <v>#VALUE!</v>
      </c>
      <c r="BU30" t="e">
        <f>AND(ТС_ППС!D80,"AAAAAHX7/0g=")</f>
        <v>#VALUE!</v>
      </c>
      <c r="BV30" t="e">
        <f>AND(ТС_ППС!E80,"AAAAAHX7/0k=")</f>
        <v>#VALUE!</v>
      </c>
      <c r="BW30" t="e">
        <f>AND(ТС_ППС!F80,"AAAAAHX7/0o=")</f>
        <v>#VALUE!</v>
      </c>
      <c r="BX30" t="e">
        <f>AND(ТС_ППС!G80,"AAAAAHX7/0s=")</f>
        <v>#VALUE!</v>
      </c>
      <c r="BY30" t="e">
        <f>AND(ТС_ППС!H80,"AAAAAHX7/0w=")</f>
        <v>#VALUE!</v>
      </c>
      <c r="BZ30" t="e">
        <f>AND(ТС_ППС!I80,"AAAAAHX7/00=")</f>
        <v>#VALUE!</v>
      </c>
      <c r="CA30" t="e">
        <f>AND(ТС_ППС!J80,"AAAAAHX7/04=")</f>
        <v>#VALUE!</v>
      </c>
      <c r="CB30" t="e">
        <f>AND(ТС_ППС!K80,"AAAAAHX7/08=")</f>
        <v>#VALUE!</v>
      </c>
      <c r="CC30" t="e">
        <f>AND(ТС_ППС!L80,"AAAAAHX7/1A=")</f>
        <v>#VALUE!</v>
      </c>
      <c r="CD30" t="e">
        <f>AND(ТС_ППС!M80,"AAAAAHX7/1E=")</f>
        <v>#VALUE!</v>
      </c>
      <c r="CE30" t="e">
        <f>AND(ТС_ППС!N80,"AAAAAHX7/1I=")</f>
        <v>#VALUE!</v>
      </c>
      <c r="CF30" t="e">
        <f>AND(ТС_ППС!O80,"AAAAAHX7/1M=")</f>
        <v>#VALUE!</v>
      </c>
      <c r="CG30">
        <f>IF(ТС_ППС!81:81,"AAAAAHX7/1Q=",0)</f>
        <v>0</v>
      </c>
      <c r="CH30" t="e">
        <f>AND(ТС_ППС!A81,"AAAAAHX7/1U=")</f>
        <v>#VALUE!</v>
      </c>
      <c r="CI30" t="e">
        <f>AND(ТС_ППС!B81,"AAAAAHX7/1Y=")</f>
        <v>#VALUE!</v>
      </c>
      <c r="CJ30" t="e">
        <f>AND(ТС_ППС!C81,"AAAAAHX7/1c=")</f>
        <v>#VALUE!</v>
      </c>
      <c r="CK30" t="e">
        <f>AND(ТС_ППС!D81,"AAAAAHX7/1g=")</f>
        <v>#VALUE!</v>
      </c>
      <c r="CL30" t="e">
        <f>AND(ТС_ППС!E81,"AAAAAHX7/1k=")</f>
        <v>#VALUE!</v>
      </c>
      <c r="CM30" t="e">
        <f>AND(ТС_ППС!F81,"AAAAAHX7/1o=")</f>
        <v>#VALUE!</v>
      </c>
      <c r="CN30" t="e">
        <f>AND(ТС_ППС!G81,"AAAAAHX7/1s=")</f>
        <v>#VALUE!</v>
      </c>
      <c r="CO30" t="e">
        <f>AND(ТС_ППС!H81,"AAAAAHX7/1w=")</f>
        <v>#VALUE!</v>
      </c>
      <c r="CP30" t="e">
        <f>AND(ТС_ППС!I81,"AAAAAHX7/10=")</f>
        <v>#VALUE!</v>
      </c>
      <c r="CQ30" t="e">
        <f>AND(ТС_ППС!J81,"AAAAAHX7/14=")</f>
        <v>#VALUE!</v>
      </c>
      <c r="CR30" t="e">
        <f>AND(ТС_ППС!K81,"AAAAAHX7/18=")</f>
        <v>#VALUE!</v>
      </c>
      <c r="CS30" t="e">
        <f>AND(ТС_ППС!L81,"AAAAAHX7/2A=")</f>
        <v>#VALUE!</v>
      </c>
      <c r="CT30" t="e">
        <f>AND(ТС_ППС!M81,"AAAAAHX7/2E=")</f>
        <v>#VALUE!</v>
      </c>
      <c r="CU30" t="e">
        <f>AND(ТС_ППС!N81,"AAAAAHX7/2I=")</f>
        <v>#VALUE!</v>
      </c>
      <c r="CV30" t="e">
        <f>AND(ТС_ППС!O81,"AAAAAHX7/2M=")</f>
        <v>#VALUE!</v>
      </c>
      <c r="CW30">
        <f>IF(ТС_ППС!82:82,"AAAAAHX7/2Q=",0)</f>
        <v>0</v>
      </c>
      <c r="CX30" t="e">
        <f>AND(ТС_ППС!A82,"AAAAAHX7/2U=")</f>
        <v>#VALUE!</v>
      </c>
      <c r="CY30" t="e">
        <f>AND(ТС_ППС!B82,"AAAAAHX7/2Y=")</f>
        <v>#VALUE!</v>
      </c>
      <c r="CZ30" t="e">
        <f>AND(ТС_ППС!C82,"AAAAAHX7/2c=")</f>
        <v>#VALUE!</v>
      </c>
      <c r="DA30" t="e">
        <f>AND(ТС_ППС!D82,"AAAAAHX7/2g=")</f>
        <v>#VALUE!</v>
      </c>
      <c r="DB30" t="e">
        <f>AND(ТС_ППС!E82,"AAAAAHX7/2k=")</f>
        <v>#VALUE!</v>
      </c>
      <c r="DC30" t="e">
        <f>AND(ТС_ППС!F82,"AAAAAHX7/2o=")</f>
        <v>#VALUE!</v>
      </c>
      <c r="DD30" t="e">
        <f>AND(ТС_ППС!G82,"AAAAAHX7/2s=")</f>
        <v>#VALUE!</v>
      </c>
      <c r="DE30" t="e">
        <f>AND(ТС_ППС!H82,"AAAAAHX7/2w=")</f>
        <v>#VALUE!</v>
      </c>
      <c r="DF30" t="e">
        <f>AND(ТС_ППС!I82,"AAAAAHX7/20=")</f>
        <v>#VALUE!</v>
      </c>
      <c r="DG30" t="e">
        <f>AND(ТС_ППС!J82,"AAAAAHX7/24=")</f>
        <v>#VALUE!</v>
      </c>
      <c r="DH30" t="e">
        <f>AND(ТС_ППС!K82,"AAAAAHX7/28=")</f>
        <v>#VALUE!</v>
      </c>
      <c r="DI30" t="e">
        <f>AND(ТС_ППС!L82,"AAAAAHX7/3A=")</f>
        <v>#VALUE!</v>
      </c>
      <c r="DJ30" t="e">
        <f>AND(ТС_ППС!M82,"AAAAAHX7/3E=")</f>
        <v>#VALUE!</v>
      </c>
      <c r="DK30" t="e">
        <f>AND(ТС_ППС!N82,"AAAAAHX7/3I=")</f>
        <v>#VALUE!</v>
      </c>
      <c r="DL30" t="e">
        <f>AND(ТС_ППС!O82,"AAAAAHX7/3M=")</f>
        <v>#VALUE!</v>
      </c>
      <c r="DM30">
        <f>IF(ТС_ППС!83:83,"AAAAAHX7/3Q=",0)</f>
        <v>0</v>
      </c>
      <c r="DN30" t="e">
        <f>AND(ТС_ППС!A83,"AAAAAHX7/3U=")</f>
        <v>#VALUE!</v>
      </c>
      <c r="DO30" t="e">
        <f>AND(ТС_ППС!B83,"AAAAAHX7/3Y=")</f>
        <v>#VALUE!</v>
      </c>
      <c r="DP30" t="e">
        <f>AND(ТС_ППС!C83,"AAAAAHX7/3c=")</f>
        <v>#VALUE!</v>
      </c>
      <c r="DQ30" t="e">
        <f>AND(ТС_ППС!D83,"AAAAAHX7/3g=")</f>
        <v>#VALUE!</v>
      </c>
      <c r="DR30" t="e">
        <f>AND(ТС_ППС!E83,"AAAAAHX7/3k=")</f>
        <v>#VALUE!</v>
      </c>
      <c r="DS30" t="e">
        <f>AND(ТС_ППС!F83,"AAAAAHX7/3o=")</f>
        <v>#VALUE!</v>
      </c>
      <c r="DT30" t="e">
        <f>AND(ТС_ППС!G83,"AAAAAHX7/3s=")</f>
        <v>#VALUE!</v>
      </c>
      <c r="DU30" t="e">
        <f>AND(ТС_ППС!H83,"AAAAAHX7/3w=")</f>
        <v>#VALUE!</v>
      </c>
      <c r="DV30" t="e">
        <f>AND(ТС_ППС!I83,"AAAAAHX7/30=")</f>
        <v>#VALUE!</v>
      </c>
      <c r="DW30" t="e">
        <f>AND(ТС_ППС!J83,"AAAAAHX7/34=")</f>
        <v>#VALUE!</v>
      </c>
      <c r="DX30" t="e">
        <f>AND(ТС_ППС!K83,"AAAAAHX7/38=")</f>
        <v>#VALUE!</v>
      </c>
      <c r="DY30" t="e">
        <f>AND(ТС_ППС!L83,"AAAAAHX7/4A=")</f>
        <v>#VALUE!</v>
      </c>
      <c r="DZ30" t="e">
        <f>AND(ТС_ППС!M83,"AAAAAHX7/4E=")</f>
        <v>#VALUE!</v>
      </c>
      <c r="EA30" t="e">
        <f>AND(ТС_ППС!N83,"AAAAAHX7/4I=")</f>
        <v>#VALUE!</v>
      </c>
      <c r="EB30" t="e">
        <f>AND(ТС_ППС!O83,"AAAAAHX7/4M=")</f>
        <v>#VALUE!</v>
      </c>
      <c r="EC30">
        <f>IF(ТС_ППС!84:84,"AAAAAHX7/4Q=",0)</f>
        <v>0</v>
      </c>
      <c r="ED30" t="e">
        <f>AND(ТС_ППС!A84,"AAAAAHX7/4U=")</f>
        <v>#VALUE!</v>
      </c>
      <c r="EE30" t="e">
        <f>AND(ТС_ППС!B84,"AAAAAHX7/4Y=")</f>
        <v>#VALUE!</v>
      </c>
      <c r="EF30" t="e">
        <f>AND(ТС_ППС!C84,"AAAAAHX7/4c=")</f>
        <v>#VALUE!</v>
      </c>
      <c r="EG30" t="e">
        <f>AND(ТС_ППС!D84,"AAAAAHX7/4g=")</f>
        <v>#VALUE!</v>
      </c>
      <c r="EH30" t="e">
        <f>AND(ТС_ППС!E84,"AAAAAHX7/4k=")</f>
        <v>#VALUE!</v>
      </c>
      <c r="EI30" t="e">
        <f>AND(ТС_ППС!F84,"AAAAAHX7/4o=")</f>
        <v>#VALUE!</v>
      </c>
      <c r="EJ30" t="e">
        <f>AND(ТС_ППС!G84,"AAAAAHX7/4s=")</f>
        <v>#VALUE!</v>
      </c>
      <c r="EK30" t="e">
        <f>AND(ТС_ППС!H84,"AAAAAHX7/4w=")</f>
        <v>#VALUE!</v>
      </c>
      <c r="EL30" t="e">
        <f>AND(ТС_ППС!I84,"AAAAAHX7/40=")</f>
        <v>#VALUE!</v>
      </c>
      <c r="EM30" t="e">
        <f>AND(ТС_ППС!J84,"AAAAAHX7/44=")</f>
        <v>#VALUE!</v>
      </c>
      <c r="EN30" t="e">
        <f>AND(ТС_ППС!K84,"AAAAAHX7/48=")</f>
        <v>#VALUE!</v>
      </c>
      <c r="EO30" t="e">
        <f>AND(ТС_ППС!L84,"AAAAAHX7/5A=")</f>
        <v>#VALUE!</v>
      </c>
      <c r="EP30" t="e">
        <f>AND(ТС_ППС!M84,"AAAAAHX7/5E=")</f>
        <v>#VALUE!</v>
      </c>
      <c r="EQ30" t="e">
        <f>AND(ТС_ППС!N84,"AAAAAHX7/5I=")</f>
        <v>#VALUE!</v>
      </c>
      <c r="ER30" t="e">
        <f>AND(ТС_ППС!O84,"AAAAAHX7/5M=")</f>
        <v>#VALUE!</v>
      </c>
      <c r="ES30">
        <f>IF(ТС_ППС!85:85,"AAAAAHX7/5Q=",0)</f>
        <v>0</v>
      </c>
      <c r="ET30" t="e">
        <f>AND(ТС_ППС!A85,"AAAAAHX7/5U=")</f>
        <v>#VALUE!</v>
      </c>
      <c r="EU30" t="e">
        <f>AND(ТС_ППС!B85,"AAAAAHX7/5Y=")</f>
        <v>#VALUE!</v>
      </c>
      <c r="EV30" t="e">
        <f>AND(ТС_ППС!C85,"AAAAAHX7/5c=")</f>
        <v>#VALUE!</v>
      </c>
      <c r="EW30" t="e">
        <f>AND(ТС_ППС!D85,"AAAAAHX7/5g=")</f>
        <v>#VALUE!</v>
      </c>
      <c r="EX30" t="e">
        <f>AND(ТС_ППС!E85,"AAAAAHX7/5k=")</f>
        <v>#VALUE!</v>
      </c>
      <c r="EY30" t="e">
        <f>AND(ТС_ППС!F85,"AAAAAHX7/5o=")</f>
        <v>#VALUE!</v>
      </c>
      <c r="EZ30" t="e">
        <f>AND(ТС_ППС!G85,"AAAAAHX7/5s=")</f>
        <v>#VALUE!</v>
      </c>
      <c r="FA30" t="e">
        <f>AND(ТС_ППС!H85,"AAAAAHX7/5w=")</f>
        <v>#VALUE!</v>
      </c>
      <c r="FB30" t="e">
        <f>AND(ТС_ППС!I85,"AAAAAHX7/50=")</f>
        <v>#VALUE!</v>
      </c>
      <c r="FC30" t="e">
        <f>AND(ТС_ППС!J85,"AAAAAHX7/54=")</f>
        <v>#VALUE!</v>
      </c>
      <c r="FD30" t="e">
        <f>AND(ТС_ППС!K85,"AAAAAHX7/58=")</f>
        <v>#VALUE!</v>
      </c>
      <c r="FE30" t="e">
        <f>AND(ТС_ППС!L85,"AAAAAHX7/6A=")</f>
        <v>#VALUE!</v>
      </c>
      <c r="FF30" t="e">
        <f>AND(ТС_ППС!M85,"AAAAAHX7/6E=")</f>
        <v>#VALUE!</v>
      </c>
      <c r="FG30" t="e">
        <f>AND(ТС_ППС!N85,"AAAAAHX7/6I=")</f>
        <v>#VALUE!</v>
      </c>
      <c r="FH30" t="e">
        <f>AND(ТС_ППС!O85,"AAAAAHX7/6M=")</f>
        <v>#VALUE!</v>
      </c>
      <c r="FI30">
        <f>IF(ТС_ППС!86:86,"AAAAAHX7/6Q=",0)</f>
        <v>0</v>
      </c>
      <c r="FJ30" t="e">
        <f>AND(ТС_ППС!A86,"AAAAAHX7/6U=")</f>
        <v>#VALUE!</v>
      </c>
      <c r="FK30" t="e">
        <f>AND(ТС_ППС!B86,"AAAAAHX7/6Y=")</f>
        <v>#VALUE!</v>
      </c>
      <c r="FL30" t="e">
        <f>AND(ТС_ППС!C86,"AAAAAHX7/6c=")</f>
        <v>#VALUE!</v>
      </c>
      <c r="FM30" t="e">
        <f>AND(ТС_ППС!D86,"AAAAAHX7/6g=")</f>
        <v>#VALUE!</v>
      </c>
      <c r="FN30" t="e">
        <f>AND(ТС_ППС!E86,"AAAAAHX7/6k=")</f>
        <v>#VALUE!</v>
      </c>
      <c r="FO30" t="e">
        <f>AND(ТС_ППС!F86,"AAAAAHX7/6o=")</f>
        <v>#VALUE!</v>
      </c>
      <c r="FP30" t="e">
        <f>AND(ТС_ППС!G86,"AAAAAHX7/6s=")</f>
        <v>#VALUE!</v>
      </c>
      <c r="FQ30" t="e">
        <f>AND(ТС_ППС!H86,"AAAAAHX7/6w=")</f>
        <v>#VALUE!</v>
      </c>
      <c r="FR30" t="e">
        <f>AND(ТС_ППС!I86,"AAAAAHX7/60=")</f>
        <v>#VALUE!</v>
      </c>
      <c r="FS30" t="e">
        <f>AND(ТС_ППС!J86,"AAAAAHX7/64=")</f>
        <v>#VALUE!</v>
      </c>
      <c r="FT30" t="e">
        <f>AND(ТС_ППС!K86,"AAAAAHX7/68=")</f>
        <v>#VALUE!</v>
      </c>
      <c r="FU30" t="e">
        <f>AND(ТС_ППС!L86,"AAAAAHX7/7A=")</f>
        <v>#VALUE!</v>
      </c>
      <c r="FV30" t="e">
        <f>AND(ТС_ППС!M86,"AAAAAHX7/7E=")</f>
        <v>#VALUE!</v>
      </c>
      <c r="FW30" t="e">
        <f>AND(ТС_ППС!N86,"AAAAAHX7/7I=")</f>
        <v>#VALUE!</v>
      </c>
      <c r="FX30" t="e">
        <f>AND(ТС_ППС!O86,"AAAAAHX7/7M=")</f>
        <v>#VALUE!</v>
      </c>
      <c r="FY30">
        <f>IF(ТС_ППС!87:87,"AAAAAHX7/7Q=",0)</f>
        <v>0</v>
      </c>
      <c r="FZ30" t="e">
        <f>AND(ТС_ППС!A87,"AAAAAHX7/7U=")</f>
        <v>#VALUE!</v>
      </c>
      <c r="GA30" t="e">
        <f>AND(ТС_ППС!B87,"AAAAAHX7/7Y=")</f>
        <v>#VALUE!</v>
      </c>
      <c r="GB30" t="e">
        <f>AND(ТС_ППС!C87,"AAAAAHX7/7c=")</f>
        <v>#VALUE!</v>
      </c>
      <c r="GC30" t="e">
        <f>AND(ТС_ППС!D87,"AAAAAHX7/7g=")</f>
        <v>#VALUE!</v>
      </c>
      <c r="GD30" t="e">
        <f>AND(ТС_ППС!E87,"AAAAAHX7/7k=")</f>
        <v>#VALUE!</v>
      </c>
      <c r="GE30" t="e">
        <f>AND(ТС_ППС!F87,"AAAAAHX7/7o=")</f>
        <v>#VALUE!</v>
      </c>
      <c r="GF30" t="e">
        <f>AND(ТС_ППС!G87,"AAAAAHX7/7s=")</f>
        <v>#VALUE!</v>
      </c>
      <c r="GG30" t="e">
        <f>AND(ТС_ППС!H87,"AAAAAHX7/7w=")</f>
        <v>#VALUE!</v>
      </c>
      <c r="GH30" t="e">
        <f>AND(ТС_ППС!I87,"AAAAAHX7/70=")</f>
        <v>#VALUE!</v>
      </c>
      <c r="GI30" t="e">
        <f>AND(ТС_ППС!J87,"AAAAAHX7/74=")</f>
        <v>#VALUE!</v>
      </c>
      <c r="GJ30" t="e">
        <f>AND(ТС_ППС!K87,"AAAAAHX7/78=")</f>
        <v>#VALUE!</v>
      </c>
      <c r="GK30" t="e">
        <f>AND(ТС_ППС!L87,"AAAAAHX7/8A=")</f>
        <v>#VALUE!</v>
      </c>
      <c r="GL30" t="e">
        <f>AND(ТС_ППС!M87,"AAAAAHX7/8E=")</f>
        <v>#VALUE!</v>
      </c>
      <c r="GM30" t="e">
        <f>AND(ТС_ППС!N87,"AAAAAHX7/8I=")</f>
        <v>#VALUE!</v>
      </c>
      <c r="GN30" t="e">
        <f>AND(ТС_ППС!O87,"AAAAAHX7/8M=")</f>
        <v>#VALUE!</v>
      </c>
      <c r="GO30">
        <f>IF(ТС_ППС!88:88,"AAAAAHX7/8Q=",0)</f>
        <v>0</v>
      </c>
      <c r="GP30" t="e">
        <f>AND(ТС_ППС!A88,"AAAAAHX7/8U=")</f>
        <v>#VALUE!</v>
      </c>
      <c r="GQ30" t="e">
        <f>AND(ТС_ППС!B88,"AAAAAHX7/8Y=")</f>
        <v>#VALUE!</v>
      </c>
      <c r="GR30" t="e">
        <f>AND(ТС_ППС!C88,"AAAAAHX7/8c=")</f>
        <v>#VALUE!</v>
      </c>
      <c r="GS30" t="e">
        <f>AND(ТС_ППС!D88,"AAAAAHX7/8g=")</f>
        <v>#VALUE!</v>
      </c>
      <c r="GT30" t="e">
        <f>AND(ТС_ППС!E88,"AAAAAHX7/8k=")</f>
        <v>#VALUE!</v>
      </c>
      <c r="GU30" t="e">
        <f>AND(ТС_ППС!F88,"AAAAAHX7/8o=")</f>
        <v>#VALUE!</v>
      </c>
      <c r="GV30" t="e">
        <f>AND(ТС_ППС!G88,"AAAAAHX7/8s=")</f>
        <v>#VALUE!</v>
      </c>
      <c r="GW30" t="e">
        <f>AND(ТС_ППС!H88,"AAAAAHX7/8w=")</f>
        <v>#VALUE!</v>
      </c>
      <c r="GX30" t="e">
        <f>AND(ТС_ППС!I88,"AAAAAHX7/80=")</f>
        <v>#VALUE!</v>
      </c>
      <c r="GY30" t="e">
        <f>AND(ТС_ППС!J88,"AAAAAHX7/84=")</f>
        <v>#VALUE!</v>
      </c>
      <c r="GZ30" t="e">
        <f>AND(ТС_ППС!K88,"AAAAAHX7/88=")</f>
        <v>#VALUE!</v>
      </c>
      <c r="HA30" t="e">
        <f>AND(ТС_ППС!L88,"AAAAAHX7/9A=")</f>
        <v>#VALUE!</v>
      </c>
      <c r="HB30" t="e">
        <f>AND(ТС_ППС!M88,"AAAAAHX7/9E=")</f>
        <v>#VALUE!</v>
      </c>
      <c r="HC30" t="e">
        <f>AND(ТС_ППС!N88,"AAAAAHX7/9I=")</f>
        <v>#VALUE!</v>
      </c>
      <c r="HD30" t="e">
        <f>AND(ТС_ППС!O88,"AAAAAHX7/9M=")</f>
        <v>#VALUE!</v>
      </c>
      <c r="HE30">
        <f>IF(ТС_ППС!89:89,"AAAAAHX7/9Q=",0)</f>
        <v>0</v>
      </c>
      <c r="HF30" t="e">
        <f>AND(ТС_ППС!A89,"AAAAAHX7/9U=")</f>
        <v>#VALUE!</v>
      </c>
      <c r="HG30" t="e">
        <f>AND(ТС_ППС!B89,"AAAAAHX7/9Y=")</f>
        <v>#VALUE!</v>
      </c>
      <c r="HH30" t="e">
        <f>AND(ТС_ППС!C89,"AAAAAHX7/9c=")</f>
        <v>#VALUE!</v>
      </c>
      <c r="HI30" t="e">
        <f>AND(ТС_ППС!D89,"AAAAAHX7/9g=")</f>
        <v>#VALUE!</v>
      </c>
      <c r="HJ30" t="e">
        <f>AND(ТС_ППС!E89,"AAAAAHX7/9k=")</f>
        <v>#VALUE!</v>
      </c>
      <c r="HK30" t="e">
        <f>AND(ТС_ППС!F89,"AAAAAHX7/9o=")</f>
        <v>#VALUE!</v>
      </c>
      <c r="HL30" t="e">
        <f>AND(ТС_ППС!G89,"AAAAAHX7/9s=")</f>
        <v>#VALUE!</v>
      </c>
      <c r="HM30" t="e">
        <f>AND(ТС_ППС!H89,"AAAAAHX7/9w=")</f>
        <v>#VALUE!</v>
      </c>
      <c r="HN30" t="e">
        <f>AND(ТС_ППС!I89,"AAAAAHX7/90=")</f>
        <v>#VALUE!</v>
      </c>
      <c r="HO30" t="e">
        <f>AND(ТС_ППС!J89,"AAAAAHX7/94=")</f>
        <v>#VALUE!</v>
      </c>
      <c r="HP30" t="e">
        <f>AND(ТС_ППС!K89,"AAAAAHX7/98=")</f>
        <v>#VALUE!</v>
      </c>
      <c r="HQ30" t="e">
        <f>AND(ТС_ППС!L89,"AAAAAHX7/+A=")</f>
        <v>#VALUE!</v>
      </c>
      <c r="HR30" t="e">
        <f>AND(ТС_ППС!M89,"AAAAAHX7/+E=")</f>
        <v>#VALUE!</v>
      </c>
      <c r="HS30" t="e">
        <f>AND(ТС_ППС!N89,"AAAAAHX7/+I=")</f>
        <v>#VALUE!</v>
      </c>
      <c r="HT30" t="e">
        <f>AND(ТС_ППС!O89,"AAAAAHX7/+M=")</f>
        <v>#VALUE!</v>
      </c>
      <c r="HU30">
        <f>IF(ТС_ППС!90:90,"AAAAAHX7/+Q=",0)</f>
        <v>0</v>
      </c>
      <c r="HV30" t="e">
        <f>AND(ТС_ППС!A90,"AAAAAHX7/+U=")</f>
        <v>#VALUE!</v>
      </c>
      <c r="HW30" t="e">
        <f>AND(ТС_ППС!B90,"AAAAAHX7/+Y=")</f>
        <v>#VALUE!</v>
      </c>
      <c r="HX30" t="e">
        <f>AND(ТС_ППС!C90,"AAAAAHX7/+c=")</f>
        <v>#VALUE!</v>
      </c>
      <c r="HY30" t="e">
        <f>AND(ТС_ППС!D90,"AAAAAHX7/+g=")</f>
        <v>#VALUE!</v>
      </c>
      <c r="HZ30" t="e">
        <f>AND(ТС_ППС!E90,"AAAAAHX7/+k=")</f>
        <v>#VALUE!</v>
      </c>
      <c r="IA30" t="e">
        <f>AND(ТС_ППС!F90,"AAAAAHX7/+o=")</f>
        <v>#VALUE!</v>
      </c>
      <c r="IB30" t="e">
        <f>AND(ТС_ППС!G90,"AAAAAHX7/+s=")</f>
        <v>#VALUE!</v>
      </c>
      <c r="IC30" t="e">
        <f>AND(ТС_ППС!H90,"AAAAAHX7/+w=")</f>
        <v>#VALUE!</v>
      </c>
      <c r="ID30" t="e">
        <f>AND(ТС_ППС!I90,"AAAAAHX7/+0=")</f>
        <v>#VALUE!</v>
      </c>
      <c r="IE30" t="e">
        <f>AND(ТС_ППС!J90,"AAAAAHX7/+4=")</f>
        <v>#VALUE!</v>
      </c>
      <c r="IF30" t="e">
        <f>AND(ТС_ППС!K90,"AAAAAHX7/+8=")</f>
        <v>#VALUE!</v>
      </c>
      <c r="IG30" t="e">
        <f>AND(ТС_ППС!L90,"AAAAAHX7//A=")</f>
        <v>#VALUE!</v>
      </c>
      <c r="IH30" t="e">
        <f>AND(ТС_ППС!M90,"AAAAAHX7//E=")</f>
        <v>#VALUE!</v>
      </c>
      <c r="II30" t="e">
        <f>AND(ТС_ППС!N90,"AAAAAHX7//I=")</f>
        <v>#VALUE!</v>
      </c>
      <c r="IJ30" t="e">
        <f>AND(ТС_ППС!O90,"AAAAAHX7//M=")</f>
        <v>#VALUE!</v>
      </c>
      <c r="IK30">
        <f>IF(ТС_ППС!91:91,"AAAAAHX7//Q=",0)</f>
        <v>0</v>
      </c>
      <c r="IL30" t="e">
        <f>AND(ТС_ППС!A91,"AAAAAHX7//U=")</f>
        <v>#VALUE!</v>
      </c>
      <c r="IM30" t="e">
        <f>AND(ТС_ППС!B91,"AAAAAHX7//Y=")</f>
        <v>#VALUE!</v>
      </c>
      <c r="IN30" t="e">
        <f>AND(ТС_ППС!C91,"AAAAAHX7//c=")</f>
        <v>#VALUE!</v>
      </c>
      <c r="IO30" t="e">
        <f>AND(ТС_ППС!D91,"AAAAAHX7//g=")</f>
        <v>#VALUE!</v>
      </c>
      <c r="IP30" t="e">
        <f>AND(ТС_ППС!E91,"AAAAAHX7//k=")</f>
        <v>#VALUE!</v>
      </c>
      <c r="IQ30" t="e">
        <f>AND(ТС_ППС!F91,"AAAAAHX7//o=")</f>
        <v>#VALUE!</v>
      </c>
      <c r="IR30" t="e">
        <f>AND(ТС_ППС!G91,"AAAAAHX7//s=")</f>
        <v>#VALUE!</v>
      </c>
      <c r="IS30" t="e">
        <f>AND(ТС_ППС!H91,"AAAAAHX7//w=")</f>
        <v>#VALUE!</v>
      </c>
      <c r="IT30" t="e">
        <f>AND(ТС_ППС!I91,"AAAAAHX7//0=")</f>
        <v>#VALUE!</v>
      </c>
      <c r="IU30" t="e">
        <f>AND(ТС_ППС!J91,"AAAAAHX7//4=")</f>
        <v>#VALUE!</v>
      </c>
      <c r="IV30" t="e">
        <f>AND(ТС_ППС!K91,"AAAAAHX7//8=")</f>
        <v>#VALUE!</v>
      </c>
    </row>
    <row r="31" spans="1:256">
      <c r="A31" t="e">
        <f>AND(ТС_ППС!L91,"AAAAAG11vQA=")</f>
        <v>#VALUE!</v>
      </c>
      <c r="B31" t="e">
        <f>AND(ТС_ППС!M91,"AAAAAG11vQE=")</f>
        <v>#VALUE!</v>
      </c>
      <c r="C31" t="e">
        <f>AND(ТС_ППС!N91,"AAAAAG11vQI=")</f>
        <v>#VALUE!</v>
      </c>
      <c r="D31" t="e">
        <f>AND(ТС_ППС!O91,"AAAAAG11vQM=")</f>
        <v>#VALUE!</v>
      </c>
      <c r="E31">
        <f>IF(ТС_ППС!92:92,"AAAAAG11vQQ=",0)</f>
        <v>0</v>
      </c>
      <c r="F31" t="e">
        <f>AND(ТС_ППС!A92,"AAAAAG11vQU=")</f>
        <v>#VALUE!</v>
      </c>
      <c r="G31" t="e">
        <f>AND(ТС_ППС!B92,"AAAAAG11vQY=")</f>
        <v>#VALUE!</v>
      </c>
      <c r="H31" t="e">
        <f>AND(ТС_ППС!C92,"AAAAAG11vQc=")</f>
        <v>#VALUE!</v>
      </c>
      <c r="I31" t="e">
        <f>AND(ТС_ППС!D92,"AAAAAG11vQg=")</f>
        <v>#VALUE!</v>
      </c>
      <c r="J31" t="e">
        <f>AND(ТС_ППС!E92,"AAAAAG11vQk=")</f>
        <v>#VALUE!</v>
      </c>
      <c r="K31" t="e">
        <f>AND(ТС_ППС!F92,"AAAAAG11vQo=")</f>
        <v>#VALUE!</v>
      </c>
      <c r="L31" t="e">
        <f>AND(ТС_ППС!G92,"AAAAAG11vQs=")</f>
        <v>#VALUE!</v>
      </c>
      <c r="M31" t="e">
        <f>AND(ТС_ППС!H92,"AAAAAG11vQw=")</f>
        <v>#VALUE!</v>
      </c>
      <c r="N31" t="e">
        <f>AND(ТС_ППС!I92,"AAAAAG11vQ0=")</f>
        <v>#VALUE!</v>
      </c>
      <c r="O31" t="e">
        <f>AND(ТС_ППС!J92,"AAAAAG11vQ4=")</f>
        <v>#VALUE!</v>
      </c>
      <c r="P31" t="e">
        <f>AND(ТС_ППС!K92,"AAAAAG11vQ8=")</f>
        <v>#VALUE!</v>
      </c>
      <c r="Q31" t="e">
        <f>AND(ТС_ППС!L92,"AAAAAG11vRA=")</f>
        <v>#VALUE!</v>
      </c>
      <c r="R31" t="e">
        <f>AND(ТС_ППС!M92,"AAAAAG11vRE=")</f>
        <v>#VALUE!</v>
      </c>
      <c r="S31" t="e">
        <f>AND(ТС_ППС!N92,"AAAAAG11vRI=")</f>
        <v>#VALUE!</v>
      </c>
      <c r="T31" t="e">
        <f>AND(ТС_ППС!O92,"AAAAAG11vRM=")</f>
        <v>#VALUE!</v>
      </c>
      <c r="U31">
        <f>IF(ТС_ППС!93:93,"AAAAAG11vRQ=",0)</f>
        <v>0</v>
      </c>
      <c r="V31" t="e">
        <f>AND(ТС_ППС!A93,"AAAAAG11vRU=")</f>
        <v>#VALUE!</v>
      </c>
      <c r="W31" t="e">
        <f>AND(ТС_ППС!B93,"AAAAAG11vRY=")</f>
        <v>#VALUE!</v>
      </c>
      <c r="X31" t="e">
        <f>AND(ТС_ППС!C93,"AAAAAG11vRc=")</f>
        <v>#VALUE!</v>
      </c>
      <c r="Y31" t="e">
        <f>AND(ТС_ППС!D93,"AAAAAG11vRg=")</f>
        <v>#VALUE!</v>
      </c>
      <c r="Z31" t="e">
        <f>AND(ТС_ППС!E93,"AAAAAG11vRk=")</f>
        <v>#VALUE!</v>
      </c>
      <c r="AA31" t="e">
        <f>AND(ТС_ППС!F93,"AAAAAG11vRo=")</f>
        <v>#VALUE!</v>
      </c>
      <c r="AB31" t="e">
        <f>AND(ТС_ППС!G93,"AAAAAG11vRs=")</f>
        <v>#VALUE!</v>
      </c>
      <c r="AC31" t="e">
        <f>AND(ТС_ППС!H93,"AAAAAG11vRw=")</f>
        <v>#VALUE!</v>
      </c>
      <c r="AD31" t="e">
        <f>AND(ТС_ППС!I93,"AAAAAG11vR0=")</f>
        <v>#VALUE!</v>
      </c>
      <c r="AE31" t="e">
        <f>AND(ТС_ППС!J93,"AAAAAG11vR4=")</f>
        <v>#VALUE!</v>
      </c>
      <c r="AF31" t="e">
        <f>AND(ТС_ППС!K93,"AAAAAG11vR8=")</f>
        <v>#VALUE!</v>
      </c>
      <c r="AG31" t="e">
        <f>AND(ТС_ППС!L93,"AAAAAG11vSA=")</f>
        <v>#VALUE!</v>
      </c>
      <c r="AH31" t="e">
        <f>AND(ТС_ППС!M93,"AAAAAG11vSE=")</f>
        <v>#VALUE!</v>
      </c>
      <c r="AI31" t="e">
        <f>AND(ТС_ППС!N93,"AAAAAG11vSI=")</f>
        <v>#VALUE!</v>
      </c>
      <c r="AJ31" t="e">
        <f>AND(ТС_ППС!O93,"AAAAAG11vSM=")</f>
        <v>#VALUE!</v>
      </c>
      <c r="AK31">
        <f>IF(ТС_ППС!94:94,"AAAAAG11vSQ=",0)</f>
        <v>0</v>
      </c>
      <c r="AL31" t="e">
        <f>AND(ТС_ППС!A94,"AAAAAG11vSU=")</f>
        <v>#VALUE!</v>
      </c>
      <c r="AM31" t="e">
        <f>AND(ТС_ППС!B94,"AAAAAG11vSY=")</f>
        <v>#VALUE!</v>
      </c>
      <c r="AN31" t="e">
        <f>AND(ТС_ППС!C94,"AAAAAG11vSc=")</f>
        <v>#VALUE!</v>
      </c>
      <c r="AO31" t="e">
        <f>AND(ТС_ППС!D94,"AAAAAG11vSg=")</f>
        <v>#VALUE!</v>
      </c>
      <c r="AP31" t="e">
        <f>AND(ТС_ППС!E94,"AAAAAG11vSk=")</f>
        <v>#VALUE!</v>
      </c>
      <c r="AQ31" t="e">
        <f>AND(ТС_ППС!F94,"AAAAAG11vSo=")</f>
        <v>#VALUE!</v>
      </c>
      <c r="AR31" t="e">
        <f>AND(ТС_ППС!G94,"AAAAAG11vSs=")</f>
        <v>#VALUE!</v>
      </c>
      <c r="AS31" t="e">
        <f>AND(ТС_ППС!H94,"AAAAAG11vSw=")</f>
        <v>#VALUE!</v>
      </c>
      <c r="AT31" t="e">
        <f>AND(ТС_ППС!I94,"AAAAAG11vS0=")</f>
        <v>#VALUE!</v>
      </c>
      <c r="AU31" t="e">
        <f>AND(ТС_ППС!J94,"AAAAAG11vS4=")</f>
        <v>#VALUE!</v>
      </c>
      <c r="AV31" t="e">
        <f>AND(ТС_ППС!K94,"AAAAAG11vS8=")</f>
        <v>#VALUE!</v>
      </c>
      <c r="AW31" t="e">
        <f>AND(ТС_ППС!L94,"AAAAAG11vTA=")</f>
        <v>#VALUE!</v>
      </c>
      <c r="AX31" t="e">
        <f>AND(ТС_ППС!M94,"AAAAAG11vTE=")</f>
        <v>#VALUE!</v>
      </c>
      <c r="AY31" t="e">
        <f>AND(ТС_ППС!N94,"AAAAAG11vTI=")</f>
        <v>#VALUE!</v>
      </c>
      <c r="AZ31" t="e">
        <f>AND(ТС_ППС!O94,"AAAAAG11vTM=")</f>
        <v>#VALUE!</v>
      </c>
      <c r="BA31">
        <f>IF(ТС_ППС!95:95,"AAAAAG11vTQ=",0)</f>
        <v>0</v>
      </c>
      <c r="BB31" t="e">
        <f>AND(ТС_ППС!A95,"AAAAAG11vTU=")</f>
        <v>#VALUE!</v>
      </c>
      <c r="BC31" t="e">
        <f>AND(ТС_ППС!B95,"AAAAAG11vTY=")</f>
        <v>#VALUE!</v>
      </c>
      <c r="BD31" t="e">
        <f>AND(ТС_ППС!C95,"AAAAAG11vTc=")</f>
        <v>#VALUE!</v>
      </c>
      <c r="BE31" t="e">
        <f>AND(ТС_ППС!D95,"AAAAAG11vTg=")</f>
        <v>#VALUE!</v>
      </c>
      <c r="BF31" t="e">
        <f>AND(ТС_ППС!E95,"AAAAAG11vTk=")</f>
        <v>#VALUE!</v>
      </c>
      <c r="BG31" t="e">
        <f>AND(ТС_ППС!F95,"AAAAAG11vTo=")</f>
        <v>#VALUE!</v>
      </c>
      <c r="BH31" t="e">
        <f>AND(ТС_ППС!G95,"AAAAAG11vTs=")</f>
        <v>#VALUE!</v>
      </c>
      <c r="BI31" t="e">
        <f>AND(ТС_ППС!H95,"AAAAAG11vTw=")</f>
        <v>#VALUE!</v>
      </c>
      <c r="BJ31" t="e">
        <f>AND(ТС_ППС!I95,"AAAAAG11vT0=")</f>
        <v>#VALUE!</v>
      </c>
      <c r="BK31" t="e">
        <f>AND(ТС_ППС!J95,"AAAAAG11vT4=")</f>
        <v>#VALUE!</v>
      </c>
      <c r="BL31" t="e">
        <f>AND(ТС_ППС!K95,"AAAAAG11vT8=")</f>
        <v>#VALUE!</v>
      </c>
      <c r="BM31" t="e">
        <f>AND(ТС_ППС!L95,"AAAAAG11vUA=")</f>
        <v>#VALUE!</v>
      </c>
      <c r="BN31" t="e">
        <f>AND(ТС_ППС!M95,"AAAAAG11vUE=")</f>
        <v>#VALUE!</v>
      </c>
      <c r="BO31" t="e">
        <f>AND(ТС_ППС!N95,"AAAAAG11vUI=")</f>
        <v>#VALUE!</v>
      </c>
      <c r="BP31" t="e">
        <f>AND(ТС_ППС!O95,"AAAAAG11vUM=")</f>
        <v>#VALUE!</v>
      </c>
      <c r="BQ31">
        <f>IF(ТС_ППС!96:96,"AAAAAG11vUQ=",0)</f>
        <v>0</v>
      </c>
      <c r="BR31" t="e">
        <f>AND(ТС_ППС!A96,"AAAAAG11vUU=")</f>
        <v>#VALUE!</v>
      </c>
      <c r="BS31" t="e">
        <f>AND(ТС_ППС!B96,"AAAAAG11vUY=")</f>
        <v>#VALUE!</v>
      </c>
      <c r="BT31" t="e">
        <f>AND(ТС_ППС!C96,"AAAAAG11vUc=")</f>
        <v>#VALUE!</v>
      </c>
      <c r="BU31" t="e">
        <f>AND(ТС_ППС!D96,"AAAAAG11vUg=")</f>
        <v>#VALUE!</v>
      </c>
      <c r="BV31" t="e">
        <f>AND(ТС_ППС!E96,"AAAAAG11vUk=")</f>
        <v>#VALUE!</v>
      </c>
      <c r="BW31" t="e">
        <f>AND(ТС_ППС!F96,"AAAAAG11vUo=")</f>
        <v>#VALUE!</v>
      </c>
      <c r="BX31" t="e">
        <f>AND(ТС_ППС!G96,"AAAAAG11vUs=")</f>
        <v>#VALUE!</v>
      </c>
      <c r="BY31" t="e">
        <f>AND(ТС_ППС!H96,"AAAAAG11vUw=")</f>
        <v>#VALUE!</v>
      </c>
      <c r="BZ31" t="e">
        <f>AND(ТС_ППС!I96,"AAAAAG11vU0=")</f>
        <v>#VALUE!</v>
      </c>
      <c r="CA31" t="e">
        <f>AND(ТС_ППС!J96,"AAAAAG11vU4=")</f>
        <v>#VALUE!</v>
      </c>
      <c r="CB31" t="e">
        <f>AND(ТС_ППС!K96,"AAAAAG11vU8=")</f>
        <v>#VALUE!</v>
      </c>
      <c r="CC31" t="e">
        <f>AND(ТС_ППС!L96,"AAAAAG11vVA=")</f>
        <v>#VALUE!</v>
      </c>
      <c r="CD31" t="e">
        <f>AND(ТС_ППС!M96,"AAAAAG11vVE=")</f>
        <v>#VALUE!</v>
      </c>
      <c r="CE31" t="e">
        <f>AND(ТС_ППС!N96,"AAAAAG11vVI=")</f>
        <v>#VALUE!</v>
      </c>
      <c r="CF31" t="e">
        <f>AND(ТС_ППС!O96,"AAAAAG11vVM=")</f>
        <v>#VALUE!</v>
      </c>
      <c r="CG31">
        <f>IF(ТС_ППС!97:97,"AAAAAG11vVQ=",0)</f>
        <v>0</v>
      </c>
      <c r="CH31" t="e">
        <f>AND(ТС_ППС!A97,"AAAAAG11vVU=")</f>
        <v>#VALUE!</v>
      </c>
      <c r="CI31" t="e">
        <f>AND(ТС_ППС!B97,"AAAAAG11vVY=")</f>
        <v>#VALUE!</v>
      </c>
      <c r="CJ31" t="e">
        <f>AND(ТС_ППС!C97,"AAAAAG11vVc=")</f>
        <v>#VALUE!</v>
      </c>
      <c r="CK31" t="e">
        <f>AND(ТС_ППС!D97,"AAAAAG11vVg=")</f>
        <v>#VALUE!</v>
      </c>
      <c r="CL31" t="e">
        <f>AND(ТС_ППС!E97,"AAAAAG11vVk=")</f>
        <v>#VALUE!</v>
      </c>
      <c r="CM31" t="e">
        <f>AND(ТС_ППС!F97,"AAAAAG11vVo=")</f>
        <v>#VALUE!</v>
      </c>
      <c r="CN31" t="e">
        <f>AND(ТС_ППС!G97,"AAAAAG11vVs=")</f>
        <v>#VALUE!</v>
      </c>
      <c r="CO31" t="e">
        <f>AND(ТС_ППС!H97,"AAAAAG11vVw=")</f>
        <v>#VALUE!</v>
      </c>
      <c r="CP31" t="e">
        <f>AND(ТС_ППС!I97,"AAAAAG11vV0=")</f>
        <v>#VALUE!</v>
      </c>
      <c r="CQ31" t="e">
        <f>AND(ТС_ППС!J97,"AAAAAG11vV4=")</f>
        <v>#VALUE!</v>
      </c>
      <c r="CR31" t="e">
        <f>AND(ТС_ППС!K97,"AAAAAG11vV8=")</f>
        <v>#VALUE!</v>
      </c>
      <c r="CS31" t="e">
        <f>AND(ТС_ППС!L97,"AAAAAG11vWA=")</f>
        <v>#VALUE!</v>
      </c>
      <c r="CT31" t="e">
        <f>AND(ТС_ППС!M97,"AAAAAG11vWE=")</f>
        <v>#VALUE!</v>
      </c>
      <c r="CU31" t="e">
        <f>AND(ТС_ППС!N97,"AAAAAG11vWI=")</f>
        <v>#VALUE!</v>
      </c>
      <c r="CV31" t="e">
        <f>AND(ТС_ППС!O97,"AAAAAG11vWM=")</f>
        <v>#VALUE!</v>
      </c>
      <c r="CW31">
        <f>IF(ТС_ППС!98:98,"AAAAAG11vWQ=",0)</f>
        <v>0</v>
      </c>
      <c r="CX31" t="e">
        <f>AND(ТС_ППС!A98,"AAAAAG11vWU=")</f>
        <v>#VALUE!</v>
      </c>
      <c r="CY31" t="e">
        <f>AND(ТС_ППС!B98,"AAAAAG11vWY=")</f>
        <v>#VALUE!</v>
      </c>
      <c r="CZ31" t="e">
        <f>AND(ТС_ППС!C98,"AAAAAG11vWc=")</f>
        <v>#VALUE!</v>
      </c>
      <c r="DA31" t="e">
        <f>AND(ТС_ППС!D98,"AAAAAG11vWg=")</f>
        <v>#VALUE!</v>
      </c>
      <c r="DB31" t="e">
        <f>AND(ТС_ППС!E98,"AAAAAG11vWk=")</f>
        <v>#VALUE!</v>
      </c>
      <c r="DC31" t="e">
        <f>AND(ТС_ППС!F98,"AAAAAG11vWo=")</f>
        <v>#VALUE!</v>
      </c>
      <c r="DD31" t="e">
        <f>AND(ТС_ППС!G98,"AAAAAG11vWs=")</f>
        <v>#VALUE!</v>
      </c>
      <c r="DE31" t="e">
        <f>AND(ТС_ППС!H98,"AAAAAG11vWw=")</f>
        <v>#VALUE!</v>
      </c>
      <c r="DF31" t="e">
        <f>AND(ТС_ППС!I98,"AAAAAG11vW0=")</f>
        <v>#VALUE!</v>
      </c>
      <c r="DG31" t="e">
        <f>AND(ТС_ППС!J98,"AAAAAG11vW4=")</f>
        <v>#VALUE!</v>
      </c>
      <c r="DH31" t="e">
        <f>AND(ТС_ППС!K98,"AAAAAG11vW8=")</f>
        <v>#VALUE!</v>
      </c>
      <c r="DI31" t="e">
        <f>AND(ТС_ППС!L98,"AAAAAG11vXA=")</f>
        <v>#VALUE!</v>
      </c>
      <c r="DJ31" t="e">
        <f>AND(ТС_ППС!M98,"AAAAAG11vXE=")</f>
        <v>#VALUE!</v>
      </c>
      <c r="DK31" t="e">
        <f>AND(ТС_ППС!N98,"AAAAAG11vXI=")</f>
        <v>#VALUE!</v>
      </c>
      <c r="DL31" t="e">
        <f>AND(ТС_ППС!O98,"AAAAAG11vXM=")</f>
        <v>#VALUE!</v>
      </c>
      <c r="DM31">
        <f>IF(ТС_ППС!99:99,"AAAAAG11vXQ=",0)</f>
        <v>0</v>
      </c>
      <c r="DN31" t="e">
        <f>AND(ТС_ППС!A99,"AAAAAG11vXU=")</f>
        <v>#VALUE!</v>
      </c>
      <c r="DO31" t="e">
        <f>AND(ТС_ППС!B99,"AAAAAG11vXY=")</f>
        <v>#VALUE!</v>
      </c>
      <c r="DP31" t="e">
        <f>AND(ТС_ППС!C99,"AAAAAG11vXc=")</f>
        <v>#VALUE!</v>
      </c>
      <c r="DQ31" t="e">
        <f>AND(ТС_ППС!D99,"AAAAAG11vXg=")</f>
        <v>#VALUE!</v>
      </c>
      <c r="DR31" t="e">
        <f>AND(ТС_ППС!E99,"AAAAAG11vXk=")</f>
        <v>#VALUE!</v>
      </c>
      <c r="DS31" t="e">
        <f>AND(ТС_ППС!F99,"AAAAAG11vXo=")</f>
        <v>#VALUE!</v>
      </c>
      <c r="DT31" t="e">
        <f>AND(ТС_ППС!G99,"AAAAAG11vXs=")</f>
        <v>#VALUE!</v>
      </c>
      <c r="DU31" t="e">
        <f>AND(ТС_ППС!H99,"AAAAAG11vXw=")</f>
        <v>#VALUE!</v>
      </c>
      <c r="DV31" t="e">
        <f>AND(ТС_ППС!I99,"AAAAAG11vX0=")</f>
        <v>#VALUE!</v>
      </c>
      <c r="DW31" t="e">
        <f>AND(ТС_ППС!J99,"AAAAAG11vX4=")</f>
        <v>#VALUE!</v>
      </c>
      <c r="DX31" t="e">
        <f>AND(ТС_ППС!K99,"AAAAAG11vX8=")</f>
        <v>#VALUE!</v>
      </c>
      <c r="DY31" t="e">
        <f>AND(ТС_ППС!L99,"AAAAAG11vYA=")</f>
        <v>#VALUE!</v>
      </c>
      <c r="DZ31" t="e">
        <f>AND(ТС_ППС!M99,"AAAAAG11vYE=")</f>
        <v>#VALUE!</v>
      </c>
      <c r="EA31" t="e">
        <f>AND(ТС_ППС!N99,"AAAAAG11vYI=")</f>
        <v>#VALUE!</v>
      </c>
      <c r="EB31" t="e">
        <f>AND(ТС_ППС!O99,"AAAAAG11vYM=")</f>
        <v>#VALUE!</v>
      </c>
      <c r="EC31">
        <f>IF(ТС_ППС!100:100,"AAAAAG11vYQ=",0)</f>
        <v>0</v>
      </c>
      <c r="ED31" t="e">
        <f>AND(ТС_ППС!A100,"AAAAAG11vYU=")</f>
        <v>#VALUE!</v>
      </c>
      <c r="EE31" t="e">
        <f>AND(ТС_ППС!B100,"AAAAAG11vYY=")</f>
        <v>#VALUE!</v>
      </c>
      <c r="EF31" t="e">
        <f>AND(ТС_ППС!C100,"AAAAAG11vYc=")</f>
        <v>#VALUE!</v>
      </c>
      <c r="EG31" t="e">
        <f>AND(ТС_ППС!D100,"AAAAAG11vYg=")</f>
        <v>#VALUE!</v>
      </c>
      <c r="EH31" t="e">
        <f>AND(ТС_ППС!E100,"AAAAAG11vYk=")</f>
        <v>#VALUE!</v>
      </c>
      <c r="EI31" t="e">
        <f>AND(ТС_ППС!F100,"AAAAAG11vYo=")</f>
        <v>#VALUE!</v>
      </c>
      <c r="EJ31" t="e">
        <f>AND(ТС_ППС!G100,"AAAAAG11vYs=")</f>
        <v>#VALUE!</v>
      </c>
      <c r="EK31" t="e">
        <f>AND(ТС_ППС!H100,"AAAAAG11vYw=")</f>
        <v>#VALUE!</v>
      </c>
      <c r="EL31" t="e">
        <f>AND(ТС_ППС!I100,"AAAAAG11vY0=")</f>
        <v>#VALUE!</v>
      </c>
      <c r="EM31" t="e">
        <f>AND(ТС_ППС!J100,"AAAAAG11vY4=")</f>
        <v>#VALUE!</v>
      </c>
      <c r="EN31" t="e">
        <f>AND(ТС_ППС!K100,"AAAAAG11vY8=")</f>
        <v>#VALUE!</v>
      </c>
      <c r="EO31" t="e">
        <f>AND(ТС_ППС!L100,"AAAAAG11vZA=")</f>
        <v>#VALUE!</v>
      </c>
      <c r="EP31" t="e">
        <f>AND(ТС_ППС!M100,"AAAAAG11vZE=")</f>
        <v>#VALUE!</v>
      </c>
      <c r="EQ31" t="e">
        <f>AND(ТС_ППС!N100,"AAAAAG11vZI=")</f>
        <v>#VALUE!</v>
      </c>
      <c r="ER31" t="e">
        <f>AND(ТС_ППС!O100,"AAAAAG11vZM=")</f>
        <v>#VALUE!</v>
      </c>
      <c r="ES31">
        <f>IF(ТС_ППС!101:101,"AAAAAG11vZQ=",0)</f>
        <v>0</v>
      </c>
      <c r="ET31" t="e">
        <f>AND(ТС_ППС!A101,"AAAAAG11vZU=")</f>
        <v>#VALUE!</v>
      </c>
      <c r="EU31" t="e">
        <f>AND(ТС_ППС!B101,"AAAAAG11vZY=")</f>
        <v>#VALUE!</v>
      </c>
      <c r="EV31" t="e">
        <f>AND(ТС_ППС!C101,"AAAAAG11vZc=")</f>
        <v>#VALUE!</v>
      </c>
      <c r="EW31" t="e">
        <f>AND(ТС_ППС!D101,"AAAAAG11vZg=")</f>
        <v>#VALUE!</v>
      </c>
      <c r="EX31" t="e">
        <f>AND(ТС_ППС!E101,"AAAAAG11vZk=")</f>
        <v>#VALUE!</v>
      </c>
      <c r="EY31" t="e">
        <f>AND(ТС_ППС!F101,"AAAAAG11vZo=")</f>
        <v>#VALUE!</v>
      </c>
      <c r="EZ31" t="e">
        <f>AND(ТС_ППС!G101,"AAAAAG11vZs=")</f>
        <v>#VALUE!</v>
      </c>
      <c r="FA31" t="e">
        <f>AND(ТС_ППС!H101,"AAAAAG11vZw=")</f>
        <v>#VALUE!</v>
      </c>
      <c r="FB31" t="e">
        <f>AND(ТС_ППС!I101,"AAAAAG11vZ0=")</f>
        <v>#VALUE!</v>
      </c>
      <c r="FC31" t="e">
        <f>AND(ТС_ППС!J101,"AAAAAG11vZ4=")</f>
        <v>#VALUE!</v>
      </c>
      <c r="FD31" t="e">
        <f>AND(ТС_ППС!K101,"AAAAAG11vZ8=")</f>
        <v>#VALUE!</v>
      </c>
      <c r="FE31" t="e">
        <f>AND(ТС_ППС!L101,"AAAAAG11vaA=")</f>
        <v>#VALUE!</v>
      </c>
      <c r="FF31" t="e">
        <f>AND(ТС_ППС!M101,"AAAAAG11vaE=")</f>
        <v>#VALUE!</v>
      </c>
      <c r="FG31" t="e">
        <f>AND(ТС_ППС!N101,"AAAAAG11vaI=")</f>
        <v>#VALUE!</v>
      </c>
      <c r="FH31" t="e">
        <f>AND(ТС_ППС!O101,"AAAAAG11vaM=")</f>
        <v>#VALUE!</v>
      </c>
      <c r="FI31">
        <f>IF(ТС_ППС!102:102,"AAAAAG11vaQ=",0)</f>
        <v>0</v>
      </c>
      <c r="FJ31" t="e">
        <f>AND(ТС_ППС!A102,"AAAAAG11vaU=")</f>
        <v>#VALUE!</v>
      </c>
      <c r="FK31" t="e">
        <f>AND(ТС_ППС!B102,"AAAAAG11vaY=")</f>
        <v>#VALUE!</v>
      </c>
      <c r="FL31" t="e">
        <f>AND(ТС_ППС!C102,"AAAAAG11vac=")</f>
        <v>#VALUE!</v>
      </c>
      <c r="FM31" t="e">
        <f>AND(ТС_ППС!D102,"AAAAAG11vag=")</f>
        <v>#VALUE!</v>
      </c>
      <c r="FN31" t="e">
        <f>AND(ТС_ППС!E102,"AAAAAG11vak=")</f>
        <v>#VALUE!</v>
      </c>
      <c r="FO31" t="e">
        <f>AND(ТС_ППС!F102,"AAAAAG11vao=")</f>
        <v>#VALUE!</v>
      </c>
      <c r="FP31" t="e">
        <f>AND(ТС_ППС!G102,"AAAAAG11vas=")</f>
        <v>#VALUE!</v>
      </c>
      <c r="FQ31" t="e">
        <f>AND(ТС_ППС!H102,"AAAAAG11vaw=")</f>
        <v>#VALUE!</v>
      </c>
      <c r="FR31" t="e">
        <f>AND(ТС_ППС!I102,"AAAAAG11va0=")</f>
        <v>#VALUE!</v>
      </c>
      <c r="FS31" t="e">
        <f>AND(ТС_ППС!J102,"AAAAAG11va4=")</f>
        <v>#VALUE!</v>
      </c>
      <c r="FT31" t="e">
        <f>AND(ТС_ППС!K102,"AAAAAG11va8=")</f>
        <v>#VALUE!</v>
      </c>
      <c r="FU31" t="e">
        <f>AND(ТС_ППС!L102,"AAAAAG11vbA=")</f>
        <v>#VALUE!</v>
      </c>
      <c r="FV31" t="e">
        <f>AND(ТС_ППС!M102,"AAAAAG11vbE=")</f>
        <v>#VALUE!</v>
      </c>
      <c r="FW31" t="e">
        <f>AND(ТС_ППС!N102,"AAAAAG11vbI=")</f>
        <v>#VALUE!</v>
      </c>
      <c r="FX31" t="e">
        <f>AND(ТС_ППС!O102,"AAAAAG11vbM=")</f>
        <v>#VALUE!</v>
      </c>
      <c r="FY31">
        <f>IF(ТС_ППС!103:103,"AAAAAG11vbQ=",0)</f>
        <v>0</v>
      </c>
      <c r="FZ31" t="e">
        <f>AND(ТС_ППС!A103,"AAAAAG11vbU=")</f>
        <v>#VALUE!</v>
      </c>
      <c r="GA31" t="e">
        <f>AND(ТС_ППС!B103,"AAAAAG11vbY=")</f>
        <v>#VALUE!</v>
      </c>
      <c r="GB31" t="e">
        <f>AND(ТС_ППС!C103,"AAAAAG11vbc=")</f>
        <v>#VALUE!</v>
      </c>
      <c r="GC31" t="e">
        <f>AND(ТС_ППС!D103,"AAAAAG11vbg=")</f>
        <v>#VALUE!</v>
      </c>
      <c r="GD31" t="e">
        <f>AND(ТС_ППС!E103,"AAAAAG11vbk=")</f>
        <v>#VALUE!</v>
      </c>
      <c r="GE31" t="e">
        <f>AND(ТС_ППС!F103,"AAAAAG11vbo=")</f>
        <v>#VALUE!</v>
      </c>
      <c r="GF31" t="e">
        <f>AND(ТС_ППС!G103,"AAAAAG11vbs=")</f>
        <v>#VALUE!</v>
      </c>
      <c r="GG31" t="e">
        <f>AND(ТС_ППС!H103,"AAAAAG11vbw=")</f>
        <v>#VALUE!</v>
      </c>
      <c r="GH31" t="e">
        <f>AND(ТС_ППС!I103,"AAAAAG11vb0=")</f>
        <v>#VALUE!</v>
      </c>
      <c r="GI31" t="e">
        <f>AND(ТС_ППС!J103,"AAAAAG11vb4=")</f>
        <v>#VALUE!</v>
      </c>
      <c r="GJ31" t="e">
        <f>AND(ТС_ППС!K103,"AAAAAG11vb8=")</f>
        <v>#VALUE!</v>
      </c>
      <c r="GK31" t="e">
        <f>AND(ТС_ППС!L103,"AAAAAG11vcA=")</f>
        <v>#VALUE!</v>
      </c>
      <c r="GL31" t="e">
        <f>AND(ТС_ППС!M103,"AAAAAG11vcE=")</f>
        <v>#VALUE!</v>
      </c>
      <c r="GM31" t="e">
        <f>AND(ТС_ППС!N103,"AAAAAG11vcI=")</f>
        <v>#VALUE!</v>
      </c>
      <c r="GN31" t="e">
        <f>AND(ТС_ППС!O103,"AAAAAG11vcM=")</f>
        <v>#VALUE!</v>
      </c>
      <c r="GO31">
        <f>IF(ТС_ППС!104:104,"AAAAAG11vcQ=",0)</f>
        <v>0</v>
      </c>
      <c r="GP31" t="e">
        <f>AND(ТС_ППС!A104,"AAAAAG11vcU=")</f>
        <v>#VALUE!</v>
      </c>
      <c r="GQ31" t="e">
        <f>AND(ТС_ППС!B104,"AAAAAG11vcY=")</f>
        <v>#VALUE!</v>
      </c>
      <c r="GR31" t="e">
        <f>AND(ТС_ППС!C104,"AAAAAG11vcc=")</f>
        <v>#VALUE!</v>
      </c>
      <c r="GS31" t="e">
        <f>AND(ТС_ППС!D104,"AAAAAG11vcg=")</f>
        <v>#VALUE!</v>
      </c>
      <c r="GT31" t="e">
        <f>AND(ТС_ППС!E104,"AAAAAG11vck=")</f>
        <v>#VALUE!</v>
      </c>
      <c r="GU31" t="e">
        <f>AND(ТС_ППС!F104,"AAAAAG11vco=")</f>
        <v>#VALUE!</v>
      </c>
      <c r="GV31" t="e">
        <f>AND(ТС_ППС!G104,"AAAAAG11vcs=")</f>
        <v>#VALUE!</v>
      </c>
      <c r="GW31" t="e">
        <f>AND(ТС_ППС!H104,"AAAAAG11vcw=")</f>
        <v>#VALUE!</v>
      </c>
      <c r="GX31" t="e">
        <f>AND(ТС_ППС!I104,"AAAAAG11vc0=")</f>
        <v>#VALUE!</v>
      </c>
      <c r="GY31" t="e">
        <f>AND(ТС_ППС!J104,"AAAAAG11vc4=")</f>
        <v>#VALUE!</v>
      </c>
      <c r="GZ31" t="e">
        <f>AND(ТС_ППС!K104,"AAAAAG11vc8=")</f>
        <v>#VALUE!</v>
      </c>
      <c r="HA31" t="e">
        <f>AND(ТС_ППС!L104,"AAAAAG11vdA=")</f>
        <v>#VALUE!</v>
      </c>
      <c r="HB31" t="e">
        <f>AND(ТС_ППС!M104,"AAAAAG11vdE=")</f>
        <v>#VALUE!</v>
      </c>
      <c r="HC31" t="e">
        <f>AND(ТС_ППС!N104,"AAAAAG11vdI=")</f>
        <v>#VALUE!</v>
      </c>
      <c r="HD31" t="e">
        <f>AND(ТС_ППС!O104,"AAAAAG11vdM=")</f>
        <v>#VALUE!</v>
      </c>
      <c r="HE31">
        <f>IF(ТС_ППС!105:105,"AAAAAG11vdQ=",0)</f>
        <v>0</v>
      </c>
      <c r="HF31" t="e">
        <f>AND(ТС_ППС!A105,"AAAAAG11vdU=")</f>
        <v>#VALUE!</v>
      </c>
      <c r="HG31" t="e">
        <f>AND(ТС_ППС!B105,"AAAAAG11vdY=")</f>
        <v>#VALUE!</v>
      </c>
      <c r="HH31" t="e">
        <f>AND(ТС_ППС!C105,"AAAAAG11vdc=")</f>
        <v>#VALUE!</v>
      </c>
      <c r="HI31" t="e">
        <f>AND(ТС_ППС!D105,"AAAAAG11vdg=")</f>
        <v>#VALUE!</v>
      </c>
      <c r="HJ31" t="e">
        <f>AND(ТС_ППС!E105,"AAAAAG11vdk=")</f>
        <v>#VALUE!</v>
      </c>
      <c r="HK31" t="e">
        <f>AND(ТС_ППС!F105,"AAAAAG11vdo=")</f>
        <v>#VALUE!</v>
      </c>
      <c r="HL31" t="e">
        <f>AND(ТС_ППС!G105,"AAAAAG11vds=")</f>
        <v>#VALUE!</v>
      </c>
      <c r="HM31" t="e">
        <f>AND(ТС_ППС!H105,"AAAAAG11vdw=")</f>
        <v>#VALUE!</v>
      </c>
      <c r="HN31" t="e">
        <f>AND(ТС_ППС!I105,"AAAAAG11vd0=")</f>
        <v>#VALUE!</v>
      </c>
      <c r="HO31" t="e">
        <f>AND(ТС_ППС!J105,"AAAAAG11vd4=")</f>
        <v>#VALUE!</v>
      </c>
      <c r="HP31" t="e">
        <f>AND(ТС_ППС!K105,"AAAAAG11vd8=")</f>
        <v>#VALUE!</v>
      </c>
      <c r="HQ31" t="e">
        <f>AND(ТС_ППС!L105,"AAAAAG11veA=")</f>
        <v>#VALUE!</v>
      </c>
      <c r="HR31" t="e">
        <f>AND(ТС_ППС!M105,"AAAAAG11veE=")</f>
        <v>#VALUE!</v>
      </c>
      <c r="HS31" t="e">
        <f>AND(ТС_ППС!N105,"AAAAAG11veI=")</f>
        <v>#VALUE!</v>
      </c>
      <c r="HT31" t="e">
        <f>AND(ТС_ППС!O105,"AAAAAG11veM=")</f>
        <v>#VALUE!</v>
      </c>
      <c r="HU31">
        <f>IF(ТС_ППС!106:106,"AAAAAG11veQ=",0)</f>
        <v>0</v>
      </c>
      <c r="HV31" t="e">
        <f>AND(ТС_ППС!A106,"AAAAAG11veU=")</f>
        <v>#VALUE!</v>
      </c>
      <c r="HW31" t="e">
        <f>AND(ТС_ППС!B106,"AAAAAG11veY=")</f>
        <v>#VALUE!</v>
      </c>
      <c r="HX31" t="e">
        <f>AND(ТС_ППС!C106,"AAAAAG11vec=")</f>
        <v>#VALUE!</v>
      </c>
      <c r="HY31" t="e">
        <f>AND(ТС_ППС!D106,"AAAAAG11veg=")</f>
        <v>#VALUE!</v>
      </c>
      <c r="HZ31" t="e">
        <f>AND(ТС_ППС!E106,"AAAAAG11vek=")</f>
        <v>#VALUE!</v>
      </c>
      <c r="IA31" t="e">
        <f>AND(ТС_ППС!F106,"AAAAAG11veo=")</f>
        <v>#VALUE!</v>
      </c>
      <c r="IB31" t="e">
        <f>AND(ТС_ППС!G106,"AAAAAG11ves=")</f>
        <v>#VALUE!</v>
      </c>
      <c r="IC31" t="e">
        <f>AND(ТС_ППС!H106,"AAAAAG11vew=")</f>
        <v>#VALUE!</v>
      </c>
      <c r="ID31" t="e">
        <f>AND(ТС_ППС!I106,"AAAAAG11ve0=")</f>
        <v>#VALUE!</v>
      </c>
      <c r="IE31" t="e">
        <f>AND(ТС_ППС!J106,"AAAAAG11ve4=")</f>
        <v>#VALUE!</v>
      </c>
      <c r="IF31" t="e">
        <f>AND(ТС_ППС!K106,"AAAAAG11ve8=")</f>
        <v>#VALUE!</v>
      </c>
      <c r="IG31" t="e">
        <f>AND(ТС_ППС!L106,"AAAAAG11vfA=")</f>
        <v>#VALUE!</v>
      </c>
      <c r="IH31" t="e">
        <f>AND(ТС_ППС!M106,"AAAAAG11vfE=")</f>
        <v>#VALUE!</v>
      </c>
      <c r="II31" t="e">
        <f>AND(ТС_ППС!N106,"AAAAAG11vfI=")</f>
        <v>#VALUE!</v>
      </c>
      <c r="IJ31" t="e">
        <f>AND(ТС_ППС!O106,"AAAAAG11vfM=")</f>
        <v>#VALUE!</v>
      </c>
      <c r="IK31">
        <f>IF(ТС_ППС!107:107,"AAAAAG11vfQ=",0)</f>
        <v>0</v>
      </c>
      <c r="IL31" t="e">
        <f>AND(ТС_ППС!A107,"AAAAAG11vfU=")</f>
        <v>#VALUE!</v>
      </c>
      <c r="IM31" t="e">
        <f>AND(ТС_ППС!B107,"AAAAAG11vfY=")</f>
        <v>#VALUE!</v>
      </c>
      <c r="IN31" t="e">
        <f>AND(ТС_ППС!C107,"AAAAAG11vfc=")</f>
        <v>#VALUE!</v>
      </c>
      <c r="IO31" t="e">
        <f>AND(ТС_ППС!D107,"AAAAAG11vfg=")</f>
        <v>#VALUE!</v>
      </c>
      <c r="IP31" t="e">
        <f>AND(ТС_ППС!E107,"AAAAAG11vfk=")</f>
        <v>#VALUE!</v>
      </c>
      <c r="IQ31" t="e">
        <f>AND(ТС_ППС!F107,"AAAAAG11vfo=")</f>
        <v>#VALUE!</v>
      </c>
      <c r="IR31" t="e">
        <f>AND(ТС_ППС!G107,"AAAAAG11vfs=")</f>
        <v>#VALUE!</v>
      </c>
      <c r="IS31" t="e">
        <f>AND(ТС_ППС!H107,"AAAAAG11vfw=")</f>
        <v>#VALUE!</v>
      </c>
      <c r="IT31" t="e">
        <f>AND(ТС_ППС!I107,"AAAAAG11vf0=")</f>
        <v>#VALUE!</v>
      </c>
      <c r="IU31" t="e">
        <f>AND(ТС_ППС!J107,"AAAAAG11vf4=")</f>
        <v>#VALUE!</v>
      </c>
      <c r="IV31" t="e">
        <f>AND(ТС_ППС!K107,"AAAAAG11vf8=")</f>
        <v>#VALUE!</v>
      </c>
    </row>
    <row r="32" spans="1:256">
      <c r="A32" t="e">
        <f>AND(ТС_ППС!L107,"AAAAAH//zgA=")</f>
        <v>#VALUE!</v>
      </c>
      <c r="B32" t="e">
        <f>AND(ТС_ППС!M107,"AAAAAH//zgE=")</f>
        <v>#VALUE!</v>
      </c>
      <c r="C32" t="e">
        <f>AND(ТС_ППС!N107,"AAAAAH//zgI=")</f>
        <v>#VALUE!</v>
      </c>
      <c r="D32" t="e">
        <f>AND(ТС_ППС!O107,"AAAAAH//zgM=")</f>
        <v>#VALUE!</v>
      </c>
      <c r="E32">
        <f>IF(ТС_ППС!108:108,"AAAAAH//zgQ=",0)</f>
        <v>0</v>
      </c>
      <c r="F32" t="e">
        <f>AND(ТС_ППС!A108,"AAAAAH//zgU=")</f>
        <v>#VALUE!</v>
      </c>
      <c r="G32" t="e">
        <f>AND(ТС_ППС!B108,"AAAAAH//zgY=")</f>
        <v>#VALUE!</v>
      </c>
      <c r="H32" t="e">
        <f>AND(ТС_ППС!C108,"AAAAAH//zgc=")</f>
        <v>#VALUE!</v>
      </c>
      <c r="I32" t="e">
        <f>AND(ТС_ППС!D108,"AAAAAH//zgg=")</f>
        <v>#VALUE!</v>
      </c>
      <c r="J32" t="e">
        <f>AND(ТС_ППС!E108,"AAAAAH//zgk=")</f>
        <v>#VALUE!</v>
      </c>
      <c r="K32" t="e">
        <f>AND(ТС_ППС!F108,"AAAAAH//zgo=")</f>
        <v>#VALUE!</v>
      </c>
      <c r="L32" t="e">
        <f>AND(ТС_ППС!G108,"AAAAAH//zgs=")</f>
        <v>#VALUE!</v>
      </c>
      <c r="M32" t="e">
        <f>AND(ТС_ППС!H108,"AAAAAH//zgw=")</f>
        <v>#VALUE!</v>
      </c>
      <c r="N32" t="e">
        <f>AND(ТС_ППС!I108,"AAAAAH//zg0=")</f>
        <v>#VALUE!</v>
      </c>
      <c r="O32" t="e">
        <f>AND(ТС_ППС!J108,"AAAAAH//zg4=")</f>
        <v>#VALUE!</v>
      </c>
      <c r="P32" t="e">
        <f>AND(ТС_ППС!K108,"AAAAAH//zg8=")</f>
        <v>#VALUE!</v>
      </c>
      <c r="Q32" t="e">
        <f>AND(ТС_ППС!L108,"AAAAAH//zhA=")</f>
        <v>#VALUE!</v>
      </c>
      <c r="R32" t="e">
        <f>AND(ТС_ППС!M108,"AAAAAH//zhE=")</f>
        <v>#VALUE!</v>
      </c>
      <c r="S32" t="e">
        <f>AND(ТС_ППС!N108,"AAAAAH//zhI=")</f>
        <v>#VALUE!</v>
      </c>
      <c r="T32" t="e">
        <f>AND(ТС_ППС!O108,"AAAAAH//zhM=")</f>
        <v>#VALUE!</v>
      </c>
      <c r="U32">
        <f>IF(ТС_ППС!109:109,"AAAAAH//zhQ=",0)</f>
        <v>0</v>
      </c>
      <c r="V32" t="e">
        <f>AND(ТС_ППС!A109,"AAAAAH//zhU=")</f>
        <v>#VALUE!</v>
      </c>
      <c r="W32" t="e">
        <f>AND(ТС_ППС!B109,"AAAAAH//zhY=")</f>
        <v>#VALUE!</v>
      </c>
      <c r="X32" t="e">
        <f>AND(ТС_ППС!C109,"AAAAAH//zhc=")</f>
        <v>#VALUE!</v>
      </c>
      <c r="Y32" t="e">
        <f>AND(ТС_ППС!D109,"AAAAAH//zhg=")</f>
        <v>#VALUE!</v>
      </c>
      <c r="Z32" t="e">
        <f>AND(ТС_ППС!E109,"AAAAAH//zhk=")</f>
        <v>#VALUE!</v>
      </c>
      <c r="AA32" t="e">
        <f>AND(ТС_ППС!F109,"AAAAAH//zho=")</f>
        <v>#VALUE!</v>
      </c>
      <c r="AB32" t="e">
        <f>AND(ТС_ППС!G109,"AAAAAH//zhs=")</f>
        <v>#VALUE!</v>
      </c>
      <c r="AC32" t="e">
        <f>AND(ТС_ППС!H109,"AAAAAH//zhw=")</f>
        <v>#VALUE!</v>
      </c>
      <c r="AD32" t="e">
        <f>AND(ТС_ППС!I109,"AAAAAH//zh0=")</f>
        <v>#VALUE!</v>
      </c>
      <c r="AE32" t="e">
        <f>AND(ТС_ППС!J109,"AAAAAH//zh4=")</f>
        <v>#VALUE!</v>
      </c>
      <c r="AF32" t="e">
        <f>AND(ТС_ППС!K109,"AAAAAH//zh8=")</f>
        <v>#VALUE!</v>
      </c>
      <c r="AG32" t="e">
        <f>AND(ТС_ППС!L109,"AAAAAH//ziA=")</f>
        <v>#VALUE!</v>
      </c>
      <c r="AH32" t="e">
        <f>AND(ТС_ППС!M109,"AAAAAH//ziE=")</f>
        <v>#VALUE!</v>
      </c>
      <c r="AI32" t="e">
        <f>AND(ТС_ППС!N109,"AAAAAH//ziI=")</f>
        <v>#VALUE!</v>
      </c>
      <c r="AJ32" t="e">
        <f>AND(ТС_ППС!O109,"AAAAAH//ziM=")</f>
        <v>#VALUE!</v>
      </c>
      <c r="AK32">
        <f>IF(ТС_ППС!110:110,"AAAAAH//ziQ=",0)</f>
        <v>0</v>
      </c>
      <c r="AL32" t="e">
        <f>AND(ТС_ППС!A110,"AAAAAH//ziU=")</f>
        <v>#VALUE!</v>
      </c>
      <c r="AM32" t="e">
        <f>AND(ТС_ППС!B110,"AAAAAH//ziY=")</f>
        <v>#VALUE!</v>
      </c>
      <c r="AN32" t="e">
        <f>AND(ТС_ППС!C110,"AAAAAH//zic=")</f>
        <v>#VALUE!</v>
      </c>
      <c r="AO32" t="e">
        <f>AND(ТС_ППС!D110,"AAAAAH//zig=")</f>
        <v>#VALUE!</v>
      </c>
      <c r="AP32" t="e">
        <f>AND(ТС_ППС!E110,"AAAAAH//zik=")</f>
        <v>#VALUE!</v>
      </c>
      <c r="AQ32" t="e">
        <f>AND(ТС_ППС!F110,"AAAAAH//zio=")</f>
        <v>#VALUE!</v>
      </c>
      <c r="AR32" t="e">
        <f>AND(ТС_ППС!G110,"AAAAAH//zis=")</f>
        <v>#VALUE!</v>
      </c>
      <c r="AS32" t="e">
        <f>AND(ТС_ППС!H110,"AAAAAH//ziw=")</f>
        <v>#VALUE!</v>
      </c>
      <c r="AT32" t="e">
        <f>AND(ТС_ППС!I110,"AAAAAH//zi0=")</f>
        <v>#VALUE!</v>
      </c>
      <c r="AU32" t="e">
        <f>AND(ТС_ППС!J110,"AAAAAH//zi4=")</f>
        <v>#VALUE!</v>
      </c>
      <c r="AV32" t="e">
        <f>AND(ТС_ППС!K110,"AAAAAH//zi8=")</f>
        <v>#VALUE!</v>
      </c>
      <c r="AW32" t="e">
        <f>AND(ТС_ППС!L110,"AAAAAH//zjA=")</f>
        <v>#VALUE!</v>
      </c>
      <c r="AX32" t="e">
        <f>AND(ТС_ППС!M110,"AAAAAH//zjE=")</f>
        <v>#VALUE!</v>
      </c>
      <c r="AY32" t="e">
        <f>AND(ТС_ППС!N110,"AAAAAH//zjI=")</f>
        <v>#VALUE!</v>
      </c>
      <c r="AZ32" t="e">
        <f>AND(ТС_ППС!O110,"AAAAAH//zjM=")</f>
        <v>#VALUE!</v>
      </c>
      <c r="BA32">
        <f>IF(ТС_ППС!111:111,"AAAAAH//zjQ=",0)</f>
        <v>0</v>
      </c>
      <c r="BB32" t="e">
        <f>AND(ТС_ППС!A111,"AAAAAH//zjU=")</f>
        <v>#VALUE!</v>
      </c>
      <c r="BC32" t="e">
        <f>AND(ТС_ППС!B111,"AAAAAH//zjY=")</f>
        <v>#VALUE!</v>
      </c>
      <c r="BD32" t="e">
        <f>AND(ТС_ППС!C111,"AAAAAH//zjc=")</f>
        <v>#VALUE!</v>
      </c>
      <c r="BE32" t="e">
        <f>AND(ТС_ППС!D111,"AAAAAH//zjg=")</f>
        <v>#VALUE!</v>
      </c>
      <c r="BF32" t="e">
        <f>AND(ТС_ППС!E111,"AAAAAH//zjk=")</f>
        <v>#VALUE!</v>
      </c>
      <c r="BG32" t="e">
        <f>AND(ТС_ППС!F111,"AAAAAH//zjo=")</f>
        <v>#VALUE!</v>
      </c>
      <c r="BH32" t="e">
        <f>AND(ТС_ППС!G111,"AAAAAH//zjs=")</f>
        <v>#VALUE!</v>
      </c>
      <c r="BI32" t="e">
        <f>AND(ТС_ППС!H111,"AAAAAH//zjw=")</f>
        <v>#VALUE!</v>
      </c>
      <c r="BJ32" t="e">
        <f>AND(ТС_ППС!I111,"AAAAAH//zj0=")</f>
        <v>#VALUE!</v>
      </c>
      <c r="BK32" t="e">
        <f>AND(ТС_ППС!J111,"AAAAAH//zj4=")</f>
        <v>#VALUE!</v>
      </c>
      <c r="BL32" t="e">
        <f>AND(ТС_ППС!K111,"AAAAAH//zj8=")</f>
        <v>#VALUE!</v>
      </c>
      <c r="BM32" t="e">
        <f>AND(ТС_ППС!L111,"AAAAAH//zkA=")</f>
        <v>#VALUE!</v>
      </c>
      <c r="BN32" t="e">
        <f>AND(ТС_ППС!M111,"AAAAAH//zkE=")</f>
        <v>#VALUE!</v>
      </c>
      <c r="BO32" t="e">
        <f>AND(ТС_ППС!N111,"AAAAAH//zkI=")</f>
        <v>#VALUE!</v>
      </c>
      <c r="BP32" t="e">
        <f>AND(ТС_ППС!O111,"AAAAAH//zkM=")</f>
        <v>#VALUE!</v>
      </c>
      <c r="BQ32">
        <f>IF(ТС_ППС!112:112,"AAAAAH//zkQ=",0)</f>
        <v>0</v>
      </c>
      <c r="BR32" t="e">
        <f>AND(ТС_ППС!A112,"AAAAAH//zkU=")</f>
        <v>#VALUE!</v>
      </c>
      <c r="BS32" t="e">
        <f>AND(ТС_ППС!B112,"AAAAAH//zkY=")</f>
        <v>#VALUE!</v>
      </c>
      <c r="BT32" t="e">
        <f>AND(ТС_ППС!C112,"AAAAAH//zkc=")</f>
        <v>#VALUE!</v>
      </c>
      <c r="BU32" t="e">
        <f>AND(ТС_ППС!D112,"AAAAAH//zkg=")</f>
        <v>#VALUE!</v>
      </c>
      <c r="BV32" t="e">
        <f>AND(ТС_ППС!E112,"AAAAAH//zkk=")</f>
        <v>#VALUE!</v>
      </c>
      <c r="BW32" t="e">
        <f>AND(ТС_ППС!F112,"AAAAAH//zko=")</f>
        <v>#VALUE!</v>
      </c>
      <c r="BX32" t="e">
        <f>AND(ТС_ППС!G112,"AAAAAH//zks=")</f>
        <v>#VALUE!</v>
      </c>
      <c r="BY32" t="e">
        <f>AND(ТС_ППС!H112,"AAAAAH//zkw=")</f>
        <v>#VALUE!</v>
      </c>
      <c r="BZ32" t="e">
        <f>AND(ТС_ППС!I112,"AAAAAH//zk0=")</f>
        <v>#VALUE!</v>
      </c>
      <c r="CA32" t="e">
        <f>AND(ТС_ППС!J112,"AAAAAH//zk4=")</f>
        <v>#VALUE!</v>
      </c>
      <c r="CB32" t="e">
        <f>AND(ТС_ППС!K112,"AAAAAH//zk8=")</f>
        <v>#VALUE!</v>
      </c>
      <c r="CC32" t="e">
        <f>AND(ТС_ППС!L112,"AAAAAH//zlA=")</f>
        <v>#VALUE!</v>
      </c>
      <c r="CD32" t="e">
        <f>AND(ТС_ППС!M112,"AAAAAH//zlE=")</f>
        <v>#VALUE!</v>
      </c>
      <c r="CE32" t="e">
        <f>AND(ТС_ППС!N112,"AAAAAH//zlI=")</f>
        <v>#VALUE!</v>
      </c>
      <c r="CF32" t="e">
        <f>AND(ТС_ППС!O112,"AAAAAH//zlM=")</f>
        <v>#VALUE!</v>
      </c>
      <c r="CG32">
        <f>IF(ТС_ППС!113:113,"AAAAAH//zlQ=",0)</f>
        <v>0</v>
      </c>
      <c r="CH32" t="e">
        <f>AND(ТС_ППС!A113,"AAAAAH//zlU=")</f>
        <v>#VALUE!</v>
      </c>
      <c r="CI32" t="e">
        <f>AND(ТС_ППС!B113,"AAAAAH//zlY=")</f>
        <v>#VALUE!</v>
      </c>
      <c r="CJ32" t="e">
        <f>AND(ТС_ППС!C113,"AAAAAH//zlc=")</f>
        <v>#VALUE!</v>
      </c>
      <c r="CK32" t="e">
        <f>AND(ТС_ППС!D113,"AAAAAH//zlg=")</f>
        <v>#VALUE!</v>
      </c>
      <c r="CL32" t="e">
        <f>AND(ТС_ППС!E113,"AAAAAH//zlk=")</f>
        <v>#VALUE!</v>
      </c>
      <c r="CM32" t="e">
        <f>AND(ТС_ППС!F113,"AAAAAH//zlo=")</f>
        <v>#VALUE!</v>
      </c>
      <c r="CN32" t="e">
        <f>AND(ТС_ППС!G113,"AAAAAH//zls=")</f>
        <v>#VALUE!</v>
      </c>
      <c r="CO32" t="e">
        <f>AND(ТС_ППС!H113,"AAAAAH//zlw=")</f>
        <v>#VALUE!</v>
      </c>
      <c r="CP32" t="e">
        <f>AND(ТС_ППС!I113,"AAAAAH//zl0=")</f>
        <v>#VALUE!</v>
      </c>
      <c r="CQ32" t="e">
        <f>AND(ТС_ППС!J113,"AAAAAH//zl4=")</f>
        <v>#VALUE!</v>
      </c>
      <c r="CR32" t="e">
        <f>AND(ТС_ППС!K113,"AAAAAH//zl8=")</f>
        <v>#VALUE!</v>
      </c>
      <c r="CS32" t="e">
        <f>AND(ТС_ППС!L113,"AAAAAH//zmA=")</f>
        <v>#VALUE!</v>
      </c>
      <c r="CT32" t="e">
        <f>AND(ТС_ППС!M113,"AAAAAH//zmE=")</f>
        <v>#VALUE!</v>
      </c>
      <c r="CU32" t="e">
        <f>AND(ТС_ППС!N113,"AAAAAH//zmI=")</f>
        <v>#VALUE!</v>
      </c>
      <c r="CV32" t="e">
        <f>AND(ТС_ППС!O113,"AAAAAH//zmM=")</f>
        <v>#VALUE!</v>
      </c>
      <c r="CW32">
        <f>IF(ТС_ППС!114:114,"AAAAAH//zmQ=",0)</f>
        <v>0</v>
      </c>
      <c r="CX32" t="e">
        <f>AND(ТС_ППС!A114,"AAAAAH//zmU=")</f>
        <v>#VALUE!</v>
      </c>
      <c r="CY32" t="e">
        <f>AND(ТС_ППС!B114,"AAAAAH//zmY=")</f>
        <v>#VALUE!</v>
      </c>
      <c r="CZ32" t="e">
        <f>AND(ТС_ППС!C114,"AAAAAH//zmc=")</f>
        <v>#VALUE!</v>
      </c>
      <c r="DA32" t="e">
        <f>AND(ТС_ППС!D114,"AAAAAH//zmg=")</f>
        <v>#VALUE!</v>
      </c>
      <c r="DB32" t="e">
        <f>AND(ТС_ППС!E114,"AAAAAH//zmk=")</f>
        <v>#VALUE!</v>
      </c>
      <c r="DC32" t="e">
        <f>AND(ТС_ППС!F114,"AAAAAH//zmo=")</f>
        <v>#VALUE!</v>
      </c>
      <c r="DD32" t="e">
        <f>AND(ТС_ППС!G114,"AAAAAH//zms=")</f>
        <v>#VALUE!</v>
      </c>
      <c r="DE32" t="e">
        <f>AND(ТС_ППС!H114,"AAAAAH//zmw=")</f>
        <v>#VALUE!</v>
      </c>
      <c r="DF32" t="e">
        <f>AND(ТС_ППС!I114,"AAAAAH//zm0=")</f>
        <v>#VALUE!</v>
      </c>
      <c r="DG32" t="e">
        <f>AND(ТС_ППС!J114,"AAAAAH//zm4=")</f>
        <v>#VALUE!</v>
      </c>
      <c r="DH32" t="e">
        <f>AND(ТС_ППС!K114,"AAAAAH//zm8=")</f>
        <v>#VALUE!</v>
      </c>
      <c r="DI32" t="e">
        <f>AND(ТС_ППС!L114,"AAAAAH//znA=")</f>
        <v>#VALUE!</v>
      </c>
      <c r="DJ32" t="e">
        <f>AND(ТС_ППС!M114,"AAAAAH//znE=")</f>
        <v>#VALUE!</v>
      </c>
      <c r="DK32" t="e">
        <f>AND(ТС_ППС!N114,"AAAAAH//znI=")</f>
        <v>#VALUE!</v>
      </c>
      <c r="DL32" t="e">
        <f>AND(ТС_ППС!O114,"AAAAAH//znM=")</f>
        <v>#VALUE!</v>
      </c>
      <c r="DM32">
        <f>IF(ТС_ППС!115:115,"AAAAAH//znQ=",0)</f>
        <v>0</v>
      </c>
      <c r="DN32" t="e">
        <f>AND(ТС_ППС!A115,"AAAAAH//znU=")</f>
        <v>#VALUE!</v>
      </c>
      <c r="DO32" t="e">
        <f>AND(ТС_ППС!B115,"AAAAAH//znY=")</f>
        <v>#VALUE!</v>
      </c>
      <c r="DP32" t="e">
        <f>AND(ТС_ППС!C115,"AAAAAH//znc=")</f>
        <v>#VALUE!</v>
      </c>
      <c r="DQ32" t="e">
        <f>AND(ТС_ППС!D115,"AAAAAH//zng=")</f>
        <v>#VALUE!</v>
      </c>
      <c r="DR32" t="e">
        <f>AND(ТС_ППС!E115,"AAAAAH//znk=")</f>
        <v>#VALUE!</v>
      </c>
      <c r="DS32" t="e">
        <f>AND(ТС_ППС!F115,"AAAAAH//zno=")</f>
        <v>#VALUE!</v>
      </c>
      <c r="DT32" t="e">
        <f>AND(ТС_ППС!G115,"AAAAAH//zns=")</f>
        <v>#VALUE!</v>
      </c>
      <c r="DU32" t="e">
        <f>AND(ТС_ППС!H115,"AAAAAH//znw=")</f>
        <v>#VALUE!</v>
      </c>
      <c r="DV32" t="e">
        <f>AND(ТС_ППС!I115,"AAAAAH//zn0=")</f>
        <v>#VALUE!</v>
      </c>
      <c r="DW32" t="e">
        <f>AND(ТС_ППС!J115,"AAAAAH//zn4=")</f>
        <v>#VALUE!</v>
      </c>
      <c r="DX32" t="e">
        <f>AND(ТС_ППС!K115,"AAAAAH//zn8=")</f>
        <v>#VALUE!</v>
      </c>
      <c r="DY32" t="e">
        <f>AND(ТС_ППС!L115,"AAAAAH//zoA=")</f>
        <v>#VALUE!</v>
      </c>
      <c r="DZ32" t="e">
        <f>AND(ТС_ППС!M115,"AAAAAH//zoE=")</f>
        <v>#VALUE!</v>
      </c>
      <c r="EA32" t="e">
        <f>AND(ТС_ППС!N115,"AAAAAH//zoI=")</f>
        <v>#VALUE!</v>
      </c>
      <c r="EB32" t="e">
        <f>AND(ТС_ППС!O115,"AAAAAH//zoM=")</f>
        <v>#VALUE!</v>
      </c>
      <c r="EC32">
        <f>IF(ТС_ППС!116:116,"AAAAAH//zoQ=",0)</f>
        <v>0</v>
      </c>
      <c r="ED32" t="e">
        <f>AND(ТС_ППС!A116,"AAAAAH//zoU=")</f>
        <v>#VALUE!</v>
      </c>
      <c r="EE32" t="e">
        <f>AND(ТС_ППС!B116,"AAAAAH//zoY=")</f>
        <v>#VALUE!</v>
      </c>
      <c r="EF32" t="e">
        <f>AND(ТС_ППС!C116,"AAAAAH//zoc=")</f>
        <v>#VALUE!</v>
      </c>
      <c r="EG32" t="e">
        <f>AND(ТС_ППС!D116,"AAAAAH//zog=")</f>
        <v>#VALUE!</v>
      </c>
      <c r="EH32" t="e">
        <f>AND(ТС_ППС!E116,"AAAAAH//zok=")</f>
        <v>#VALUE!</v>
      </c>
      <c r="EI32" t="e">
        <f>AND(ТС_ППС!F116,"AAAAAH//zoo=")</f>
        <v>#VALUE!</v>
      </c>
      <c r="EJ32" t="e">
        <f>AND(ТС_ППС!G116,"AAAAAH//zos=")</f>
        <v>#VALUE!</v>
      </c>
      <c r="EK32" t="e">
        <f>AND(ТС_ППС!H116,"AAAAAH//zow=")</f>
        <v>#VALUE!</v>
      </c>
      <c r="EL32" t="e">
        <f>AND(ТС_ППС!I116,"AAAAAH//zo0=")</f>
        <v>#VALUE!</v>
      </c>
      <c r="EM32" t="e">
        <f>AND(ТС_ППС!J116,"AAAAAH//zo4=")</f>
        <v>#VALUE!</v>
      </c>
      <c r="EN32" t="e">
        <f>AND(ТС_ППС!K116,"AAAAAH//zo8=")</f>
        <v>#VALUE!</v>
      </c>
      <c r="EO32" t="e">
        <f>AND(ТС_ППС!L116,"AAAAAH//zpA=")</f>
        <v>#VALUE!</v>
      </c>
      <c r="EP32" t="e">
        <f>AND(ТС_ППС!M116,"AAAAAH//zpE=")</f>
        <v>#VALUE!</v>
      </c>
      <c r="EQ32" t="e">
        <f>AND(ТС_ППС!N116,"AAAAAH//zpI=")</f>
        <v>#VALUE!</v>
      </c>
      <c r="ER32" t="e">
        <f>AND(ТС_ППС!O116,"AAAAAH//zpM=")</f>
        <v>#VALUE!</v>
      </c>
      <c r="ES32">
        <f>IF(ТС_ППС!117:117,"AAAAAH//zpQ=",0)</f>
        <v>0</v>
      </c>
      <c r="ET32" t="e">
        <f>AND(ТС_ППС!A117,"AAAAAH//zpU=")</f>
        <v>#VALUE!</v>
      </c>
      <c r="EU32" t="e">
        <f>AND(ТС_ППС!B117,"AAAAAH//zpY=")</f>
        <v>#VALUE!</v>
      </c>
      <c r="EV32" t="e">
        <f>AND(ТС_ППС!C117,"AAAAAH//zpc=")</f>
        <v>#VALUE!</v>
      </c>
      <c r="EW32" t="e">
        <f>AND(ТС_ППС!D117,"AAAAAH//zpg=")</f>
        <v>#VALUE!</v>
      </c>
      <c r="EX32" t="e">
        <f>AND(ТС_ППС!E117,"AAAAAH//zpk=")</f>
        <v>#VALUE!</v>
      </c>
      <c r="EY32" t="e">
        <f>AND(ТС_ППС!F117,"AAAAAH//zpo=")</f>
        <v>#VALUE!</v>
      </c>
      <c r="EZ32" t="e">
        <f>AND(ТС_ППС!G117,"AAAAAH//zps=")</f>
        <v>#VALUE!</v>
      </c>
      <c r="FA32" t="e">
        <f>AND(ТС_ППС!H117,"AAAAAH//zpw=")</f>
        <v>#VALUE!</v>
      </c>
      <c r="FB32" t="e">
        <f>AND(ТС_ППС!I117,"AAAAAH//zp0=")</f>
        <v>#VALUE!</v>
      </c>
      <c r="FC32" t="e">
        <f>AND(ТС_ППС!J117,"AAAAAH//zp4=")</f>
        <v>#VALUE!</v>
      </c>
      <c r="FD32" t="e">
        <f>AND(ТС_ППС!K117,"AAAAAH//zp8=")</f>
        <v>#VALUE!</v>
      </c>
      <c r="FE32" t="e">
        <f>AND(ТС_ППС!L117,"AAAAAH//zqA=")</f>
        <v>#VALUE!</v>
      </c>
      <c r="FF32" t="e">
        <f>AND(ТС_ППС!M117,"AAAAAH//zqE=")</f>
        <v>#VALUE!</v>
      </c>
      <c r="FG32" t="e">
        <f>AND(ТС_ППС!N117,"AAAAAH//zqI=")</f>
        <v>#VALUE!</v>
      </c>
      <c r="FH32" t="e">
        <f>AND(ТС_ППС!O117,"AAAAAH//zqM=")</f>
        <v>#VALUE!</v>
      </c>
      <c r="FI32">
        <f>IF(ТС_ППС!118:118,"AAAAAH//zqQ=",0)</f>
        <v>0</v>
      </c>
      <c r="FJ32" t="e">
        <f>AND(ТС_ППС!A118,"AAAAAH//zqU=")</f>
        <v>#VALUE!</v>
      </c>
      <c r="FK32" t="e">
        <f>AND(ТС_ППС!B118,"AAAAAH//zqY=")</f>
        <v>#VALUE!</v>
      </c>
      <c r="FL32" t="e">
        <f>AND(ТС_ППС!C118,"AAAAAH//zqc=")</f>
        <v>#VALUE!</v>
      </c>
      <c r="FM32" t="e">
        <f>AND(ТС_ППС!D118,"AAAAAH//zqg=")</f>
        <v>#VALUE!</v>
      </c>
      <c r="FN32" t="e">
        <f>AND(ТС_ППС!E118,"AAAAAH//zqk=")</f>
        <v>#VALUE!</v>
      </c>
      <c r="FO32" t="e">
        <f>AND(ТС_ППС!F118,"AAAAAH//zqo=")</f>
        <v>#VALUE!</v>
      </c>
      <c r="FP32" t="e">
        <f>AND(ТС_ППС!G118,"AAAAAH//zqs=")</f>
        <v>#VALUE!</v>
      </c>
      <c r="FQ32" t="e">
        <f>AND(ТС_ППС!H118,"AAAAAH//zqw=")</f>
        <v>#VALUE!</v>
      </c>
      <c r="FR32" t="e">
        <f>AND(ТС_ППС!I118,"AAAAAH//zq0=")</f>
        <v>#VALUE!</v>
      </c>
      <c r="FS32" t="e">
        <f>AND(ТС_ППС!J118,"AAAAAH//zq4=")</f>
        <v>#VALUE!</v>
      </c>
      <c r="FT32" t="e">
        <f>AND(ТС_ППС!K118,"AAAAAH//zq8=")</f>
        <v>#VALUE!</v>
      </c>
      <c r="FU32" t="e">
        <f>AND(ТС_ППС!L118,"AAAAAH//zrA=")</f>
        <v>#VALUE!</v>
      </c>
      <c r="FV32" t="e">
        <f>AND(ТС_ППС!M118,"AAAAAH//zrE=")</f>
        <v>#VALUE!</v>
      </c>
      <c r="FW32" t="e">
        <f>AND(ТС_ППС!N118,"AAAAAH//zrI=")</f>
        <v>#VALUE!</v>
      </c>
      <c r="FX32" t="e">
        <f>AND(ТС_ППС!O118,"AAAAAH//zrM=")</f>
        <v>#VALUE!</v>
      </c>
      <c r="FY32">
        <f>IF(ТС_ППС!119:119,"AAAAAH//zrQ=",0)</f>
        <v>0</v>
      </c>
      <c r="FZ32" t="e">
        <f>AND(ТС_ППС!A119,"AAAAAH//zrU=")</f>
        <v>#VALUE!</v>
      </c>
      <c r="GA32" t="e">
        <f>AND(ТС_ППС!B119,"AAAAAH//zrY=")</f>
        <v>#VALUE!</v>
      </c>
      <c r="GB32" t="e">
        <f>AND(ТС_ППС!C119,"AAAAAH//zrc=")</f>
        <v>#VALUE!</v>
      </c>
      <c r="GC32" t="e">
        <f>AND(ТС_ППС!D119,"AAAAAH//zrg=")</f>
        <v>#VALUE!</v>
      </c>
      <c r="GD32" t="e">
        <f>AND(ТС_ППС!E119,"AAAAAH//zrk=")</f>
        <v>#VALUE!</v>
      </c>
      <c r="GE32" t="e">
        <f>AND(ТС_ППС!F119,"AAAAAH//zro=")</f>
        <v>#VALUE!</v>
      </c>
      <c r="GF32" t="e">
        <f>AND(ТС_ППС!G119,"AAAAAH//zrs=")</f>
        <v>#VALUE!</v>
      </c>
      <c r="GG32" t="e">
        <f>AND(ТС_ППС!H119,"AAAAAH//zrw=")</f>
        <v>#VALUE!</v>
      </c>
      <c r="GH32" t="e">
        <f>AND(ТС_ППС!I119,"AAAAAH//zr0=")</f>
        <v>#VALUE!</v>
      </c>
      <c r="GI32" t="e">
        <f>AND(ТС_ППС!J119,"AAAAAH//zr4=")</f>
        <v>#VALUE!</v>
      </c>
      <c r="GJ32" t="e">
        <f>AND(ТС_ППС!K119,"AAAAAH//zr8=")</f>
        <v>#VALUE!</v>
      </c>
      <c r="GK32" t="e">
        <f>AND(ТС_ППС!L119,"AAAAAH//zsA=")</f>
        <v>#VALUE!</v>
      </c>
      <c r="GL32" t="e">
        <f>AND(ТС_ППС!M119,"AAAAAH//zsE=")</f>
        <v>#VALUE!</v>
      </c>
      <c r="GM32" t="e">
        <f>AND(ТС_ППС!N119,"AAAAAH//zsI=")</f>
        <v>#VALUE!</v>
      </c>
      <c r="GN32" t="e">
        <f>AND(ТС_ППС!O119,"AAAAAH//zsM=")</f>
        <v>#VALUE!</v>
      </c>
      <c r="GO32">
        <f>IF(ТС_ППС!120:120,"AAAAAH//zsQ=",0)</f>
        <v>0</v>
      </c>
      <c r="GP32" t="e">
        <f>AND(ТС_ППС!A120,"AAAAAH//zsU=")</f>
        <v>#VALUE!</v>
      </c>
      <c r="GQ32" t="e">
        <f>AND(ТС_ППС!B120,"AAAAAH//zsY=")</f>
        <v>#VALUE!</v>
      </c>
      <c r="GR32" t="e">
        <f>AND(ТС_ППС!C120,"AAAAAH//zsc=")</f>
        <v>#VALUE!</v>
      </c>
      <c r="GS32" t="e">
        <f>AND(ТС_ППС!D120,"AAAAAH//zsg=")</f>
        <v>#VALUE!</v>
      </c>
      <c r="GT32" t="e">
        <f>AND(ТС_ППС!E120,"AAAAAH//zsk=")</f>
        <v>#VALUE!</v>
      </c>
      <c r="GU32" t="e">
        <f>AND(ТС_ППС!F120,"AAAAAH//zso=")</f>
        <v>#VALUE!</v>
      </c>
      <c r="GV32" t="e">
        <f>AND(ТС_ППС!G120,"AAAAAH//zss=")</f>
        <v>#VALUE!</v>
      </c>
      <c r="GW32" t="e">
        <f>AND(ТС_ППС!H120,"AAAAAH//zsw=")</f>
        <v>#VALUE!</v>
      </c>
      <c r="GX32" t="e">
        <f>AND(ТС_ППС!I120,"AAAAAH//zs0=")</f>
        <v>#VALUE!</v>
      </c>
      <c r="GY32" t="e">
        <f>AND(ТС_ППС!J120,"AAAAAH//zs4=")</f>
        <v>#VALUE!</v>
      </c>
      <c r="GZ32" t="e">
        <f>AND(ТС_ППС!K120,"AAAAAH//zs8=")</f>
        <v>#VALUE!</v>
      </c>
      <c r="HA32" t="e">
        <f>AND(ТС_ППС!L120,"AAAAAH//ztA=")</f>
        <v>#VALUE!</v>
      </c>
      <c r="HB32" t="e">
        <f>AND(ТС_ППС!M120,"AAAAAH//ztE=")</f>
        <v>#VALUE!</v>
      </c>
      <c r="HC32" t="e">
        <f>AND(ТС_ППС!N120,"AAAAAH//ztI=")</f>
        <v>#VALUE!</v>
      </c>
      <c r="HD32" t="e">
        <f>AND(ТС_ППС!O120,"AAAAAH//ztM=")</f>
        <v>#VALUE!</v>
      </c>
      <c r="HE32">
        <f>IF(ТС_ППС!121:121,"AAAAAH//ztQ=",0)</f>
        <v>0</v>
      </c>
      <c r="HF32" t="e">
        <f>AND(ТС_ППС!A121,"AAAAAH//ztU=")</f>
        <v>#VALUE!</v>
      </c>
      <c r="HG32" t="e">
        <f>AND(ТС_ППС!B121,"AAAAAH//ztY=")</f>
        <v>#VALUE!</v>
      </c>
      <c r="HH32" t="e">
        <f>AND(ТС_ППС!C121,"AAAAAH//ztc=")</f>
        <v>#VALUE!</v>
      </c>
      <c r="HI32" t="e">
        <f>AND(ТС_ППС!D121,"AAAAAH//ztg=")</f>
        <v>#VALUE!</v>
      </c>
      <c r="HJ32" t="e">
        <f>AND(ТС_ППС!E121,"AAAAAH//ztk=")</f>
        <v>#VALUE!</v>
      </c>
      <c r="HK32" t="e">
        <f>AND(ТС_ППС!F121,"AAAAAH//zto=")</f>
        <v>#VALUE!</v>
      </c>
      <c r="HL32" t="e">
        <f>AND(ТС_ППС!G121,"AAAAAH//zts=")</f>
        <v>#VALUE!</v>
      </c>
      <c r="HM32" t="e">
        <f>AND(ТС_ППС!H121,"AAAAAH//ztw=")</f>
        <v>#VALUE!</v>
      </c>
      <c r="HN32" t="e">
        <f>AND(ТС_ППС!I121,"AAAAAH//zt0=")</f>
        <v>#VALUE!</v>
      </c>
      <c r="HO32" t="e">
        <f>AND(ТС_ППС!J121,"AAAAAH//zt4=")</f>
        <v>#VALUE!</v>
      </c>
      <c r="HP32" t="e">
        <f>AND(ТС_ППС!K121,"AAAAAH//zt8=")</f>
        <v>#VALUE!</v>
      </c>
      <c r="HQ32" t="e">
        <f>AND(ТС_ППС!L121,"AAAAAH//zuA=")</f>
        <v>#VALUE!</v>
      </c>
      <c r="HR32" t="e">
        <f>AND(ТС_ППС!M121,"AAAAAH//zuE=")</f>
        <v>#VALUE!</v>
      </c>
      <c r="HS32" t="e">
        <f>AND(ТС_ППС!N121,"AAAAAH//zuI=")</f>
        <v>#VALUE!</v>
      </c>
      <c r="HT32" t="e">
        <f>AND(ТС_ППС!O121,"AAAAAH//zuM=")</f>
        <v>#VALUE!</v>
      </c>
      <c r="HU32">
        <f>IF(ТС_ППС!122:122,"AAAAAH//zuQ=",0)</f>
        <v>0</v>
      </c>
      <c r="HV32" t="e">
        <f>AND(ТС_ППС!A122,"AAAAAH//zuU=")</f>
        <v>#VALUE!</v>
      </c>
      <c r="HW32" t="e">
        <f>AND(ТС_ППС!B122,"AAAAAH//zuY=")</f>
        <v>#VALUE!</v>
      </c>
      <c r="HX32" t="e">
        <f>AND(ТС_ППС!C122,"AAAAAH//zuc=")</f>
        <v>#VALUE!</v>
      </c>
      <c r="HY32" t="e">
        <f>AND(ТС_ППС!D122,"AAAAAH//zug=")</f>
        <v>#VALUE!</v>
      </c>
      <c r="HZ32" t="e">
        <f>AND(ТС_ППС!E122,"AAAAAH//zuk=")</f>
        <v>#VALUE!</v>
      </c>
      <c r="IA32" t="e">
        <f>AND(ТС_ППС!F122,"AAAAAH//zuo=")</f>
        <v>#VALUE!</v>
      </c>
      <c r="IB32" t="e">
        <f>AND(ТС_ППС!G122,"AAAAAH//zus=")</f>
        <v>#VALUE!</v>
      </c>
      <c r="IC32" t="e">
        <f>AND(ТС_ППС!H122,"AAAAAH//zuw=")</f>
        <v>#VALUE!</v>
      </c>
      <c r="ID32" t="e">
        <f>AND(ТС_ППС!I122,"AAAAAH//zu0=")</f>
        <v>#VALUE!</v>
      </c>
      <c r="IE32" t="e">
        <f>AND(ТС_ППС!J122,"AAAAAH//zu4=")</f>
        <v>#VALUE!</v>
      </c>
      <c r="IF32" t="e">
        <f>AND(ТС_ППС!K122,"AAAAAH//zu8=")</f>
        <v>#VALUE!</v>
      </c>
      <c r="IG32" t="e">
        <f>AND(ТС_ППС!L122,"AAAAAH//zvA=")</f>
        <v>#VALUE!</v>
      </c>
      <c r="IH32" t="e">
        <f>AND(ТС_ППС!M122,"AAAAAH//zvE=")</f>
        <v>#VALUE!</v>
      </c>
      <c r="II32" t="e">
        <f>AND(ТС_ППС!N122,"AAAAAH//zvI=")</f>
        <v>#VALUE!</v>
      </c>
      <c r="IJ32" t="e">
        <f>AND(ТС_ППС!O122,"AAAAAH//zvM=")</f>
        <v>#VALUE!</v>
      </c>
      <c r="IK32">
        <f>IF(ТС_ППС!123:123,"AAAAAH//zvQ=",0)</f>
        <v>0</v>
      </c>
      <c r="IL32" t="e">
        <f>AND(ТС_ППС!A123,"AAAAAH//zvU=")</f>
        <v>#VALUE!</v>
      </c>
      <c r="IM32" t="e">
        <f>AND(ТС_ППС!B123,"AAAAAH//zvY=")</f>
        <v>#VALUE!</v>
      </c>
      <c r="IN32" t="e">
        <f>AND(ТС_ППС!C123,"AAAAAH//zvc=")</f>
        <v>#VALUE!</v>
      </c>
      <c r="IO32" t="e">
        <f>AND(ТС_ППС!D123,"AAAAAH//zvg=")</f>
        <v>#VALUE!</v>
      </c>
      <c r="IP32" t="e">
        <f>AND(ТС_ППС!E123,"AAAAAH//zvk=")</f>
        <v>#VALUE!</v>
      </c>
      <c r="IQ32" t="e">
        <f>AND(ТС_ППС!F123,"AAAAAH//zvo=")</f>
        <v>#VALUE!</v>
      </c>
      <c r="IR32" t="e">
        <f>AND(ТС_ППС!G123,"AAAAAH//zvs=")</f>
        <v>#VALUE!</v>
      </c>
      <c r="IS32" t="e">
        <f>AND(ТС_ППС!H123,"AAAAAH//zvw=")</f>
        <v>#VALUE!</v>
      </c>
      <c r="IT32" t="e">
        <f>AND(ТС_ППС!I123,"AAAAAH//zv0=")</f>
        <v>#VALUE!</v>
      </c>
      <c r="IU32" t="e">
        <f>AND(ТС_ППС!J123,"AAAAAH//zv4=")</f>
        <v>#VALUE!</v>
      </c>
      <c r="IV32" t="e">
        <f>AND(ТС_ППС!K123,"AAAAAH//zv8=")</f>
        <v>#VALUE!</v>
      </c>
    </row>
    <row r="33" spans="1:256">
      <c r="A33" t="e">
        <f>AND(ТС_ППС!L123,"AAAAAF/utwA=")</f>
        <v>#VALUE!</v>
      </c>
      <c r="B33" t="e">
        <f>AND(ТС_ППС!M123,"AAAAAF/utwE=")</f>
        <v>#VALUE!</v>
      </c>
      <c r="C33" t="e">
        <f>AND(ТС_ППС!N123,"AAAAAF/utwI=")</f>
        <v>#VALUE!</v>
      </c>
      <c r="D33" t="e">
        <f>AND(ТС_ППС!O123,"AAAAAF/utwM=")</f>
        <v>#VALUE!</v>
      </c>
      <c r="E33">
        <f>IF(ТС_ППС!124:124,"AAAAAF/utwQ=",0)</f>
        <v>0</v>
      </c>
      <c r="F33" t="e">
        <f>AND(ТС_ППС!A124,"AAAAAF/utwU=")</f>
        <v>#VALUE!</v>
      </c>
      <c r="G33" t="e">
        <f>AND(ТС_ППС!B124,"AAAAAF/utwY=")</f>
        <v>#VALUE!</v>
      </c>
      <c r="H33" t="e">
        <f>AND(ТС_ППС!C124,"AAAAAF/utwc=")</f>
        <v>#VALUE!</v>
      </c>
      <c r="I33" t="e">
        <f>AND(ТС_ППС!D124,"AAAAAF/utwg=")</f>
        <v>#VALUE!</v>
      </c>
      <c r="J33" t="e">
        <f>AND(ТС_ППС!E124,"AAAAAF/utwk=")</f>
        <v>#VALUE!</v>
      </c>
      <c r="K33" t="e">
        <f>AND(ТС_ППС!F124,"AAAAAF/utwo=")</f>
        <v>#VALUE!</v>
      </c>
      <c r="L33" t="e">
        <f>AND(ТС_ППС!G124,"AAAAAF/utws=")</f>
        <v>#VALUE!</v>
      </c>
      <c r="M33" t="e">
        <f>AND(ТС_ППС!H124,"AAAAAF/utww=")</f>
        <v>#VALUE!</v>
      </c>
      <c r="N33" t="e">
        <f>AND(ТС_ППС!I124,"AAAAAF/utw0=")</f>
        <v>#VALUE!</v>
      </c>
      <c r="O33" t="e">
        <f>AND(ТС_ППС!J124,"AAAAAF/utw4=")</f>
        <v>#VALUE!</v>
      </c>
      <c r="P33" t="e">
        <f>AND(ТС_ППС!K124,"AAAAAF/utw8=")</f>
        <v>#VALUE!</v>
      </c>
      <c r="Q33" t="e">
        <f>AND(ТС_ППС!L124,"AAAAAF/utxA=")</f>
        <v>#VALUE!</v>
      </c>
      <c r="R33" t="e">
        <f>AND(ТС_ППС!M124,"AAAAAF/utxE=")</f>
        <v>#VALUE!</v>
      </c>
      <c r="S33" t="e">
        <f>AND(ТС_ППС!N124,"AAAAAF/utxI=")</f>
        <v>#VALUE!</v>
      </c>
      <c r="T33" t="e">
        <f>AND(ТС_ППС!O124,"AAAAAF/utxM=")</f>
        <v>#VALUE!</v>
      </c>
      <c r="U33">
        <f>IF(ТС_ППС!125:125,"AAAAAF/utxQ=",0)</f>
        <v>0</v>
      </c>
      <c r="V33" t="e">
        <f>AND(ТС_ППС!A125,"AAAAAF/utxU=")</f>
        <v>#VALUE!</v>
      </c>
      <c r="W33" t="e">
        <f>AND(ТС_ППС!B125,"AAAAAF/utxY=")</f>
        <v>#VALUE!</v>
      </c>
      <c r="X33" t="e">
        <f>AND(ТС_ППС!C125,"AAAAAF/utxc=")</f>
        <v>#VALUE!</v>
      </c>
      <c r="Y33" t="e">
        <f>AND(ТС_ППС!D125,"AAAAAF/utxg=")</f>
        <v>#VALUE!</v>
      </c>
      <c r="Z33" t="e">
        <f>AND(ТС_ППС!E125,"AAAAAF/utxk=")</f>
        <v>#VALUE!</v>
      </c>
      <c r="AA33" t="e">
        <f>AND(ТС_ППС!F125,"AAAAAF/utxo=")</f>
        <v>#VALUE!</v>
      </c>
      <c r="AB33" t="e">
        <f>AND(ТС_ППС!G125,"AAAAAF/utxs=")</f>
        <v>#VALUE!</v>
      </c>
      <c r="AC33" t="e">
        <f>AND(ТС_ППС!H125,"AAAAAF/utxw=")</f>
        <v>#VALUE!</v>
      </c>
      <c r="AD33" t="e">
        <f>AND(ТС_ППС!I125,"AAAAAF/utx0=")</f>
        <v>#VALUE!</v>
      </c>
      <c r="AE33" t="e">
        <f>AND(ТС_ППС!J125,"AAAAAF/utx4=")</f>
        <v>#VALUE!</v>
      </c>
      <c r="AF33" t="e">
        <f>AND(ТС_ППС!K125,"AAAAAF/utx8=")</f>
        <v>#VALUE!</v>
      </c>
      <c r="AG33" t="e">
        <f>AND(ТС_ППС!L125,"AAAAAF/utyA=")</f>
        <v>#VALUE!</v>
      </c>
      <c r="AH33" t="e">
        <f>AND(ТС_ППС!M125,"AAAAAF/utyE=")</f>
        <v>#VALUE!</v>
      </c>
      <c r="AI33" t="e">
        <f>AND(ТС_ППС!N125,"AAAAAF/utyI=")</f>
        <v>#VALUE!</v>
      </c>
      <c r="AJ33" t="e">
        <f>AND(ТС_ППС!O125,"AAAAAF/utyM=")</f>
        <v>#VALUE!</v>
      </c>
      <c r="AK33">
        <f>IF(ТС_ППС!126:126,"AAAAAF/utyQ=",0)</f>
        <v>0</v>
      </c>
      <c r="AL33" t="e">
        <f>AND(ТС_ППС!A126,"AAAAAF/utyU=")</f>
        <v>#VALUE!</v>
      </c>
      <c r="AM33" t="e">
        <f>AND(ТС_ППС!B126,"AAAAAF/utyY=")</f>
        <v>#VALUE!</v>
      </c>
      <c r="AN33" t="e">
        <f>AND(ТС_ППС!C126,"AAAAAF/utyc=")</f>
        <v>#VALUE!</v>
      </c>
      <c r="AO33" t="e">
        <f>AND(ТС_ППС!D126,"AAAAAF/utyg=")</f>
        <v>#VALUE!</v>
      </c>
      <c r="AP33" t="e">
        <f>AND(ТС_ППС!E126,"AAAAAF/utyk=")</f>
        <v>#VALUE!</v>
      </c>
      <c r="AQ33" t="e">
        <f>AND(ТС_ППС!F126,"AAAAAF/utyo=")</f>
        <v>#VALUE!</v>
      </c>
      <c r="AR33" t="e">
        <f>AND(ТС_ППС!G126,"AAAAAF/utys=")</f>
        <v>#VALUE!</v>
      </c>
      <c r="AS33" t="e">
        <f>AND(ТС_ППС!H126,"AAAAAF/utyw=")</f>
        <v>#VALUE!</v>
      </c>
      <c r="AT33" t="e">
        <f>AND(ТС_ППС!I126,"AAAAAF/uty0=")</f>
        <v>#VALUE!</v>
      </c>
      <c r="AU33" t="e">
        <f>AND(ТС_ППС!J126,"AAAAAF/uty4=")</f>
        <v>#VALUE!</v>
      </c>
      <c r="AV33" t="e">
        <f>AND(ТС_ППС!K126,"AAAAAF/uty8=")</f>
        <v>#VALUE!</v>
      </c>
      <c r="AW33" t="e">
        <f>AND(ТС_ППС!L126,"AAAAAF/utzA=")</f>
        <v>#VALUE!</v>
      </c>
      <c r="AX33" t="e">
        <f>AND(ТС_ППС!M126,"AAAAAF/utzE=")</f>
        <v>#VALUE!</v>
      </c>
      <c r="AY33" t="e">
        <f>AND(ТС_ППС!N126,"AAAAAF/utzI=")</f>
        <v>#VALUE!</v>
      </c>
      <c r="AZ33" t="e">
        <f>AND(ТС_ППС!O126,"AAAAAF/utzM=")</f>
        <v>#VALUE!</v>
      </c>
      <c r="BA33">
        <f>IF(ТС_ППС!127:127,"AAAAAF/utzQ=",0)</f>
        <v>0</v>
      </c>
      <c r="BB33" t="e">
        <f>AND(ТС_ППС!A127,"AAAAAF/utzU=")</f>
        <v>#VALUE!</v>
      </c>
      <c r="BC33" t="e">
        <f>AND(ТС_ППС!B127,"AAAAAF/utzY=")</f>
        <v>#VALUE!</v>
      </c>
      <c r="BD33" t="e">
        <f>AND(ТС_ППС!C127,"AAAAAF/utzc=")</f>
        <v>#VALUE!</v>
      </c>
      <c r="BE33" t="e">
        <f>AND(ТС_ППС!D127,"AAAAAF/utzg=")</f>
        <v>#VALUE!</v>
      </c>
      <c r="BF33" t="e">
        <f>AND(ТС_ППС!E127,"AAAAAF/utzk=")</f>
        <v>#VALUE!</v>
      </c>
      <c r="BG33" t="e">
        <f>AND(ТС_ППС!F127,"AAAAAF/utzo=")</f>
        <v>#VALUE!</v>
      </c>
      <c r="BH33" t="e">
        <f>AND(ТС_ППС!G127,"AAAAAF/utzs=")</f>
        <v>#VALUE!</v>
      </c>
      <c r="BI33" t="e">
        <f>AND(ТС_ППС!H127,"AAAAAF/utzw=")</f>
        <v>#VALUE!</v>
      </c>
      <c r="BJ33" t="e">
        <f>AND(ТС_ППС!I127,"AAAAAF/utz0=")</f>
        <v>#VALUE!</v>
      </c>
      <c r="BK33" t="e">
        <f>AND(ТС_ППС!J127,"AAAAAF/utz4=")</f>
        <v>#VALUE!</v>
      </c>
      <c r="BL33" t="e">
        <f>AND(ТС_ППС!K127,"AAAAAF/utz8=")</f>
        <v>#VALUE!</v>
      </c>
      <c r="BM33" t="e">
        <f>AND(ТС_ППС!L127,"AAAAAF/ut0A=")</f>
        <v>#VALUE!</v>
      </c>
      <c r="BN33" t="e">
        <f>AND(ТС_ППС!M127,"AAAAAF/ut0E=")</f>
        <v>#VALUE!</v>
      </c>
      <c r="BO33" t="e">
        <f>AND(ТС_ППС!N127,"AAAAAF/ut0I=")</f>
        <v>#VALUE!</v>
      </c>
      <c r="BP33" t="e">
        <f>AND(ТС_ППС!O127,"AAAAAF/ut0M=")</f>
        <v>#VALUE!</v>
      </c>
      <c r="BQ33">
        <f>IF(ТС_ППС!128:128,"AAAAAF/ut0Q=",0)</f>
        <v>0</v>
      </c>
      <c r="BR33" t="e">
        <f>AND(ТС_ППС!A128,"AAAAAF/ut0U=")</f>
        <v>#VALUE!</v>
      </c>
      <c r="BS33" t="e">
        <f>AND(ТС_ППС!B128,"AAAAAF/ut0Y=")</f>
        <v>#VALUE!</v>
      </c>
      <c r="BT33" t="e">
        <f>AND(ТС_ППС!C128,"AAAAAF/ut0c=")</f>
        <v>#VALUE!</v>
      </c>
      <c r="BU33" t="e">
        <f>AND(ТС_ППС!D128,"AAAAAF/ut0g=")</f>
        <v>#VALUE!</v>
      </c>
      <c r="BV33" t="e">
        <f>AND(ТС_ППС!E128,"AAAAAF/ut0k=")</f>
        <v>#VALUE!</v>
      </c>
      <c r="BW33" t="e">
        <f>AND(ТС_ППС!F128,"AAAAAF/ut0o=")</f>
        <v>#VALUE!</v>
      </c>
      <c r="BX33" t="e">
        <f>AND(ТС_ППС!G128,"AAAAAF/ut0s=")</f>
        <v>#VALUE!</v>
      </c>
      <c r="BY33" t="e">
        <f>AND(ТС_ППС!H128,"AAAAAF/ut0w=")</f>
        <v>#VALUE!</v>
      </c>
      <c r="BZ33" t="e">
        <f>AND(ТС_ППС!I128,"AAAAAF/ut00=")</f>
        <v>#VALUE!</v>
      </c>
      <c r="CA33" t="e">
        <f>AND(ТС_ППС!J128,"AAAAAF/ut04=")</f>
        <v>#VALUE!</v>
      </c>
      <c r="CB33" t="e">
        <f>AND(ТС_ППС!K128,"AAAAAF/ut08=")</f>
        <v>#VALUE!</v>
      </c>
      <c r="CC33" t="e">
        <f>AND(ТС_ППС!L128,"AAAAAF/ut1A=")</f>
        <v>#VALUE!</v>
      </c>
      <c r="CD33" t="e">
        <f>AND(ТС_ППС!M128,"AAAAAF/ut1E=")</f>
        <v>#VALUE!</v>
      </c>
      <c r="CE33" t="e">
        <f>AND(ТС_ППС!N128,"AAAAAF/ut1I=")</f>
        <v>#VALUE!</v>
      </c>
      <c r="CF33" t="e">
        <f>AND(ТС_ППС!O128,"AAAAAF/ut1M=")</f>
        <v>#VALUE!</v>
      </c>
      <c r="CG33">
        <f>IF(ТС_ППС!129:129,"AAAAAF/ut1Q=",0)</f>
        <v>0</v>
      </c>
      <c r="CH33">
        <f>IF(ТС_ППС!130:130,"AAAAAF/ut1U=",0)</f>
        <v>0</v>
      </c>
      <c r="CI33">
        <f>IF(ТС_ППС!131:131,"AAAAAF/ut1Y=",0)</f>
        <v>0</v>
      </c>
      <c r="CJ33">
        <f>IF(ТС_ППС!132:132,"AAAAAF/ut1c=",0)</f>
        <v>0</v>
      </c>
      <c r="CK33">
        <f>IF(ТС_ППС!133:133,"AAAAAF/ut1g=",0)</f>
        <v>0</v>
      </c>
      <c r="CL33">
        <f>IF(ТС_ППС!134:134,"AAAAAF/ut1k=",0)</f>
        <v>0</v>
      </c>
      <c r="CM33">
        <f>IF(ТС_ППС!135:135,"AAAAAF/ut1o=",0)</f>
        <v>0</v>
      </c>
      <c r="CN33">
        <f>IF(ТС_ППС!136:136,"AAAAAF/ut1s=",0)</f>
        <v>0</v>
      </c>
      <c r="CO33">
        <f>IF(ТС_ППС!137:137,"AAAAAF/ut1w=",0)</f>
        <v>0</v>
      </c>
      <c r="CP33">
        <f>IF(ТС_ППС!138:138,"AAAAAF/ut10=",0)</f>
        <v>0</v>
      </c>
      <c r="CQ33">
        <f>IF(ТС_ППС!139:139,"AAAAAF/ut14=",0)</f>
        <v>0</v>
      </c>
      <c r="CR33">
        <f>IF(ТС_ППС!140:140,"AAAAAF/ut18=",0)</f>
        <v>0</v>
      </c>
      <c r="CS33">
        <f>IF(ТС_ППС!141:141,"AAAAAF/ut2A=",0)</f>
        <v>0</v>
      </c>
      <c r="CT33">
        <f>IF(ТС_ППС!142:142,"AAAAAF/ut2E=",0)</f>
        <v>0</v>
      </c>
      <c r="CU33">
        <f>IF(ТС_ППС!143:143,"AAAAAF/ut2I=",0)</f>
        <v>0</v>
      </c>
      <c r="CV33">
        <f>IF(ТС_ППС!144:144,"AAAAAF/ut2M=",0)</f>
        <v>0</v>
      </c>
      <c r="CW33">
        <f>IF(ТС_ППС!A:A,"AAAAAF/ut2Q=",0)</f>
        <v>0</v>
      </c>
      <c r="CX33">
        <f>IF(ТС_ППС!B:B,"AAAAAF/ut2U=",0)</f>
        <v>0</v>
      </c>
      <c r="CY33">
        <f>IF(ТС_ППС!C:C,"AAAAAF/ut2Y=",0)</f>
        <v>0</v>
      </c>
      <c r="CZ33">
        <f>IF(ТС_ППС!D:D,"AAAAAF/ut2c=",0)</f>
        <v>0</v>
      </c>
      <c r="DA33">
        <f>IF(ТС_ППС!E:E,"AAAAAF/ut2g=",0)</f>
        <v>0</v>
      </c>
      <c r="DB33" t="e">
        <f>IF(ТС_ППС!F:F,"AAAAAF/ut2k=",0)</f>
        <v>#VALUE!</v>
      </c>
      <c r="DC33">
        <f>IF(ТС_ППС!G:G,"AAAAAF/ut2o=",0)</f>
        <v>0</v>
      </c>
      <c r="DD33" t="e">
        <f>IF(ТС_ППС!H:H,"AAAAAF/ut2s=",0)</f>
        <v>#VALUE!</v>
      </c>
      <c r="DE33" t="e">
        <f>IF(ТС_ППС!I:I,"AAAAAF/ut2w=",0)</f>
        <v>#VALUE!</v>
      </c>
      <c r="DF33">
        <f>IF(ТС_ППС!J:J,"AAAAAF/ut20=",0)</f>
        <v>0</v>
      </c>
      <c r="DG33">
        <f>IF(ТС_ППС!K:K,"AAAAAF/ut24=",0)</f>
        <v>0</v>
      </c>
      <c r="DH33">
        <f>IF(ТС_ППС!L:L,"AAAAAF/ut28=",0)</f>
        <v>0</v>
      </c>
      <c r="DI33">
        <f>IF(ТС_ППС!M:M,"AAAAAF/ut3A=",0)</f>
        <v>0</v>
      </c>
      <c r="DJ33">
        <f>IF(ТС_ППС!N:N,"AAAAAF/ut3E=",0)</f>
        <v>0</v>
      </c>
      <c r="DK33">
        <f>IF(ТС_ППС!O:O,"AAAAAF/ut3I=",0)</f>
        <v>0</v>
      </c>
      <c r="DL33">
        <f>IF(ТС!1:1,"AAAAAF/ut3M=",0)</f>
        <v>0</v>
      </c>
      <c r="DM33" t="e">
        <f>AND(ТС!A1,"AAAAAF/ut3Q=")</f>
        <v>#VALUE!</v>
      </c>
      <c r="DN33" t="e">
        <f>AND(ТС!B1,"AAAAAF/ut3U=")</f>
        <v>#VALUE!</v>
      </c>
      <c r="DO33" t="e">
        <f>AND(ТС!C1,"AAAAAF/ut3Y=")</f>
        <v>#VALUE!</v>
      </c>
      <c r="DP33" t="e">
        <f>AND(ТС!D1,"AAAAAF/ut3c=")</f>
        <v>#VALUE!</v>
      </c>
      <c r="DQ33" t="e">
        <f>AND(ТС!E1,"AAAAAF/ut3g=")</f>
        <v>#VALUE!</v>
      </c>
      <c r="DR33" t="e">
        <f>AND(ТС!F1,"AAAAAF/ut3k=")</f>
        <v>#VALUE!</v>
      </c>
      <c r="DS33" t="e">
        <f>AND(ТС!G1,"AAAAAF/ut3o=")</f>
        <v>#VALUE!</v>
      </c>
      <c r="DT33" t="e">
        <f>AND(ТС!H1,"AAAAAF/ut3s=")</f>
        <v>#VALUE!</v>
      </c>
      <c r="DU33" t="e">
        <f>AND(ТС!I1,"AAAAAF/ut3w=")</f>
        <v>#VALUE!</v>
      </c>
      <c r="DV33" t="e">
        <f>AND(ТС!J1,"AAAAAF/ut30=")</f>
        <v>#VALUE!</v>
      </c>
      <c r="DW33" t="e">
        <f>AND(ТС!K1,"AAAAAF/ut34=")</f>
        <v>#VALUE!</v>
      </c>
      <c r="DX33">
        <f>IF(ТС!2:2,"AAAAAF/ut38=",0)</f>
        <v>0</v>
      </c>
      <c r="DY33" t="e">
        <f>AND(ТС!A2,"AAAAAF/ut4A=")</f>
        <v>#VALUE!</v>
      </c>
      <c r="DZ33" t="e">
        <f>AND(ТС!B2,"AAAAAF/ut4E=")</f>
        <v>#VALUE!</v>
      </c>
      <c r="EA33" t="e">
        <f>AND(ТС!C2,"AAAAAF/ut4I=")</f>
        <v>#VALUE!</v>
      </c>
      <c r="EB33" t="e">
        <f>AND(ТС!D2,"AAAAAF/ut4M=")</f>
        <v>#VALUE!</v>
      </c>
      <c r="EC33" t="e">
        <f>AND(ТС!E2,"AAAAAF/ut4Q=")</f>
        <v>#VALUE!</v>
      </c>
      <c r="ED33" t="e">
        <f>AND(ТС!F2,"AAAAAF/ut4U=")</f>
        <v>#VALUE!</v>
      </c>
      <c r="EE33" t="e">
        <f>AND(ТС!G2,"AAAAAF/ut4Y=")</f>
        <v>#VALUE!</v>
      </c>
      <c r="EF33" t="e">
        <f>AND(ТС!H2,"AAAAAF/ut4c=")</f>
        <v>#VALUE!</v>
      </c>
      <c r="EG33" t="e">
        <f>AND(ТС!I2,"AAAAAF/ut4g=")</f>
        <v>#VALUE!</v>
      </c>
      <c r="EH33" t="e">
        <f>AND(ТС!J2,"AAAAAF/ut4k=")</f>
        <v>#VALUE!</v>
      </c>
      <c r="EI33" t="e">
        <f>AND(ТС!K2,"AAAAAF/ut4o=")</f>
        <v>#VALUE!</v>
      </c>
      <c r="EJ33">
        <f>IF(ТС!3:3,"AAAAAF/ut4s=",0)</f>
        <v>0</v>
      </c>
      <c r="EK33" t="e">
        <f>AND(ТС!A3,"AAAAAF/ut4w=")</f>
        <v>#VALUE!</v>
      </c>
      <c r="EL33" t="e">
        <f>AND(ТС!B3,"AAAAAF/ut40=")</f>
        <v>#VALUE!</v>
      </c>
      <c r="EM33" t="e">
        <f>AND(ТС!C3,"AAAAAF/ut44=")</f>
        <v>#VALUE!</v>
      </c>
      <c r="EN33" t="e">
        <f>AND(ТС!D3,"AAAAAF/ut48=")</f>
        <v>#VALUE!</v>
      </c>
      <c r="EO33" t="e">
        <f>AND(ТС!E3,"AAAAAF/ut5A=")</f>
        <v>#VALUE!</v>
      </c>
      <c r="EP33" t="e">
        <f>AND(ТС!F3,"AAAAAF/ut5E=")</f>
        <v>#VALUE!</v>
      </c>
      <c r="EQ33" t="e">
        <f>AND(ТС!G3,"AAAAAF/ut5I=")</f>
        <v>#VALUE!</v>
      </c>
      <c r="ER33" t="e">
        <f>AND(ТС!H3,"AAAAAF/ut5M=")</f>
        <v>#VALUE!</v>
      </c>
      <c r="ES33" t="e">
        <f>AND(ТС!I3,"AAAAAF/ut5Q=")</f>
        <v>#VALUE!</v>
      </c>
      <c r="ET33" t="e">
        <f>AND(ТС!J3,"AAAAAF/ut5U=")</f>
        <v>#VALUE!</v>
      </c>
      <c r="EU33" t="e">
        <f>AND(ТС!K3,"AAAAAF/ut5Y=")</f>
        <v>#VALUE!</v>
      </c>
      <c r="EV33">
        <f>IF(ТС!4:4,"AAAAAF/ut5c=",0)</f>
        <v>0</v>
      </c>
      <c r="EW33" t="e">
        <f>AND(ТС!A4,"AAAAAF/ut5g=")</f>
        <v>#VALUE!</v>
      </c>
      <c r="EX33" t="e">
        <f>AND(ТС!B4,"AAAAAF/ut5k=")</f>
        <v>#VALUE!</v>
      </c>
      <c r="EY33" t="e">
        <f>AND(ТС!C4,"AAAAAF/ut5o=")</f>
        <v>#VALUE!</v>
      </c>
      <c r="EZ33" t="e">
        <f>AND(ТС!D4,"AAAAAF/ut5s=")</f>
        <v>#VALUE!</v>
      </c>
      <c r="FA33" t="e">
        <f>AND(ТС!E4,"AAAAAF/ut5w=")</f>
        <v>#VALUE!</v>
      </c>
      <c r="FB33" t="e">
        <f>AND(ТС!F4,"AAAAAF/ut50=")</f>
        <v>#VALUE!</v>
      </c>
      <c r="FC33" t="e">
        <f>AND(ТС!G4,"AAAAAF/ut54=")</f>
        <v>#VALUE!</v>
      </c>
      <c r="FD33" t="e">
        <f>AND(ТС!H4,"AAAAAF/ut58=")</f>
        <v>#VALUE!</v>
      </c>
      <c r="FE33" t="e">
        <f>AND(ТС!I4,"AAAAAF/ut6A=")</f>
        <v>#VALUE!</v>
      </c>
      <c r="FF33" t="e">
        <f>AND(ТС!J4,"AAAAAF/ut6E=")</f>
        <v>#VALUE!</v>
      </c>
      <c r="FG33" t="e">
        <f>AND(ТС!K4,"AAAAAF/ut6I=")</f>
        <v>#VALUE!</v>
      </c>
      <c r="FH33">
        <f>IF(ТС!5:5,"AAAAAF/ut6M=",0)</f>
        <v>0</v>
      </c>
      <c r="FI33" t="e">
        <f>AND(ТС!A5,"AAAAAF/ut6Q=")</f>
        <v>#VALUE!</v>
      </c>
      <c r="FJ33" t="e">
        <f>AND(ТС!B5,"AAAAAF/ut6U=")</f>
        <v>#VALUE!</v>
      </c>
      <c r="FK33" t="e">
        <f>AND(ТС!C5,"AAAAAF/ut6Y=")</f>
        <v>#VALUE!</v>
      </c>
      <c r="FL33" t="e">
        <f>AND(ТС!D5,"AAAAAF/ut6c=")</f>
        <v>#VALUE!</v>
      </c>
      <c r="FM33" t="e">
        <f>AND(ТС!E5,"AAAAAF/ut6g=")</f>
        <v>#VALUE!</v>
      </c>
      <c r="FN33" t="e">
        <f>AND(ТС!F5,"AAAAAF/ut6k=")</f>
        <v>#VALUE!</v>
      </c>
      <c r="FO33" t="e">
        <f>AND(ТС!G5,"AAAAAF/ut6o=")</f>
        <v>#VALUE!</v>
      </c>
      <c r="FP33" t="e">
        <f>AND(ТС!H5,"AAAAAF/ut6s=")</f>
        <v>#VALUE!</v>
      </c>
      <c r="FQ33" t="e">
        <f>AND(ТС!I5,"AAAAAF/ut6w=")</f>
        <v>#VALUE!</v>
      </c>
      <c r="FR33" t="e">
        <f>AND(ТС!J5,"AAAAAF/ut60=")</f>
        <v>#VALUE!</v>
      </c>
      <c r="FS33" t="e">
        <f>AND(ТС!K5,"AAAAAF/ut64=")</f>
        <v>#VALUE!</v>
      </c>
      <c r="FT33">
        <f>IF(ТС!6:6,"AAAAAF/ut68=",0)</f>
        <v>0</v>
      </c>
      <c r="FU33" t="e">
        <f>AND(ТС!A6,"AAAAAF/ut7A=")</f>
        <v>#VALUE!</v>
      </c>
      <c r="FV33" t="e">
        <f>AND(ТС!B6,"AAAAAF/ut7E=")</f>
        <v>#VALUE!</v>
      </c>
      <c r="FW33" t="e">
        <f>AND(ТС!C6,"AAAAAF/ut7I=")</f>
        <v>#VALUE!</v>
      </c>
      <c r="FX33" t="e">
        <f>AND(ТС!D6,"AAAAAF/ut7M=")</f>
        <v>#VALUE!</v>
      </c>
      <c r="FY33" t="e">
        <f>AND(ТС!E6,"AAAAAF/ut7Q=")</f>
        <v>#VALUE!</v>
      </c>
      <c r="FZ33" t="e">
        <f>AND(ТС!F6,"AAAAAF/ut7U=")</f>
        <v>#VALUE!</v>
      </c>
      <c r="GA33" t="e">
        <f>AND(ТС!G6,"AAAAAF/ut7Y=")</f>
        <v>#VALUE!</v>
      </c>
      <c r="GB33" t="e">
        <f>AND(ТС!H6,"AAAAAF/ut7c=")</f>
        <v>#VALUE!</v>
      </c>
      <c r="GC33" t="e">
        <f>AND(ТС!I6,"AAAAAF/ut7g=")</f>
        <v>#VALUE!</v>
      </c>
      <c r="GD33" t="e">
        <f>AND(ТС!J6,"AAAAAF/ut7k=")</f>
        <v>#VALUE!</v>
      </c>
      <c r="GE33" t="e">
        <f>AND(ТС!K6,"AAAAAF/ut7o=")</f>
        <v>#VALUE!</v>
      </c>
      <c r="GF33">
        <f>IF(ТС!7:7,"AAAAAF/ut7s=",0)</f>
        <v>0</v>
      </c>
      <c r="GG33" t="e">
        <f>AND(ТС!A7,"AAAAAF/ut7w=")</f>
        <v>#VALUE!</v>
      </c>
      <c r="GH33" t="e">
        <f>AND(ТС!B7,"AAAAAF/ut70=")</f>
        <v>#VALUE!</v>
      </c>
      <c r="GI33" t="e">
        <f>AND(ТС!C7,"AAAAAF/ut74=")</f>
        <v>#VALUE!</v>
      </c>
      <c r="GJ33" t="e">
        <f>AND(ТС!D7,"AAAAAF/ut78=")</f>
        <v>#VALUE!</v>
      </c>
      <c r="GK33" t="e">
        <f>AND(ТС!E7,"AAAAAF/ut8A=")</f>
        <v>#VALUE!</v>
      </c>
      <c r="GL33" t="e">
        <f>AND(ТС!F7,"AAAAAF/ut8E=")</f>
        <v>#VALUE!</v>
      </c>
      <c r="GM33" t="e">
        <f>AND(ТС!G7,"AAAAAF/ut8I=")</f>
        <v>#VALUE!</v>
      </c>
      <c r="GN33" t="e">
        <f>AND(ТС!H7,"AAAAAF/ut8M=")</f>
        <v>#VALUE!</v>
      </c>
      <c r="GO33" t="e">
        <f>AND(ТС!I7,"AAAAAF/ut8Q=")</f>
        <v>#VALUE!</v>
      </c>
      <c r="GP33" t="e">
        <f>AND(ТС!J7,"AAAAAF/ut8U=")</f>
        <v>#VALUE!</v>
      </c>
      <c r="GQ33" t="e">
        <f>AND(ТС!K7,"AAAAAF/ut8Y=")</f>
        <v>#VALUE!</v>
      </c>
      <c r="GR33">
        <f>IF(ТС!8:8,"AAAAAF/ut8c=",0)</f>
        <v>0</v>
      </c>
      <c r="GS33" t="e">
        <f>AND(ТС!A8,"AAAAAF/ut8g=")</f>
        <v>#VALUE!</v>
      </c>
      <c r="GT33" t="e">
        <f>AND(ТС!B8,"AAAAAF/ut8k=")</f>
        <v>#VALUE!</v>
      </c>
      <c r="GU33" t="e">
        <f>AND(ТС!C8,"AAAAAF/ut8o=")</f>
        <v>#VALUE!</v>
      </c>
      <c r="GV33" t="e">
        <f>AND(ТС!D8,"AAAAAF/ut8s=")</f>
        <v>#VALUE!</v>
      </c>
      <c r="GW33" t="e">
        <f>AND(ТС!E8,"AAAAAF/ut8w=")</f>
        <v>#VALUE!</v>
      </c>
      <c r="GX33" t="e">
        <f>AND(ТС!F8,"AAAAAF/ut80=")</f>
        <v>#VALUE!</v>
      </c>
      <c r="GY33" t="e">
        <f>AND(ТС!G8,"AAAAAF/ut84=")</f>
        <v>#VALUE!</v>
      </c>
      <c r="GZ33" t="e">
        <f>AND(ТС!H8,"AAAAAF/ut88=")</f>
        <v>#VALUE!</v>
      </c>
      <c r="HA33" t="e">
        <f>AND(ТС!I8,"AAAAAF/ut9A=")</f>
        <v>#VALUE!</v>
      </c>
      <c r="HB33" t="e">
        <f>AND(ТС!J8,"AAAAAF/ut9E=")</f>
        <v>#VALUE!</v>
      </c>
      <c r="HC33" t="e">
        <f>AND(ТС!K8,"AAAAAF/ut9I=")</f>
        <v>#VALUE!</v>
      </c>
      <c r="HD33">
        <f>IF(ТС!9:9,"AAAAAF/ut9M=",0)</f>
        <v>0</v>
      </c>
      <c r="HE33" t="e">
        <f>AND(ТС!A9,"AAAAAF/ut9Q=")</f>
        <v>#VALUE!</v>
      </c>
      <c r="HF33" t="e">
        <f>AND(ТС!B9,"AAAAAF/ut9U=")</f>
        <v>#VALUE!</v>
      </c>
      <c r="HG33" t="e">
        <f>AND(ТС!C9,"AAAAAF/ut9Y=")</f>
        <v>#VALUE!</v>
      </c>
      <c r="HH33" t="e">
        <f>AND(ТС!D9,"AAAAAF/ut9c=")</f>
        <v>#VALUE!</v>
      </c>
      <c r="HI33" t="e">
        <f>AND(ТС!E9,"AAAAAF/ut9g=")</f>
        <v>#VALUE!</v>
      </c>
      <c r="HJ33" t="e">
        <f>AND(ТС!F9,"AAAAAF/ut9k=")</f>
        <v>#VALUE!</v>
      </c>
      <c r="HK33" t="e">
        <f>AND(ТС!G9,"AAAAAF/ut9o=")</f>
        <v>#VALUE!</v>
      </c>
      <c r="HL33" t="e">
        <f>AND(ТС!H9,"AAAAAF/ut9s=")</f>
        <v>#VALUE!</v>
      </c>
      <c r="HM33" t="e">
        <f>AND(ТС!I9,"AAAAAF/ut9w=")</f>
        <v>#VALUE!</v>
      </c>
      <c r="HN33" t="e">
        <f>AND(ТС!J9,"AAAAAF/ut90=")</f>
        <v>#VALUE!</v>
      </c>
      <c r="HO33" t="e">
        <f>AND(ТС!K9,"AAAAAF/ut94=")</f>
        <v>#VALUE!</v>
      </c>
      <c r="HP33">
        <f>IF(ТС!10:10,"AAAAAF/ut98=",0)</f>
        <v>0</v>
      </c>
      <c r="HQ33" t="e">
        <f>AND(ТС!A10,"AAAAAF/ut+A=")</f>
        <v>#VALUE!</v>
      </c>
      <c r="HR33" t="e">
        <f>AND(ТС!B10,"AAAAAF/ut+E=")</f>
        <v>#VALUE!</v>
      </c>
      <c r="HS33" t="e">
        <f>AND(ТС!C10,"AAAAAF/ut+I=")</f>
        <v>#VALUE!</v>
      </c>
      <c r="HT33" t="e">
        <f>AND(ТС!D10,"AAAAAF/ut+M=")</f>
        <v>#VALUE!</v>
      </c>
      <c r="HU33" t="e">
        <f>AND(ТС!E10,"AAAAAF/ut+Q=")</f>
        <v>#VALUE!</v>
      </c>
      <c r="HV33" t="e">
        <f>AND(ТС!F10,"AAAAAF/ut+U=")</f>
        <v>#VALUE!</v>
      </c>
      <c r="HW33" t="e">
        <f>AND(ТС!G10,"AAAAAF/ut+Y=")</f>
        <v>#VALUE!</v>
      </c>
      <c r="HX33" t="e">
        <f>AND(ТС!H10,"AAAAAF/ut+c=")</f>
        <v>#VALUE!</v>
      </c>
      <c r="HY33" t="e">
        <f>AND(ТС!I10,"AAAAAF/ut+g=")</f>
        <v>#VALUE!</v>
      </c>
      <c r="HZ33" t="e">
        <f>AND(ТС!J10,"AAAAAF/ut+k=")</f>
        <v>#VALUE!</v>
      </c>
      <c r="IA33" t="e">
        <f>AND(ТС!K10,"AAAAAF/ut+o=")</f>
        <v>#VALUE!</v>
      </c>
      <c r="IB33">
        <f>IF(ТС!11:11,"AAAAAF/ut+s=",0)</f>
        <v>0</v>
      </c>
      <c r="IC33" t="e">
        <f>AND(ТС!A11,"AAAAAF/ut+w=")</f>
        <v>#VALUE!</v>
      </c>
      <c r="ID33" t="e">
        <f>AND(ТС!B11,"AAAAAF/ut+0=")</f>
        <v>#VALUE!</v>
      </c>
      <c r="IE33" t="e">
        <f>AND(ТС!C11,"AAAAAF/ut+4=")</f>
        <v>#VALUE!</v>
      </c>
      <c r="IF33" t="e">
        <f>AND(ТС!D11,"AAAAAF/ut+8=")</f>
        <v>#VALUE!</v>
      </c>
      <c r="IG33" t="e">
        <f>AND(ТС!E11,"AAAAAF/ut/A=")</f>
        <v>#VALUE!</v>
      </c>
      <c r="IH33" t="e">
        <f>AND(ТС!F11,"AAAAAF/ut/E=")</f>
        <v>#VALUE!</v>
      </c>
      <c r="II33" t="e">
        <f>AND(ТС!G11,"AAAAAF/ut/I=")</f>
        <v>#VALUE!</v>
      </c>
      <c r="IJ33" t="e">
        <f>AND(ТС!H11,"AAAAAF/ut/M=")</f>
        <v>#VALUE!</v>
      </c>
      <c r="IK33" t="e">
        <f>AND(ТС!I11,"AAAAAF/ut/Q=")</f>
        <v>#VALUE!</v>
      </c>
      <c r="IL33" t="e">
        <f>AND(ТС!J11,"AAAAAF/ut/U=")</f>
        <v>#VALUE!</v>
      </c>
      <c r="IM33" t="e">
        <f>AND(ТС!K11,"AAAAAF/ut/Y=")</f>
        <v>#VALUE!</v>
      </c>
      <c r="IN33">
        <f>IF(ТС!12:12,"AAAAAF/ut/c=",0)</f>
        <v>0</v>
      </c>
      <c r="IO33" t="e">
        <f>AND(ТС!A12,"AAAAAF/ut/g=")</f>
        <v>#VALUE!</v>
      </c>
      <c r="IP33" t="e">
        <f>AND(ТС!B12,"AAAAAF/ut/k=")</f>
        <v>#VALUE!</v>
      </c>
      <c r="IQ33" t="e">
        <f>AND(ТС!C12,"AAAAAF/ut/o=")</f>
        <v>#VALUE!</v>
      </c>
      <c r="IR33" t="e">
        <f>AND(ТС!D12,"AAAAAF/ut/s=")</f>
        <v>#VALUE!</v>
      </c>
      <c r="IS33" t="e">
        <f>AND(ТС!E12,"AAAAAF/ut/w=")</f>
        <v>#VALUE!</v>
      </c>
      <c r="IT33" t="e">
        <f>AND(ТС!F12,"AAAAAF/ut/0=")</f>
        <v>#VALUE!</v>
      </c>
      <c r="IU33" t="e">
        <f>AND(ТС!G12,"AAAAAF/ut/4=")</f>
        <v>#VALUE!</v>
      </c>
      <c r="IV33" t="e">
        <f>AND(ТС!H12,"AAAAAF/ut/8=")</f>
        <v>#VALUE!</v>
      </c>
    </row>
    <row r="34" spans="1:256">
      <c r="A34" t="e">
        <f>AND(ТС!I12,"AAAAAGS//wA=")</f>
        <v>#VALUE!</v>
      </c>
      <c r="B34" t="e">
        <f>AND(ТС!J12,"AAAAAGS//wE=")</f>
        <v>#VALUE!</v>
      </c>
      <c r="C34" t="e">
        <f>AND(ТС!K12,"AAAAAGS//wI=")</f>
        <v>#VALUE!</v>
      </c>
      <c r="D34" t="e">
        <f>IF(ТС!13:13,"AAAAAGS//wM=",0)</f>
        <v>#VALUE!</v>
      </c>
      <c r="E34" t="e">
        <f>AND(ТС!A13,"AAAAAGS//wQ=")</f>
        <v>#VALUE!</v>
      </c>
      <c r="F34" t="e">
        <f>AND(ТС!B13,"AAAAAGS//wU=")</f>
        <v>#VALUE!</v>
      </c>
      <c r="G34" t="e">
        <f>AND(ТС!C13,"AAAAAGS//wY=")</f>
        <v>#VALUE!</v>
      </c>
      <c r="H34" t="e">
        <f>AND(ТС!D13,"AAAAAGS//wc=")</f>
        <v>#VALUE!</v>
      </c>
      <c r="I34" t="e">
        <f>AND(ТС!E13,"AAAAAGS//wg=")</f>
        <v>#VALUE!</v>
      </c>
      <c r="J34" t="e">
        <f>AND(ТС!F13,"AAAAAGS//wk=")</f>
        <v>#VALUE!</v>
      </c>
      <c r="K34" t="e">
        <f>AND(ТС!G13,"AAAAAGS//wo=")</f>
        <v>#VALUE!</v>
      </c>
      <c r="L34" t="e">
        <f>AND(ТС!H13,"AAAAAGS//ws=")</f>
        <v>#VALUE!</v>
      </c>
      <c r="M34" t="e">
        <f>AND(ТС!I13,"AAAAAGS//ww=")</f>
        <v>#VALUE!</v>
      </c>
      <c r="N34" t="e">
        <f>AND(ТС!J13,"AAAAAGS//w0=")</f>
        <v>#VALUE!</v>
      </c>
      <c r="O34" t="e">
        <f>AND(ТС!K13,"AAAAAGS//w4=")</f>
        <v>#VALUE!</v>
      </c>
      <c r="P34">
        <f>IF(ТС!14:14,"AAAAAGS//w8=",0)</f>
        <v>0</v>
      </c>
      <c r="Q34" t="e">
        <f>AND(ТС!A14,"AAAAAGS//xA=")</f>
        <v>#VALUE!</v>
      </c>
      <c r="R34" t="e">
        <f>AND(ТС!B14,"AAAAAGS//xE=")</f>
        <v>#VALUE!</v>
      </c>
      <c r="S34" t="e">
        <f>AND(ТС!C14,"AAAAAGS//xI=")</f>
        <v>#VALUE!</v>
      </c>
      <c r="T34" t="e">
        <f>AND(ТС!D14,"AAAAAGS//xM=")</f>
        <v>#VALUE!</v>
      </c>
      <c r="U34" t="e">
        <f>AND(ТС!E14,"AAAAAGS//xQ=")</f>
        <v>#VALUE!</v>
      </c>
      <c r="V34" t="e">
        <f>AND(ТС!F14,"AAAAAGS//xU=")</f>
        <v>#VALUE!</v>
      </c>
      <c r="W34" t="e">
        <f>AND(ТС!G14,"AAAAAGS//xY=")</f>
        <v>#VALUE!</v>
      </c>
      <c r="X34" t="e">
        <f>AND(ТС!H14,"AAAAAGS//xc=")</f>
        <v>#VALUE!</v>
      </c>
      <c r="Y34" t="e">
        <f>AND(ТС!I14,"AAAAAGS//xg=")</f>
        <v>#VALUE!</v>
      </c>
      <c r="Z34" t="e">
        <f>AND(ТС!J14,"AAAAAGS//xk=")</f>
        <v>#VALUE!</v>
      </c>
      <c r="AA34" t="e">
        <f>AND(ТС!K14,"AAAAAGS//xo=")</f>
        <v>#VALUE!</v>
      </c>
      <c r="AB34">
        <f>IF(ТС!15:15,"AAAAAGS//xs=",0)</f>
        <v>0</v>
      </c>
      <c r="AC34" t="e">
        <f>AND(ТС!A15,"AAAAAGS//xw=")</f>
        <v>#VALUE!</v>
      </c>
      <c r="AD34" t="e">
        <f>AND(ТС!B15,"AAAAAGS//x0=")</f>
        <v>#VALUE!</v>
      </c>
      <c r="AE34" t="e">
        <f>AND(ТС!C15,"AAAAAGS//x4=")</f>
        <v>#VALUE!</v>
      </c>
      <c r="AF34" t="e">
        <f>AND(ТС!D15,"AAAAAGS//x8=")</f>
        <v>#VALUE!</v>
      </c>
      <c r="AG34" t="e">
        <f>AND(ТС!E15,"AAAAAGS//yA=")</f>
        <v>#VALUE!</v>
      </c>
      <c r="AH34" t="e">
        <f>AND(ТС!F15,"AAAAAGS//yE=")</f>
        <v>#VALUE!</v>
      </c>
      <c r="AI34" t="e">
        <f>AND(ТС!G15,"AAAAAGS//yI=")</f>
        <v>#VALUE!</v>
      </c>
      <c r="AJ34" t="e">
        <f>AND(ТС!H15,"AAAAAGS//yM=")</f>
        <v>#VALUE!</v>
      </c>
      <c r="AK34" t="e">
        <f>AND(ТС!I15,"AAAAAGS//yQ=")</f>
        <v>#VALUE!</v>
      </c>
      <c r="AL34" t="e">
        <f>AND(ТС!J15,"AAAAAGS//yU=")</f>
        <v>#VALUE!</v>
      </c>
      <c r="AM34" t="e">
        <f>AND(ТС!K15,"AAAAAGS//yY=")</f>
        <v>#VALUE!</v>
      </c>
      <c r="AN34">
        <f>IF(ТС!16:16,"AAAAAGS//yc=",0)</f>
        <v>0</v>
      </c>
      <c r="AO34" t="e">
        <f>AND(ТС!A16,"AAAAAGS//yg=")</f>
        <v>#VALUE!</v>
      </c>
      <c r="AP34" t="e">
        <f>AND(ТС!B16,"AAAAAGS//yk=")</f>
        <v>#VALUE!</v>
      </c>
      <c r="AQ34" t="e">
        <f>AND(ТС!C16,"AAAAAGS//yo=")</f>
        <v>#VALUE!</v>
      </c>
      <c r="AR34" t="e">
        <f>AND(ТС!D16,"AAAAAGS//ys=")</f>
        <v>#VALUE!</v>
      </c>
      <c r="AS34" t="e">
        <f>AND(ТС!E16,"AAAAAGS//yw=")</f>
        <v>#VALUE!</v>
      </c>
      <c r="AT34" t="e">
        <f>AND(ТС!F16,"AAAAAGS//y0=")</f>
        <v>#VALUE!</v>
      </c>
      <c r="AU34" t="e">
        <f>AND(ТС!G16,"AAAAAGS//y4=")</f>
        <v>#VALUE!</v>
      </c>
      <c r="AV34" t="e">
        <f>AND(ТС!H16,"AAAAAGS//y8=")</f>
        <v>#VALUE!</v>
      </c>
      <c r="AW34" t="e">
        <f>AND(ТС!I16,"AAAAAGS//zA=")</f>
        <v>#VALUE!</v>
      </c>
      <c r="AX34" t="e">
        <f>AND(ТС!J16,"AAAAAGS//zE=")</f>
        <v>#VALUE!</v>
      </c>
      <c r="AY34" t="e">
        <f>AND(ТС!K16,"AAAAAGS//zI=")</f>
        <v>#VALUE!</v>
      </c>
      <c r="AZ34">
        <f>IF(ТС!17:17,"AAAAAGS//zM=",0)</f>
        <v>0</v>
      </c>
      <c r="BA34" t="e">
        <f>AND(ТС!A17,"AAAAAGS//zQ=")</f>
        <v>#VALUE!</v>
      </c>
      <c r="BB34" t="e">
        <f>AND(ТС!B17,"AAAAAGS//zU=")</f>
        <v>#VALUE!</v>
      </c>
      <c r="BC34" t="e">
        <f>AND(ТС!C17,"AAAAAGS//zY=")</f>
        <v>#VALUE!</v>
      </c>
      <c r="BD34" t="e">
        <f>AND(ТС!D17,"AAAAAGS//zc=")</f>
        <v>#VALUE!</v>
      </c>
      <c r="BE34" t="e">
        <f>AND(ТС!E17,"AAAAAGS//zg=")</f>
        <v>#VALUE!</v>
      </c>
      <c r="BF34" t="e">
        <f>AND(ТС!F17,"AAAAAGS//zk=")</f>
        <v>#VALUE!</v>
      </c>
      <c r="BG34" t="e">
        <f>AND(ТС!G17,"AAAAAGS//zo=")</f>
        <v>#VALUE!</v>
      </c>
      <c r="BH34" t="e">
        <f>AND(ТС!H17,"AAAAAGS//zs=")</f>
        <v>#VALUE!</v>
      </c>
      <c r="BI34" t="e">
        <f>AND(ТС!I17,"AAAAAGS//zw=")</f>
        <v>#VALUE!</v>
      </c>
      <c r="BJ34" t="e">
        <f>AND(ТС!J17,"AAAAAGS//z0=")</f>
        <v>#VALUE!</v>
      </c>
      <c r="BK34" t="e">
        <f>AND(ТС!K17,"AAAAAGS//z4=")</f>
        <v>#VALUE!</v>
      </c>
      <c r="BL34">
        <f>IF(ТС!18:18,"AAAAAGS//z8=",0)</f>
        <v>0</v>
      </c>
      <c r="BM34" t="e">
        <f>AND(ТС!A18,"AAAAAGS//0A=")</f>
        <v>#VALUE!</v>
      </c>
      <c r="BN34" t="e">
        <f>AND(ТС!B18,"AAAAAGS//0E=")</f>
        <v>#VALUE!</v>
      </c>
      <c r="BO34" t="e">
        <f>AND(ТС!C18,"AAAAAGS//0I=")</f>
        <v>#VALUE!</v>
      </c>
      <c r="BP34" t="e">
        <f>AND(ТС!D18,"AAAAAGS//0M=")</f>
        <v>#VALUE!</v>
      </c>
      <c r="BQ34" t="e">
        <f>AND(ТС!E18,"AAAAAGS//0Q=")</f>
        <v>#VALUE!</v>
      </c>
      <c r="BR34" t="e">
        <f>AND(ТС!F18,"AAAAAGS//0U=")</f>
        <v>#VALUE!</v>
      </c>
      <c r="BS34" t="e">
        <f>AND(ТС!G18,"AAAAAGS//0Y=")</f>
        <v>#VALUE!</v>
      </c>
      <c r="BT34" t="e">
        <f>AND(ТС!H18,"AAAAAGS//0c=")</f>
        <v>#VALUE!</v>
      </c>
      <c r="BU34" t="e">
        <f>AND(ТС!I18,"AAAAAGS//0g=")</f>
        <v>#VALUE!</v>
      </c>
      <c r="BV34" t="e">
        <f>AND(ТС!J18,"AAAAAGS//0k=")</f>
        <v>#VALUE!</v>
      </c>
      <c r="BW34" t="e">
        <f>AND(ТС!K18,"AAAAAGS//0o=")</f>
        <v>#VALUE!</v>
      </c>
      <c r="BX34">
        <f>IF(ТС!19:19,"AAAAAGS//0s=",0)</f>
        <v>0</v>
      </c>
      <c r="BY34" t="e">
        <f>AND(ТС!A19,"AAAAAGS//0w=")</f>
        <v>#VALUE!</v>
      </c>
      <c r="BZ34" t="e">
        <f>AND(ТС!B19,"AAAAAGS//00=")</f>
        <v>#VALUE!</v>
      </c>
      <c r="CA34" t="e">
        <f>AND(ТС!C19,"AAAAAGS//04=")</f>
        <v>#VALUE!</v>
      </c>
      <c r="CB34" t="e">
        <f>AND(ТС!D19,"AAAAAGS//08=")</f>
        <v>#VALUE!</v>
      </c>
      <c r="CC34" t="e">
        <f>AND(ТС!E19,"AAAAAGS//1A=")</f>
        <v>#VALUE!</v>
      </c>
      <c r="CD34" t="e">
        <f>AND(ТС!F19,"AAAAAGS//1E=")</f>
        <v>#VALUE!</v>
      </c>
      <c r="CE34" t="e">
        <f>AND(ТС!G19,"AAAAAGS//1I=")</f>
        <v>#VALUE!</v>
      </c>
      <c r="CF34" t="e">
        <f>AND(ТС!H19,"AAAAAGS//1M=")</f>
        <v>#VALUE!</v>
      </c>
      <c r="CG34" t="e">
        <f>AND(ТС!I19,"AAAAAGS//1Q=")</f>
        <v>#VALUE!</v>
      </c>
      <c r="CH34" t="e">
        <f>AND(ТС!J19,"AAAAAGS//1U=")</f>
        <v>#VALUE!</v>
      </c>
      <c r="CI34" t="e">
        <f>AND(ТС!K19,"AAAAAGS//1Y=")</f>
        <v>#VALUE!</v>
      </c>
      <c r="CJ34">
        <f>IF(ТС!20:20,"AAAAAGS//1c=",0)</f>
        <v>0</v>
      </c>
      <c r="CK34" t="e">
        <f>AND(ТС!A20,"AAAAAGS//1g=")</f>
        <v>#VALUE!</v>
      </c>
      <c r="CL34" t="e">
        <f>AND(ТС!B20,"AAAAAGS//1k=")</f>
        <v>#VALUE!</v>
      </c>
      <c r="CM34" t="e">
        <f>AND(ТС!C20,"AAAAAGS//1o=")</f>
        <v>#VALUE!</v>
      </c>
      <c r="CN34" t="e">
        <f>AND(ТС!D20,"AAAAAGS//1s=")</f>
        <v>#VALUE!</v>
      </c>
      <c r="CO34" t="e">
        <f>AND(ТС!E20,"AAAAAGS//1w=")</f>
        <v>#VALUE!</v>
      </c>
      <c r="CP34" t="e">
        <f>AND(ТС!F20,"AAAAAGS//10=")</f>
        <v>#VALUE!</v>
      </c>
      <c r="CQ34" t="e">
        <f>AND(ТС!G20,"AAAAAGS//14=")</f>
        <v>#VALUE!</v>
      </c>
      <c r="CR34" t="e">
        <f>AND(ТС!H20,"AAAAAGS//18=")</f>
        <v>#VALUE!</v>
      </c>
      <c r="CS34" t="e">
        <f>AND(ТС!I20,"AAAAAGS//2A=")</f>
        <v>#VALUE!</v>
      </c>
      <c r="CT34" t="e">
        <f>AND(ТС!J20,"AAAAAGS//2E=")</f>
        <v>#VALUE!</v>
      </c>
      <c r="CU34" t="e">
        <f>AND(ТС!K20,"AAAAAGS//2I=")</f>
        <v>#VALUE!</v>
      </c>
      <c r="CV34">
        <f>IF(ТС!21:21,"AAAAAGS//2M=",0)</f>
        <v>0</v>
      </c>
      <c r="CW34" t="e">
        <f>AND(ТС!A21,"AAAAAGS//2Q=")</f>
        <v>#VALUE!</v>
      </c>
      <c r="CX34" t="e">
        <f>AND(ТС!B21,"AAAAAGS//2U=")</f>
        <v>#VALUE!</v>
      </c>
      <c r="CY34" t="e">
        <f>AND(ТС!C21,"AAAAAGS//2Y=")</f>
        <v>#VALUE!</v>
      </c>
      <c r="CZ34" t="e">
        <f>AND(ТС!D21,"AAAAAGS//2c=")</f>
        <v>#VALUE!</v>
      </c>
      <c r="DA34" t="e">
        <f>AND(ТС!E21,"AAAAAGS//2g=")</f>
        <v>#VALUE!</v>
      </c>
      <c r="DB34" t="e">
        <f>AND(ТС!F21,"AAAAAGS//2k=")</f>
        <v>#VALUE!</v>
      </c>
      <c r="DC34" t="e">
        <f>AND(ТС!G21,"AAAAAGS//2o=")</f>
        <v>#VALUE!</v>
      </c>
      <c r="DD34" t="e">
        <f>AND(ТС!H21,"AAAAAGS//2s=")</f>
        <v>#VALUE!</v>
      </c>
      <c r="DE34" t="e">
        <f>AND(ТС!I21,"AAAAAGS//2w=")</f>
        <v>#VALUE!</v>
      </c>
      <c r="DF34" t="e">
        <f>AND(ТС!J21,"AAAAAGS//20=")</f>
        <v>#VALUE!</v>
      </c>
      <c r="DG34" t="e">
        <f>AND(ТС!K21,"AAAAAGS//24=")</f>
        <v>#VALUE!</v>
      </c>
      <c r="DH34">
        <f>IF(ТС!22:22,"AAAAAGS//28=",0)</f>
        <v>0</v>
      </c>
      <c r="DI34" t="e">
        <f>AND(ТС!A22,"AAAAAGS//3A=")</f>
        <v>#VALUE!</v>
      </c>
      <c r="DJ34" t="e">
        <f>AND(ТС!B22,"AAAAAGS//3E=")</f>
        <v>#VALUE!</v>
      </c>
      <c r="DK34" t="e">
        <f>AND(ТС!C22,"AAAAAGS//3I=")</f>
        <v>#VALUE!</v>
      </c>
      <c r="DL34" t="e">
        <f>AND(ТС!D22,"AAAAAGS//3M=")</f>
        <v>#VALUE!</v>
      </c>
      <c r="DM34" t="e">
        <f>AND(ТС!E22,"AAAAAGS//3Q=")</f>
        <v>#VALUE!</v>
      </c>
      <c r="DN34" t="e">
        <f>AND(ТС!F22,"AAAAAGS//3U=")</f>
        <v>#VALUE!</v>
      </c>
      <c r="DO34" t="e">
        <f>AND(ТС!G22,"AAAAAGS//3Y=")</f>
        <v>#VALUE!</v>
      </c>
      <c r="DP34" t="e">
        <f>AND(ТС!H22,"AAAAAGS//3c=")</f>
        <v>#VALUE!</v>
      </c>
      <c r="DQ34" t="e">
        <f>AND(ТС!I22,"AAAAAGS//3g=")</f>
        <v>#VALUE!</v>
      </c>
      <c r="DR34" t="e">
        <f>AND(ТС!J22,"AAAAAGS//3k=")</f>
        <v>#VALUE!</v>
      </c>
      <c r="DS34" t="e">
        <f>AND(ТС!K22,"AAAAAGS//3o=")</f>
        <v>#VALUE!</v>
      </c>
      <c r="DT34">
        <f>IF(ТС!23:23,"AAAAAGS//3s=",0)</f>
        <v>0</v>
      </c>
      <c r="DU34" t="e">
        <f>AND(ТС!A23,"AAAAAGS//3w=")</f>
        <v>#VALUE!</v>
      </c>
      <c r="DV34" t="e">
        <f>AND(ТС!B23,"AAAAAGS//30=")</f>
        <v>#VALUE!</v>
      </c>
      <c r="DW34" t="e">
        <f>AND(ТС!C23,"AAAAAGS//34=")</f>
        <v>#VALUE!</v>
      </c>
      <c r="DX34" t="e">
        <f>AND(ТС!D23,"AAAAAGS//38=")</f>
        <v>#VALUE!</v>
      </c>
      <c r="DY34" t="e">
        <f>AND(ТС!E23,"AAAAAGS//4A=")</f>
        <v>#VALUE!</v>
      </c>
      <c r="DZ34" t="e">
        <f>AND(ТС!F23,"AAAAAGS//4E=")</f>
        <v>#VALUE!</v>
      </c>
      <c r="EA34" t="e">
        <f>AND(ТС!G23,"AAAAAGS//4I=")</f>
        <v>#VALUE!</v>
      </c>
      <c r="EB34" t="e">
        <f>AND(ТС!H23,"AAAAAGS//4M=")</f>
        <v>#VALUE!</v>
      </c>
      <c r="EC34" t="e">
        <f>AND(ТС!I23,"AAAAAGS//4Q=")</f>
        <v>#VALUE!</v>
      </c>
      <c r="ED34" t="e">
        <f>AND(ТС!J23,"AAAAAGS//4U=")</f>
        <v>#VALUE!</v>
      </c>
      <c r="EE34" t="e">
        <f>AND(ТС!K23,"AAAAAGS//4Y=")</f>
        <v>#VALUE!</v>
      </c>
      <c r="EF34">
        <f>IF(ТС!24:24,"AAAAAGS//4c=",0)</f>
        <v>0</v>
      </c>
      <c r="EG34" t="e">
        <f>AND(ТС!A24,"AAAAAGS//4g=")</f>
        <v>#VALUE!</v>
      </c>
      <c r="EH34" t="e">
        <f>AND(ТС!B24,"AAAAAGS//4k=")</f>
        <v>#VALUE!</v>
      </c>
      <c r="EI34" t="e">
        <f>AND(ТС!C24,"AAAAAGS//4o=")</f>
        <v>#VALUE!</v>
      </c>
      <c r="EJ34" t="e">
        <f>AND(ТС!D24,"AAAAAGS//4s=")</f>
        <v>#VALUE!</v>
      </c>
      <c r="EK34" t="e">
        <f>AND(ТС!E24,"AAAAAGS//4w=")</f>
        <v>#VALUE!</v>
      </c>
      <c r="EL34" t="e">
        <f>AND(ТС!F24,"AAAAAGS//40=")</f>
        <v>#VALUE!</v>
      </c>
      <c r="EM34" t="e">
        <f>AND(ТС!G24,"AAAAAGS//44=")</f>
        <v>#VALUE!</v>
      </c>
      <c r="EN34" t="e">
        <f>AND(ТС!H24,"AAAAAGS//48=")</f>
        <v>#VALUE!</v>
      </c>
      <c r="EO34" t="e">
        <f>AND(ТС!I24,"AAAAAGS//5A=")</f>
        <v>#VALUE!</v>
      </c>
      <c r="EP34" t="e">
        <f>AND(ТС!J24,"AAAAAGS//5E=")</f>
        <v>#VALUE!</v>
      </c>
      <c r="EQ34" t="e">
        <f>AND(ТС!K24,"AAAAAGS//5I=")</f>
        <v>#VALUE!</v>
      </c>
      <c r="ER34">
        <f>IF(ТС!25:25,"AAAAAGS//5M=",0)</f>
        <v>0</v>
      </c>
      <c r="ES34" t="e">
        <f>AND(ТС!A25,"AAAAAGS//5Q=")</f>
        <v>#VALUE!</v>
      </c>
      <c r="ET34" t="e">
        <f>AND(ТС!B25,"AAAAAGS//5U=")</f>
        <v>#VALUE!</v>
      </c>
      <c r="EU34" t="e">
        <f>AND(ТС!C25,"AAAAAGS//5Y=")</f>
        <v>#VALUE!</v>
      </c>
      <c r="EV34" t="e">
        <f>AND(ТС!D25,"AAAAAGS//5c=")</f>
        <v>#VALUE!</v>
      </c>
      <c r="EW34" t="e">
        <f>AND(ТС!E25,"AAAAAGS//5g=")</f>
        <v>#VALUE!</v>
      </c>
      <c r="EX34" t="e">
        <f>AND(ТС!F25,"AAAAAGS//5k=")</f>
        <v>#VALUE!</v>
      </c>
      <c r="EY34" t="e">
        <f>AND(ТС!G25,"AAAAAGS//5o=")</f>
        <v>#VALUE!</v>
      </c>
      <c r="EZ34" t="e">
        <f>AND(ТС!H25,"AAAAAGS//5s=")</f>
        <v>#VALUE!</v>
      </c>
      <c r="FA34" t="e">
        <f>AND(ТС!I25,"AAAAAGS//5w=")</f>
        <v>#VALUE!</v>
      </c>
      <c r="FB34" t="e">
        <f>AND(ТС!J25,"AAAAAGS//50=")</f>
        <v>#VALUE!</v>
      </c>
      <c r="FC34" t="e">
        <f>AND(ТС!K25,"AAAAAGS//54=")</f>
        <v>#VALUE!</v>
      </c>
      <c r="FD34">
        <f>IF(ТС!26:26,"AAAAAGS//58=",0)</f>
        <v>0</v>
      </c>
      <c r="FE34" t="e">
        <f>AND(ТС!A26,"AAAAAGS//6A=")</f>
        <v>#VALUE!</v>
      </c>
      <c r="FF34" t="e">
        <f>AND(ТС!B26,"AAAAAGS//6E=")</f>
        <v>#VALUE!</v>
      </c>
      <c r="FG34" t="e">
        <f>AND(ТС!C26,"AAAAAGS//6I=")</f>
        <v>#VALUE!</v>
      </c>
      <c r="FH34" t="e">
        <f>AND(ТС!D26,"AAAAAGS//6M=")</f>
        <v>#VALUE!</v>
      </c>
      <c r="FI34" t="e">
        <f>AND(ТС!E26,"AAAAAGS//6Q=")</f>
        <v>#VALUE!</v>
      </c>
      <c r="FJ34" t="e">
        <f>AND(ТС!F26,"AAAAAGS//6U=")</f>
        <v>#VALUE!</v>
      </c>
      <c r="FK34" t="e">
        <f>AND(ТС!G26,"AAAAAGS//6Y=")</f>
        <v>#VALUE!</v>
      </c>
      <c r="FL34" t="e">
        <f>AND(ТС!H26,"AAAAAGS//6c=")</f>
        <v>#VALUE!</v>
      </c>
      <c r="FM34" t="e">
        <f>AND(ТС!I26,"AAAAAGS//6g=")</f>
        <v>#VALUE!</v>
      </c>
      <c r="FN34" t="e">
        <f>AND(ТС!J26,"AAAAAGS//6k=")</f>
        <v>#VALUE!</v>
      </c>
      <c r="FO34" t="e">
        <f>AND(ТС!K26,"AAAAAGS//6o=")</f>
        <v>#VALUE!</v>
      </c>
      <c r="FP34">
        <f>IF(ТС!27:27,"AAAAAGS//6s=",0)</f>
        <v>0</v>
      </c>
      <c r="FQ34" t="e">
        <f>AND(ТС!A27,"AAAAAGS//6w=")</f>
        <v>#VALUE!</v>
      </c>
      <c r="FR34" t="e">
        <f>AND(ТС!B27,"AAAAAGS//60=")</f>
        <v>#VALUE!</v>
      </c>
      <c r="FS34" t="e">
        <f>AND(ТС!C27,"AAAAAGS//64=")</f>
        <v>#VALUE!</v>
      </c>
      <c r="FT34" t="e">
        <f>AND(ТС!D27,"AAAAAGS//68=")</f>
        <v>#VALUE!</v>
      </c>
      <c r="FU34" t="e">
        <f>AND(ТС!E27,"AAAAAGS//7A=")</f>
        <v>#VALUE!</v>
      </c>
      <c r="FV34" t="e">
        <f>AND(ТС!F27,"AAAAAGS//7E=")</f>
        <v>#VALUE!</v>
      </c>
      <c r="FW34" t="e">
        <f>AND(ТС!G27,"AAAAAGS//7I=")</f>
        <v>#VALUE!</v>
      </c>
      <c r="FX34" t="e">
        <f>AND(ТС!H27,"AAAAAGS//7M=")</f>
        <v>#VALUE!</v>
      </c>
      <c r="FY34" t="e">
        <f>AND(ТС!I27,"AAAAAGS//7Q=")</f>
        <v>#VALUE!</v>
      </c>
      <c r="FZ34" t="e">
        <f>AND(ТС!J27,"AAAAAGS//7U=")</f>
        <v>#VALUE!</v>
      </c>
      <c r="GA34" t="e">
        <f>AND(ТС!K27,"AAAAAGS//7Y=")</f>
        <v>#VALUE!</v>
      </c>
      <c r="GB34">
        <f>IF(ТС!28:28,"AAAAAGS//7c=",0)</f>
        <v>0</v>
      </c>
      <c r="GC34" t="e">
        <f>AND(ТС!A28,"AAAAAGS//7g=")</f>
        <v>#VALUE!</v>
      </c>
      <c r="GD34" t="e">
        <f>AND(ТС!B28,"AAAAAGS//7k=")</f>
        <v>#VALUE!</v>
      </c>
      <c r="GE34" t="e">
        <f>AND(ТС!C28,"AAAAAGS//7o=")</f>
        <v>#VALUE!</v>
      </c>
      <c r="GF34" t="e">
        <f>AND(ТС!D28,"AAAAAGS//7s=")</f>
        <v>#VALUE!</v>
      </c>
      <c r="GG34" t="e">
        <f>AND(ТС!E28,"AAAAAGS//7w=")</f>
        <v>#VALUE!</v>
      </c>
      <c r="GH34" t="e">
        <f>AND(ТС!F28,"AAAAAGS//70=")</f>
        <v>#VALUE!</v>
      </c>
      <c r="GI34" t="e">
        <f>AND(ТС!G28,"AAAAAGS//74=")</f>
        <v>#VALUE!</v>
      </c>
      <c r="GJ34" t="e">
        <f>AND(ТС!H28,"AAAAAGS//78=")</f>
        <v>#VALUE!</v>
      </c>
      <c r="GK34" t="e">
        <f>AND(ТС!I28,"AAAAAGS//8A=")</f>
        <v>#VALUE!</v>
      </c>
      <c r="GL34" t="e">
        <f>AND(ТС!J28,"AAAAAGS//8E=")</f>
        <v>#VALUE!</v>
      </c>
      <c r="GM34" t="e">
        <f>AND(ТС!K28,"AAAAAGS//8I=")</f>
        <v>#VALUE!</v>
      </c>
      <c r="GN34">
        <f>IF(ТС!29:29,"AAAAAGS//8M=",0)</f>
        <v>0</v>
      </c>
      <c r="GO34" t="e">
        <f>AND(ТС!A29,"AAAAAGS//8Q=")</f>
        <v>#VALUE!</v>
      </c>
      <c r="GP34" t="e">
        <f>AND(ТС!B29,"AAAAAGS//8U=")</f>
        <v>#VALUE!</v>
      </c>
      <c r="GQ34" t="e">
        <f>AND(ТС!C29,"AAAAAGS//8Y=")</f>
        <v>#VALUE!</v>
      </c>
      <c r="GR34" t="e">
        <f>AND(ТС!D29,"AAAAAGS//8c=")</f>
        <v>#VALUE!</v>
      </c>
      <c r="GS34" t="e">
        <f>AND(ТС!E29,"AAAAAGS//8g=")</f>
        <v>#VALUE!</v>
      </c>
      <c r="GT34" t="e">
        <f>AND(ТС!F29,"AAAAAGS//8k=")</f>
        <v>#VALUE!</v>
      </c>
      <c r="GU34" t="e">
        <f>AND(ТС!G29,"AAAAAGS//8o=")</f>
        <v>#VALUE!</v>
      </c>
      <c r="GV34" t="e">
        <f>AND(ТС!H29,"AAAAAGS//8s=")</f>
        <v>#VALUE!</v>
      </c>
      <c r="GW34" t="e">
        <f>AND(ТС!I29,"AAAAAGS//8w=")</f>
        <v>#VALUE!</v>
      </c>
      <c r="GX34" t="e">
        <f>AND(ТС!J29,"AAAAAGS//80=")</f>
        <v>#VALUE!</v>
      </c>
      <c r="GY34" t="e">
        <f>AND(ТС!K29,"AAAAAGS//84=")</f>
        <v>#VALUE!</v>
      </c>
      <c r="GZ34">
        <f>IF(ТС!30:30,"AAAAAGS//88=",0)</f>
        <v>0</v>
      </c>
      <c r="HA34" t="e">
        <f>AND(ТС!A30,"AAAAAGS//9A=")</f>
        <v>#VALUE!</v>
      </c>
      <c r="HB34" t="e">
        <f>AND(ТС!B30,"AAAAAGS//9E=")</f>
        <v>#VALUE!</v>
      </c>
      <c r="HC34" t="e">
        <f>AND(ТС!C30,"AAAAAGS//9I=")</f>
        <v>#VALUE!</v>
      </c>
      <c r="HD34" t="e">
        <f>AND(ТС!D30,"AAAAAGS//9M=")</f>
        <v>#VALUE!</v>
      </c>
      <c r="HE34" t="e">
        <f>AND(ТС!E30,"AAAAAGS//9Q=")</f>
        <v>#VALUE!</v>
      </c>
      <c r="HF34" t="e">
        <f>AND(ТС!F30,"AAAAAGS//9U=")</f>
        <v>#VALUE!</v>
      </c>
      <c r="HG34" t="e">
        <f>AND(ТС!G30,"AAAAAGS//9Y=")</f>
        <v>#VALUE!</v>
      </c>
      <c r="HH34" t="e">
        <f>AND(ТС!H30,"AAAAAGS//9c=")</f>
        <v>#VALUE!</v>
      </c>
      <c r="HI34" t="e">
        <f>AND(ТС!I30,"AAAAAGS//9g=")</f>
        <v>#VALUE!</v>
      </c>
      <c r="HJ34" t="e">
        <f>AND(ТС!J30,"AAAAAGS//9k=")</f>
        <v>#VALUE!</v>
      </c>
      <c r="HK34" t="e">
        <f>AND(ТС!K30,"AAAAAGS//9o=")</f>
        <v>#VALUE!</v>
      </c>
      <c r="HL34">
        <f>IF(ТС!31:31,"AAAAAGS//9s=",0)</f>
        <v>0</v>
      </c>
      <c r="HM34" t="e">
        <f>AND(ТС!A31,"AAAAAGS//9w=")</f>
        <v>#VALUE!</v>
      </c>
      <c r="HN34" t="e">
        <f>AND(ТС!B31,"AAAAAGS//90=")</f>
        <v>#VALUE!</v>
      </c>
      <c r="HO34" t="e">
        <f>AND(ТС!C31,"AAAAAGS//94=")</f>
        <v>#VALUE!</v>
      </c>
      <c r="HP34" t="e">
        <f>AND(ТС!D31,"AAAAAGS//98=")</f>
        <v>#VALUE!</v>
      </c>
      <c r="HQ34" t="e">
        <f>AND(ТС!E31,"AAAAAGS//+A=")</f>
        <v>#VALUE!</v>
      </c>
      <c r="HR34" t="e">
        <f>AND(ТС!F31,"AAAAAGS//+E=")</f>
        <v>#VALUE!</v>
      </c>
      <c r="HS34" t="e">
        <f>AND(ТС!G31,"AAAAAGS//+I=")</f>
        <v>#VALUE!</v>
      </c>
      <c r="HT34" t="e">
        <f>AND(ТС!H31,"AAAAAGS//+M=")</f>
        <v>#VALUE!</v>
      </c>
      <c r="HU34" t="e">
        <f>AND(ТС!I31,"AAAAAGS//+Q=")</f>
        <v>#VALUE!</v>
      </c>
      <c r="HV34" t="e">
        <f>AND(ТС!J31,"AAAAAGS//+U=")</f>
        <v>#VALUE!</v>
      </c>
      <c r="HW34" t="e">
        <f>AND(ТС!K31,"AAAAAGS//+Y=")</f>
        <v>#VALUE!</v>
      </c>
      <c r="HX34">
        <f>IF(ТС!32:32,"AAAAAGS//+c=",0)</f>
        <v>0</v>
      </c>
      <c r="HY34" t="e">
        <f>AND(ТС!A32,"AAAAAGS//+g=")</f>
        <v>#VALUE!</v>
      </c>
      <c r="HZ34" t="e">
        <f>AND(ТС!B32,"AAAAAGS//+k=")</f>
        <v>#VALUE!</v>
      </c>
      <c r="IA34" t="e">
        <f>AND(ТС!C32,"AAAAAGS//+o=")</f>
        <v>#VALUE!</v>
      </c>
      <c r="IB34" t="e">
        <f>AND(ТС!D32,"AAAAAGS//+s=")</f>
        <v>#VALUE!</v>
      </c>
      <c r="IC34" t="e">
        <f>AND(ТС!E32,"AAAAAGS//+w=")</f>
        <v>#VALUE!</v>
      </c>
      <c r="ID34" t="e">
        <f>AND(ТС!F32,"AAAAAGS//+0=")</f>
        <v>#VALUE!</v>
      </c>
      <c r="IE34" t="e">
        <f>AND(ТС!G32,"AAAAAGS//+4=")</f>
        <v>#VALUE!</v>
      </c>
      <c r="IF34" t="e">
        <f>AND(ТС!H32,"AAAAAGS//+8=")</f>
        <v>#VALUE!</v>
      </c>
      <c r="IG34" t="e">
        <f>AND(ТС!I32,"AAAAAGS///A=")</f>
        <v>#VALUE!</v>
      </c>
      <c r="IH34" t="e">
        <f>AND(ТС!J32,"AAAAAGS///E=")</f>
        <v>#VALUE!</v>
      </c>
      <c r="II34" t="e">
        <f>AND(ТС!K32,"AAAAAGS///I=")</f>
        <v>#VALUE!</v>
      </c>
      <c r="IJ34">
        <f>IF(ТС!33:33,"AAAAAGS///M=",0)</f>
        <v>0</v>
      </c>
      <c r="IK34" t="e">
        <f>AND(ТС!A33,"AAAAAGS///Q=")</f>
        <v>#VALUE!</v>
      </c>
      <c r="IL34" t="e">
        <f>AND(ТС!B33,"AAAAAGS///U=")</f>
        <v>#VALUE!</v>
      </c>
      <c r="IM34" t="e">
        <f>AND(ТС!C33,"AAAAAGS///Y=")</f>
        <v>#VALUE!</v>
      </c>
      <c r="IN34" t="e">
        <f>AND(ТС!D33,"AAAAAGS///c=")</f>
        <v>#VALUE!</v>
      </c>
      <c r="IO34" t="e">
        <f>AND(ТС!E33,"AAAAAGS///g=")</f>
        <v>#VALUE!</v>
      </c>
      <c r="IP34" t="e">
        <f>AND(ТС!F33,"AAAAAGS///k=")</f>
        <v>#VALUE!</v>
      </c>
      <c r="IQ34" t="e">
        <f>AND(ТС!G33,"AAAAAGS///o=")</f>
        <v>#VALUE!</v>
      </c>
      <c r="IR34" t="e">
        <f>AND(ТС!H33,"AAAAAGS///s=")</f>
        <v>#VALUE!</v>
      </c>
      <c r="IS34" t="e">
        <f>AND(ТС!I33,"AAAAAGS///w=")</f>
        <v>#VALUE!</v>
      </c>
      <c r="IT34" t="e">
        <f>AND(ТС!J33,"AAAAAGS///0=")</f>
        <v>#VALUE!</v>
      </c>
      <c r="IU34" t="e">
        <f>AND(ТС!K33,"AAAAAGS///4=")</f>
        <v>#VALUE!</v>
      </c>
      <c r="IV34">
        <f>IF(ТС!34:34,"AAAAAGS///8=",0)</f>
        <v>0</v>
      </c>
    </row>
    <row r="35" spans="1:256">
      <c r="A35" t="e">
        <f>AND(ТС!A34,"AAAAAFv//wA=")</f>
        <v>#VALUE!</v>
      </c>
      <c r="B35" t="e">
        <f>AND(ТС!B34,"AAAAAFv//wE=")</f>
        <v>#VALUE!</v>
      </c>
      <c r="C35" t="e">
        <f>AND(ТС!C34,"AAAAAFv//wI=")</f>
        <v>#VALUE!</v>
      </c>
      <c r="D35" t="e">
        <f>AND(ТС!D34,"AAAAAFv//wM=")</f>
        <v>#VALUE!</v>
      </c>
      <c r="E35" t="e">
        <f>AND(ТС!E34,"AAAAAFv//wQ=")</f>
        <v>#VALUE!</v>
      </c>
      <c r="F35" t="e">
        <f>AND(ТС!F34,"AAAAAFv//wU=")</f>
        <v>#VALUE!</v>
      </c>
      <c r="G35" t="e">
        <f>AND(ТС!G34,"AAAAAFv//wY=")</f>
        <v>#VALUE!</v>
      </c>
      <c r="H35" t="e">
        <f>AND(ТС!H34,"AAAAAFv//wc=")</f>
        <v>#VALUE!</v>
      </c>
      <c r="I35" t="e">
        <f>AND(ТС!I34,"AAAAAFv//wg=")</f>
        <v>#VALUE!</v>
      </c>
      <c r="J35" t="e">
        <f>AND(ТС!J34,"AAAAAFv//wk=")</f>
        <v>#VALUE!</v>
      </c>
      <c r="K35" t="e">
        <f>AND(ТС!K34,"AAAAAFv//wo=")</f>
        <v>#VALUE!</v>
      </c>
      <c r="L35">
        <f>IF(ТС!35:35,"AAAAAFv//ws=",0)</f>
        <v>0</v>
      </c>
      <c r="M35" t="e">
        <f>AND(ТС!A35,"AAAAAFv//ww=")</f>
        <v>#VALUE!</v>
      </c>
      <c r="N35" t="e">
        <f>AND(ТС!B35,"AAAAAFv//w0=")</f>
        <v>#VALUE!</v>
      </c>
      <c r="O35" t="e">
        <f>AND(ТС!C35,"AAAAAFv//w4=")</f>
        <v>#VALUE!</v>
      </c>
      <c r="P35" t="e">
        <f>AND(ТС!D35,"AAAAAFv//w8=")</f>
        <v>#VALUE!</v>
      </c>
      <c r="Q35" t="e">
        <f>AND(ТС!E35,"AAAAAFv//xA=")</f>
        <v>#VALUE!</v>
      </c>
      <c r="R35" t="e">
        <f>AND(ТС!F35,"AAAAAFv//xE=")</f>
        <v>#VALUE!</v>
      </c>
      <c r="S35" t="e">
        <f>AND(ТС!G35,"AAAAAFv//xI=")</f>
        <v>#VALUE!</v>
      </c>
      <c r="T35" t="e">
        <f>AND(ТС!H35,"AAAAAFv//xM=")</f>
        <v>#VALUE!</v>
      </c>
      <c r="U35" t="e">
        <f>AND(ТС!I35,"AAAAAFv//xQ=")</f>
        <v>#VALUE!</v>
      </c>
      <c r="V35" t="e">
        <f>AND(ТС!J35,"AAAAAFv//xU=")</f>
        <v>#VALUE!</v>
      </c>
      <c r="W35" t="e">
        <f>AND(ТС!K35,"AAAAAFv//xY=")</f>
        <v>#VALUE!</v>
      </c>
      <c r="X35">
        <f>IF(ТС!36:36,"AAAAAFv//xc=",0)</f>
        <v>0</v>
      </c>
      <c r="Y35" t="e">
        <f>AND(ТС!A36,"AAAAAFv//xg=")</f>
        <v>#VALUE!</v>
      </c>
      <c r="Z35" t="e">
        <f>AND(ТС!B36,"AAAAAFv//xk=")</f>
        <v>#VALUE!</v>
      </c>
      <c r="AA35" t="e">
        <f>AND(ТС!C36,"AAAAAFv//xo=")</f>
        <v>#VALUE!</v>
      </c>
      <c r="AB35" t="e">
        <f>AND(ТС!D36,"AAAAAFv//xs=")</f>
        <v>#VALUE!</v>
      </c>
      <c r="AC35" t="e">
        <f>AND(ТС!E36,"AAAAAFv//xw=")</f>
        <v>#VALUE!</v>
      </c>
      <c r="AD35" t="e">
        <f>AND(ТС!F36,"AAAAAFv//x0=")</f>
        <v>#VALUE!</v>
      </c>
      <c r="AE35" t="e">
        <f>AND(ТС!G36,"AAAAAFv//x4=")</f>
        <v>#VALUE!</v>
      </c>
      <c r="AF35" t="e">
        <f>AND(ТС!H36,"AAAAAFv//x8=")</f>
        <v>#VALUE!</v>
      </c>
      <c r="AG35" t="e">
        <f>AND(ТС!I36,"AAAAAFv//yA=")</f>
        <v>#VALUE!</v>
      </c>
      <c r="AH35" t="e">
        <f>AND(ТС!J36,"AAAAAFv//yE=")</f>
        <v>#VALUE!</v>
      </c>
      <c r="AI35" t="e">
        <f>AND(ТС!K36,"AAAAAFv//yI=")</f>
        <v>#VALUE!</v>
      </c>
      <c r="AJ35">
        <f>IF(ТС!37:37,"AAAAAFv//yM=",0)</f>
        <v>0</v>
      </c>
      <c r="AK35" t="e">
        <f>AND(ТС!A37,"AAAAAFv//yQ=")</f>
        <v>#VALUE!</v>
      </c>
      <c r="AL35" t="e">
        <f>AND(ТС!B37,"AAAAAFv//yU=")</f>
        <v>#VALUE!</v>
      </c>
      <c r="AM35" t="e">
        <f>AND(ТС!C37,"AAAAAFv//yY=")</f>
        <v>#VALUE!</v>
      </c>
      <c r="AN35" t="e">
        <f>AND(ТС!D37,"AAAAAFv//yc=")</f>
        <v>#VALUE!</v>
      </c>
      <c r="AO35" t="e">
        <f>AND(ТС!E37,"AAAAAFv//yg=")</f>
        <v>#VALUE!</v>
      </c>
      <c r="AP35" t="e">
        <f>AND(ТС!F37,"AAAAAFv//yk=")</f>
        <v>#VALUE!</v>
      </c>
      <c r="AQ35" t="e">
        <f>AND(ТС!G37,"AAAAAFv//yo=")</f>
        <v>#VALUE!</v>
      </c>
      <c r="AR35" t="e">
        <f>AND(ТС!H37,"AAAAAFv//ys=")</f>
        <v>#VALUE!</v>
      </c>
      <c r="AS35" t="e">
        <f>AND(ТС!I37,"AAAAAFv//yw=")</f>
        <v>#VALUE!</v>
      </c>
      <c r="AT35" t="e">
        <f>AND(ТС!J37,"AAAAAFv//y0=")</f>
        <v>#VALUE!</v>
      </c>
      <c r="AU35" t="e">
        <f>AND(ТС!K37,"AAAAAFv//y4=")</f>
        <v>#VALUE!</v>
      </c>
      <c r="AV35">
        <f>IF(ТС!38:38,"AAAAAFv//y8=",0)</f>
        <v>0</v>
      </c>
      <c r="AW35" t="e">
        <f>AND(ТС!A38,"AAAAAFv//zA=")</f>
        <v>#VALUE!</v>
      </c>
      <c r="AX35" t="e">
        <f>AND(ТС!B38,"AAAAAFv//zE=")</f>
        <v>#VALUE!</v>
      </c>
      <c r="AY35" t="e">
        <f>AND(ТС!C38,"AAAAAFv//zI=")</f>
        <v>#VALUE!</v>
      </c>
      <c r="AZ35" t="e">
        <f>AND(ТС!D38,"AAAAAFv//zM=")</f>
        <v>#VALUE!</v>
      </c>
      <c r="BA35" t="e">
        <f>AND(ТС!E38,"AAAAAFv//zQ=")</f>
        <v>#VALUE!</v>
      </c>
      <c r="BB35" t="e">
        <f>AND(ТС!F38,"AAAAAFv//zU=")</f>
        <v>#VALUE!</v>
      </c>
      <c r="BC35" t="e">
        <f>AND(ТС!G38,"AAAAAFv//zY=")</f>
        <v>#VALUE!</v>
      </c>
      <c r="BD35" t="e">
        <f>AND(ТС!H38,"AAAAAFv//zc=")</f>
        <v>#VALUE!</v>
      </c>
      <c r="BE35" t="e">
        <f>AND(ТС!I38,"AAAAAFv//zg=")</f>
        <v>#VALUE!</v>
      </c>
      <c r="BF35" t="e">
        <f>AND(ТС!J38,"AAAAAFv//zk=")</f>
        <v>#VALUE!</v>
      </c>
      <c r="BG35" t="e">
        <f>AND(ТС!K38,"AAAAAFv//zo=")</f>
        <v>#VALUE!</v>
      </c>
      <c r="BH35">
        <f>IF(ТС!39:39,"AAAAAFv//zs=",0)</f>
        <v>0</v>
      </c>
      <c r="BI35" t="e">
        <f>AND(ТС!A39,"AAAAAFv//zw=")</f>
        <v>#VALUE!</v>
      </c>
      <c r="BJ35" t="e">
        <f>AND(ТС!B39,"AAAAAFv//z0=")</f>
        <v>#VALUE!</v>
      </c>
      <c r="BK35" t="e">
        <f>AND(ТС!C39,"AAAAAFv//z4=")</f>
        <v>#VALUE!</v>
      </c>
      <c r="BL35" t="e">
        <f>AND(ТС!D39,"AAAAAFv//z8=")</f>
        <v>#VALUE!</v>
      </c>
      <c r="BM35" t="e">
        <f>AND(ТС!E39,"AAAAAFv//0A=")</f>
        <v>#VALUE!</v>
      </c>
      <c r="BN35" t="e">
        <f>AND(ТС!F39,"AAAAAFv//0E=")</f>
        <v>#VALUE!</v>
      </c>
      <c r="BO35" t="e">
        <f>AND(ТС!G39,"AAAAAFv//0I=")</f>
        <v>#VALUE!</v>
      </c>
      <c r="BP35" t="e">
        <f>AND(ТС!H39,"AAAAAFv//0M=")</f>
        <v>#VALUE!</v>
      </c>
      <c r="BQ35" t="e">
        <f>AND(ТС!I39,"AAAAAFv//0Q=")</f>
        <v>#VALUE!</v>
      </c>
      <c r="BR35" t="e">
        <f>AND(ТС!J39,"AAAAAFv//0U=")</f>
        <v>#VALUE!</v>
      </c>
      <c r="BS35" t="e">
        <f>AND(ТС!K39,"AAAAAFv//0Y=")</f>
        <v>#VALUE!</v>
      </c>
      <c r="BT35">
        <f>IF(ТС!40:40,"AAAAAFv//0c=",0)</f>
        <v>0</v>
      </c>
      <c r="BU35" t="e">
        <f>AND(ТС!A40,"AAAAAFv//0g=")</f>
        <v>#VALUE!</v>
      </c>
      <c r="BV35" t="e">
        <f>AND(ТС!B40,"AAAAAFv//0k=")</f>
        <v>#VALUE!</v>
      </c>
      <c r="BW35" t="e">
        <f>AND(ТС!C40,"AAAAAFv//0o=")</f>
        <v>#VALUE!</v>
      </c>
      <c r="BX35" t="e">
        <f>AND(ТС!D40,"AAAAAFv//0s=")</f>
        <v>#VALUE!</v>
      </c>
      <c r="BY35" t="e">
        <f>AND(ТС!E40,"AAAAAFv//0w=")</f>
        <v>#VALUE!</v>
      </c>
      <c r="BZ35" t="e">
        <f>AND(ТС!F40,"AAAAAFv//00=")</f>
        <v>#VALUE!</v>
      </c>
      <c r="CA35" t="e">
        <f>AND(ТС!G40,"AAAAAFv//04=")</f>
        <v>#VALUE!</v>
      </c>
      <c r="CB35" t="e">
        <f>AND(ТС!H40,"AAAAAFv//08=")</f>
        <v>#VALUE!</v>
      </c>
      <c r="CC35" t="e">
        <f>AND(ТС!I40,"AAAAAFv//1A=")</f>
        <v>#VALUE!</v>
      </c>
      <c r="CD35" t="e">
        <f>AND(ТС!J40,"AAAAAFv//1E=")</f>
        <v>#VALUE!</v>
      </c>
      <c r="CE35" t="e">
        <f>AND(ТС!K40,"AAAAAFv//1I=")</f>
        <v>#VALUE!</v>
      </c>
      <c r="CF35">
        <f>IF(ТС!41:41,"AAAAAFv//1M=",0)</f>
        <v>0</v>
      </c>
      <c r="CG35" t="e">
        <f>AND(ТС!A41,"AAAAAFv//1Q=")</f>
        <v>#VALUE!</v>
      </c>
      <c r="CH35" t="e">
        <f>AND(ТС!B41,"AAAAAFv//1U=")</f>
        <v>#VALUE!</v>
      </c>
      <c r="CI35" t="e">
        <f>AND(ТС!C41,"AAAAAFv//1Y=")</f>
        <v>#VALUE!</v>
      </c>
      <c r="CJ35" t="e">
        <f>AND(ТС!D41,"AAAAAFv//1c=")</f>
        <v>#VALUE!</v>
      </c>
      <c r="CK35" t="e">
        <f>AND(ТС!E41,"AAAAAFv//1g=")</f>
        <v>#VALUE!</v>
      </c>
      <c r="CL35" t="e">
        <f>AND(ТС!F41,"AAAAAFv//1k=")</f>
        <v>#VALUE!</v>
      </c>
      <c r="CM35" t="e">
        <f>AND(ТС!G41,"AAAAAFv//1o=")</f>
        <v>#VALUE!</v>
      </c>
      <c r="CN35" t="e">
        <f>AND(ТС!H41,"AAAAAFv//1s=")</f>
        <v>#VALUE!</v>
      </c>
      <c r="CO35" t="e">
        <f>AND(ТС!I41,"AAAAAFv//1w=")</f>
        <v>#VALUE!</v>
      </c>
      <c r="CP35" t="e">
        <f>AND(ТС!J41,"AAAAAFv//10=")</f>
        <v>#VALUE!</v>
      </c>
      <c r="CQ35" t="e">
        <f>AND(ТС!K41,"AAAAAFv//14=")</f>
        <v>#VALUE!</v>
      </c>
      <c r="CR35">
        <f>IF(ТС!42:42,"AAAAAFv//18=",0)</f>
        <v>0</v>
      </c>
      <c r="CS35" t="e">
        <f>AND(ТС!A42,"AAAAAFv//2A=")</f>
        <v>#VALUE!</v>
      </c>
      <c r="CT35" t="e">
        <f>AND(ТС!B42,"AAAAAFv//2E=")</f>
        <v>#VALUE!</v>
      </c>
      <c r="CU35" t="e">
        <f>AND(ТС!C42,"AAAAAFv//2I=")</f>
        <v>#VALUE!</v>
      </c>
      <c r="CV35" t="e">
        <f>AND(ТС!D42,"AAAAAFv//2M=")</f>
        <v>#VALUE!</v>
      </c>
      <c r="CW35" t="e">
        <f>AND(ТС!E42,"AAAAAFv//2Q=")</f>
        <v>#VALUE!</v>
      </c>
      <c r="CX35" t="e">
        <f>AND(ТС!F42,"AAAAAFv//2U=")</f>
        <v>#VALUE!</v>
      </c>
      <c r="CY35" t="e">
        <f>AND(ТС!G42,"AAAAAFv//2Y=")</f>
        <v>#VALUE!</v>
      </c>
      <c r="CZ35" t="e">
        <f>AND(ТС!H42,"AAAAAFv//2c=")</f>
        <v>#VALUE!</v>
      </c>
      <c r="DA35" t="e">
        <f>AND(ТС!I42,"AAAAAFv//2g=")</f>
        <v>#VALUE!</v>
      </c>
      <c r="DB35" t="e">
        <f>AND(ТС!J42,"AAAAAFv//2k=")</f>
        <v>#VALUE!</v>
      </c>
      <c r="DC35" t="e">
        <f>AND(ТС!K42,"AAAAAFv//2o=")</f>
        <v>#VALUE!</v>
      </c>
      <c r="DD35">
        <f>IF(ТС!43:43,"AAAAAFv//2s=",0)</f>
        <v>0</v>
      </c>
      <c r="DE35" t="e">
        <f>AND(ТС!A43,"AAAAAFv//2w=")</f>
        <v>#VALUE!</v>
      </c>
      <c r="DF35" t="e">
        <f>AND(ТС!B43,"AAAAAFv//20=")</f>
        <v>#VALUE!</v>
      </c>
      <c r="DG35" t="e">
        <f>AND(ТС!C43,"AAAAAFv//24=")</f>
        <v>#VALUE!</v>
      </c>
      <c r="DH35" t="e">
        <f>AND(ТС!D43,"AAAAAFv//28=")</f>
        <v>#VALUE!</v>
      </c>
      <c r="DI35" t="e">
        <f>AND(ТС!E43,"AAAAAFv//3A=")</f>
        <v>#VALUE!</v>
      </c>
      <c r="DJ35" t="e">
        <f>AND(ТС!F43,"AAAAAFv//3E=")</f>
        <v>#VALUE!</v>
      </c>
      <c r="DK35" t="e">
        <f>AND(ТС!G43,"AAAAAFv//3I=")</f>
        <v>#VALUE!</v>
      </c>
      <c r="DL35" t="e">
        <f>AND(ТС!H43,"AAAAAFv//3M=")</f>
        <v>#VALUE!</v>
      </c>
      <c r="DM35" t="e">
        <f>AND(ТС!I43,"AAAAAFv//3Q=")</f>
        <v>#VALUE!</v>
      </c>
      <c r="DN35" t="e">
        <f>AND(ТС!J43,"AAAAAFv//3U=")</f>
        <v>#VALUE!</v>
      </c>
      <c r="DO35" t="e">
        <f>AND(ТС!K43,"AAAAAFv//3Y=")</f>
        <v>#VALUE!</v>
      </c>
      <c r="DP35">
        <f>IF(ТС!44:44,"AAAAAFv//3c=",0)</f>
        <v>0</v>
      </c>
      <c r="DQ35" t="e">
        <f>AND(ТС!A44,"AAAAAFv//3g=")</f>
        <v>#VALUE!</v>
      </c>
      <c r="DR35" t="e">
        <f>AND(ТС!B44,"AAAAAFv//3k=")</f>
        <v>#VALUE!</v>
      </c>
      <c r="DS35" t="e">
        <f>AND(ТС!C44,"AAAAAFv//3o=")</f>
        <v>#VALUE!</v>
      </c>
      <c r="DT35" t="e">
        <f>AND(ТС!D44,"AAAAAFv//3s=")</f>
        <v>#VALUE!</v>
      </c>
      <c r="DU35" t="e">
        <f>AND(ТС!E44,"AAAAAFv//3w=")</f>
        <v>#VALUE!</v>
      </c>
      <c r="DV35" t="e">
        <f>AND(ТС!F44,"AAAAAFv//30=")</f>
        <v>#VALUE!</v>
      </c>
      <c r="DW35" t="e">
        <f>AND(ТС!G44,"AAAAAFv//34=")</f>
        <v>#VALUE!</v>
      </c>
      <c r="DX35" t="e">
        <f>AND(ТС!H44,"AAAAAFv//38=")</f>
        <v>#VALUE!</v>
      </c>
      <c r="DY35" t="e">
        <f>AND(ТС!I44,"AAAAAFv//4A=")</f>
        <v>#VALUE!</v>
      </c>
      <c r="DZ35" t="e">
        <f>AND(ТС!J44,"AAAAAFv//4E=")</f>
        <v>#VALUE!</v>
      </c>
      <c r="EA35" t="e">
        <f>AND(ТС!K44,"AAAAAFv//4I=")</f>
        <v>#VALUE!</v>
      </c>
      <c r="EB35">
        <f>IF(ТС!45:45,"AAAAAFv//4M=",0)</f>
        <v>0</v>
      </c>
      <c r="EC35" t="e">
        <f>AND(ТС!A45,"AAAAAFv//4Q=")</f>
        <v>#VALUE!</v>
      </c>
      <c r="ED35" t="e">
        <f>AND(ТС!B45,"AAAAAFv//4U=")</f>
        <v>#VALUE!</v>
      </c>
      <c r="EE35" t="e">
        <f>AND(ТС!C45,"AAAAAFv//4Y=")</f>
        <v>#VALUE!</v>
      </c>
      <c r="EF35" t="e">
        <f>AND(ТС!D45,"AAAAAFv//4c=")</f>
        <v>#VALUE!</v>
      </c>
      <c r="EG35" t="e">
        <f>AND(ТС!E45,"AAAAAFv//4g=")</f>
        <v>#VALUE!</v>
      </c>
      <c r="EH35" t="e">
        <f>AND(ТС!F45,"AAAAAFv//4k=")</f>
        <v>#VALUE!</v>
      </c>
      <c r="EI35" t="e">
        <f>AND(ТС!G45,"AAAAAFv//4o=")</f>
        <v>#VALUE!</v>
      </c>
      <c r="EJ35" t="e">
        <f>AND(ТС!H45,"AAAAAFv//4s=")</f>
        <v>#VALUE!</v>
      </c>
      <c r="EK35" t="e">
        <f>AND(ТС!I45,"AAAAAFv//4w=")</f>
        <v>#VALUE!</v>
      </c>
      <c r="EL35" t="e">
        <f>AND(ТС!J45,"AAAAAFv//40=")</f>
        <v>#VALUE!</v>
      </c>
      <c r="EM35" t="e">
        <f>AND(ТС!K45,"AAAAAFv//44=")</f>
        <v>#VALUE!</v>
      </c>
      <c r="EN35">
        <f>IF(ТС!46:46,"AAAAAFv//48=",0)</f>
        <v>0</v>
      </c>
      <c r="EO35" t="e">
        <f>AND(ТС!A46,"AAAAAFv//5A=")</f>
        <v>#VALUE!</v>
      </c>
      <c r="EP35" t="e">
        <f>AND(ТС!B46,"AAAAAFv//5E=")</f>
        <v>#VALUE!</v>
      </c>
      <c r="EQ35" t="e">
        <f>AND(ТС!C46,"AAAAAFv//5I=")</f>
        <v>#VALUE!</v>
      </c>
      <c r="ER35" t="e">
        <f>AND(ТС!D46,"AAAAAFv//5M=")</f>
        <v>#VALUE!</v>
      </c>
      <c r="ES35" t="e">
        <f>AND(ТС!E46,"AAAAAFv//5Q=")</f>
        <v>#VALUE!</v>
      </c>
      <c r="ET35" t="e">
        <f>AND(ТС!F46,"AAAAAFv//5U=")</f>
        <v>#VALUE!</v>
      </c>
      <c r="EU35" t="e">
        <f>AND(ТС!G46,"AAAAAFv//5Y=")</f>
        <v>#VALUE!</v>
      </c>
      <c r="EV35" t="e">
        <f>AND(ТС!H46,"AAAAAFv//5c=")</f>
        <v>#VALUE!</v>
      </c>
      <c r="EW35" t="e">
        <f>AND(ТС!I46,"AAAAAFv//5g=")</f>
        <v>#VALUE!</v>
      </c>
      <c r="EX35" t="e">
        <f>AND(ТС!J46,"AAAAAFv//5k=")</f>
        <v>#VALUE!</v>
      </c>
      <c r="EY35" t="e">
        <f>AND(ТС!K46,"AAAAAFv//5o=")</f>
        <v>#VALUE!</v>
      </c>
      <c r="EZ35">
        <f>IF(ТС!47:47,"AAAAAFv//5s=",0)</f>
        <v>0</v>
      </c>
      <c r="FA35" t="e">
        <f>AND(ТС!A47,"AAAAAFv//5w=")</f>
        <v>#VALUE!</v>
      </c>
      <c r="FB35" t="e">
        <f>AND(ТС!B47,"AAAAAFv//50=")</f>
        <v>#VALUE!</v>
      </c>
      <c r="FC35" t="e">
        <f>AND(ТС!C47,"AAAAAFv//54=")</f>
        <v>#VALUE!</v>
      </c>
      <c r="FD35" t="e">
        <f>AND(ТС!D47,"AAAAAFv//58=")</f>
        <v>#VALUE!</v>
      </c>
      <c r="FE35" t="e">
        <f>AND(ТС!E47,"AAAAAFv//6A=")</f>
        <v>#VALUE!</v>
      </c>
      <c r="FF35" t="e">
        <f>AND(ТС!F47,"AAAAAFv//6E=")</f>
        <v>#VALUE!</v>
      </c>
      <c r="FG35" t="e">
        <f>AND(ТС!G47,"AAAAAFv//6I=")</f>
        <v>#VALUE!</v>
      </c>
      <c r="FH35" t="e">
        <f>AND(ТС!H47,"AAAAAFv//6M=")</f>
        <v>#VALUE!</v>
      </c>
      <c r="FI35" t="e">
        <f>AND(ТС!I47,"AAAAAFv//6Q=")</f>
        <v>#VALUE!</v>
      </c>
      <c r="FJ35" t="e">
        <f>AND(ТС!J47,"AAAAAFv//6U=")</f>
        <v>#VALUE!</v>
      </c>
      <c r="FK35" t="e">
        <f>AND(ТС!K47,"AAAAAFv//6Y=")</f>
        <v>#VALUE!</v>
      </c>
      <c r="FL35">
        <f>IF(ТС!48:48,"AAAAAFv//6c=",0)</f>
        <v>0</v>
      </c>
      <c r="FM35" t="e">
        <f>AND(ТС!A48,"AAAAAFv//6g=")</f>
        <v>#VALUE!</v>
      </c>
      <c r="FN35" t="e">
        <f>AND(ТС!B48,"AAAAAFv//6k=")</f>
        <v>#VALUE!</v>
      </c>
      <c r="FO35" t="e">
        <f>AND(ТС!C48,"AAAAAFv//6o=")</f>
        <v>#VALUE!</v>
      </c>
      <c r="FP35" t="e">
        <f>AND(ТС!D48,"AAAAAFv//6s=")</f>
        <v>#VALUE!</v>
      </c>
      <c r="FQ35" t="e">
        <f>AND(ТС!E48,"AAAAAFv//6w=")</f>
        <v>#VALUE!</v>
      </c>
      <c r="FR35" t="e">
        <f>AND(ТС!F48,"AAAAAFv//60=")</f>
        <v>#VALUE!</v>
      </c>
      <c r="FS35" t="e">
        <f>AND(ТС!G48,"AAAAAFv//64=")</f>
        <v>#VALUE!</v>
      </c>
      <c r="FT35" t="e">
        <f>AND(ТС!H48,"AAAAAFv//68=")</f>
        <v>#VALUE!</v>
      </c>
      <c r="FU35" t="e">
        <f>AND(ТС!I48,"AAAAAFv//7A=")</f>
        <v>#VALUE!</v>
      </c>
      <c r="FV35" t="e">
        <f>AND(ТС!J48,"AAAAAFv//7E=")</f>
        <v>#VALUE!</v>
      </c>
      <c r="FW35" t="e">
        <f>AND(ТС!K48,"AAAAAFv//7I=")</f>
        <v>#VALUE!</v>
      </c>
      <c r="FX35">
        <f>IF(ТС!49:49,"AAAAAFv//7M=",0)</f>
        <v>0</v>
      </c>
      <c r="FY35" t="e">
        <f>AND(ТС!A49,"AAAAAFv//7Q=")</f>
        <v>#VALUE!</v>
      </c>
      <c r="FZ35" t="e">
        <f>AND(ТС!B49,"AAAAAFv//7U=")</f>
        <v>#VALUE!</v>
      </c>
      <c r="GA35" t="e">
        <f>AND(ТС!C49,"AAAAAFv//7Y=")</f>
        <v>#VALUE!</v>
      </c>
      <c r="GB35" t="e">
        <f>AND(ТС!D49,"AAAAAFv//7c=")</f>
        <v>#VALUE!</v>
      </c>
      <c r="GC35" t="e">
        <f>AND(ТС!E49,"AAAAAFv//7g=")</f>
        <v>#VALUE!</v>
      </c>
      <c r="GD35" t="e">
        <f>AND(ТС!F49,"AAAAAFv//7k=")</f>
        <v>#VALUE!</v>
      </c>
      <c r="GE35" t="e">
        <f>AND(ТС!G49,"AAAAAFv//7o=")</f>
        <v>#VALUE!</v>
      </c>
      <c r="GF35" t="e">
        <f>AND(ТС!H49,"AAAAAFv//7s=")</f>
        <v>#VALUE!</v>
      </c>
      <c r="GG35" t="e">
        <f>AND(ТС!I49,"AAAAAFv//7w=")</f>
        <v>#VALUE!</v>
      </c>
      <c r="GH35" t="e">
        <f>AND(ТС!J49,"AAAAAFv//70=")</f>
        <v>#VALUE!</v>
      </c>
      <c r="GI35" t="e">
        <f>AND(ТС!K49,"AAAAAFv//74=")</f>
        <v>#VALUE!</v>
      </c>
      <c r="GJ35">
        <f>IF(ТС!50:50,"AAAAAFv//78=",0)</f>
        <v>0</v>
      </c>
      <c r="GK35" t="e">
        <f>AND(ТС!A50,"AAAAAFv//8A=")</f>
        <v>#VALUE!</v>
      </c>
      <c r="GL35" t="e">
        <f>AND(ТС!B50,"AAAAAFv//8E=")</f>
        <v>#VALUE!</v>
      </c>
      <c r="GM35" t="e">
        <f>AND(ТС!C50,"AAAAAFv//8I=")</f>
        <v>#VALUE!</v>
      </c>
      <c r="GN35" t="e">
        <f>AND(ТС!D50,"AAAAAFv//8M=")</f>
        <v>#VALUE!</v>
      </c>
      <c r="GO35" t="e">
        <f>AND(ТС!E50,"AAAAAFv//8Q=")</f>
        <v>#VALUE!</v>
      </c>
      <c r="GP35" t="e">
        <f>AND(ТС!F50,"AAAAAFv//8U=")</f>
        <v>#VALUE!</v>
      </c>
      <c r="GQ35" t="e">
        <f>AND(ТС!G50,"AAAAAFv//8Y=")</f>
        <v>#VALUE!</v>
      </c>
      <c r="GR35" t="e">
        <f>AND(ТС!H50,"AAAAAFv//8c=")</f>
        <v>#VALUE!</v>
      </c>
      <c r="GS35" t="e">
        <f>AND(ТС!I50,"AAAAAFv//8g=")</f>
        <v>#VALUE!</v>
      </c>
      <c r="GT35" t="e">
        <f>AND(ТС!J50,"AAAAAFv//8k=")</f>
        <v>#VALUE!</v>
      </c>
      <c r="GU35" t="e">
        <f>AND(ТС!K50,"AAAAAFv//8o=")</f>
        <v>#VALUE!</v>
      </c>
      <c r="GV35">
        <f>IF(ТС!51:51,"AAAAAFv//8s=",0)</f>
        <v>0</v>
      </c>
      <c r="GW35" t="e">
        <f>AND(ТС!A51,"AAAAAFv//8w=")</f>
        <v>#VALUE!</v>
      </c>
      <c r="GX35" t="e">
        <f>AND(ТС!B51,"AAAAAFv//80=")</f>
        <v>#VALUE!</v>
      </c>
      <c r="GY35" t="e">
        <f>AND(ТС!C51,"AAAAAFv//84=")</f>
        <v>#VALUE!</v>
      </c>
      <c r="GZ35" t="e">
        <f>AND(ТС!D51,"AAAAAFv//88=")</f>
        <v>#VALUE!</v>
      </c>
      <c r="HA35" t="e">
        <f>AND(ТС!E51,"AAAAAFv//9A=")</f>
        <v>#VALUE!</v>
      </c>
      <c r="HB35" t="e">
        <f>AND(ТС!F51,"AAAAAFv//9E=")</f>
        <v>#VALUE!</v>
      </c>
      <c r="HC35" t="e">
        <f>AND(ТС!G51,"AAAAAFv//9I=")</f>
        <v>#VALUE!</v>
      </c>
      <c r="HD35" t="e">
        <f>AND(ТС!H51,"AAAAAFv//9M=")</f>
        <v>#VALUE!</v>
      </c>
      <c r="HE35" t="e">
        <f>AND(ТС!I51,"AAAAAFv//9Q=")</f>
        <v>#VALUE!</v>
      </c>
      <c r="HF35" t="e">
        <f>AND(ТС!J51,"AAAAAFv//9U=")</f>
        <v>#VALUE!</v>
      </c>
      <c r="HG35" t="e">
        <f>AND(ТС!K51,"AAAAAFv//9Y=")</f>
        <v>#VALUE!</v>
      </c>
      <c r="HH35">
        <f>IF(ТС!52:52,"AAAAAFv//9c=",0)</f>
        <v>0</v>
      </c>
      <c r="HI35" t="e">
        <f>AND(ТС!A52,"AAAAAFv//9g=")</f>
        <v>#VALUE!</v>
      </c>
      <c r="HJ35" t="e">
        <f>AND(ТС!B52,"AAAAAFv//9k=")</f>
        <v>#VALUE!</v>
      </c>
      <c r="HK35" t="e">
        <f>AND(ТС!C52,"AAAAAFv//9o=")</f>
        <v>#VALUE!</v>
      </c>
      <c r="HL35" t="e">
        <f>AND(ТС!D52,"AAAAAFv//9s=")</f>
        <v>#VALUE!</v>
      </c>
      <c r="HM35" t="e">
        <f>AND(ТС!E52,"AAAAAFv//9w=")</f>
        <v>#VALUE!</v>
      </c>
      <c r="HN35" t="e">
        <f>AND(ТС!F52,"AAAAAFv//90=")</f>
        <v>#VALUE!</v>
      </c>
      <c r="HO35" t="e">
        <f>AND(ТС!G52,"AAAAAFv//94=")</f>
        <v>#VALUE!</v>
      </c>
      <c r="HP35" t="e">
        <f>AND(ТС!H52,"AAAAAFv//98=")</f>
        <v>#VALUE!</v>
      </c>
      <c r="HQ35" t="e">
        <f>AND(ТС!I52,"AAAAAFv//+A=")</f>
        <v>#VALUE!</v>
      </c>
      <c r="HR35" t="e">
        <f>AND(ТС!J52,"AAAAAFv//+E=")</f>
        <v>#VALUE!</v>
      </c>
      <c r="HS35" t="e">
        <f>AND(ТС!K52,"AAAAAFv//+I=")</f>
        <v>#VALUE!</v>
      </c>
      <c r="HT35">
        <f>IF(ТС!53:53,"AAAAAFv//+M=",0)</f>
        <v>0</v>
      </c>
      <c r="HU35" t="e">
        <f>AND(ТС!A53,"AAAAAFv//+Q=")</f>
        <v>#VALUE!</v>
      </c>
      <c r="HV35" t="e">
        <f>AND(ТС!B53,"AAAAAFv//+U=")</f>
        <v>#VALUE!</v>
      </c>
      <c r="HW35" t="e">
        <f>AND(ТС!C53,"AAAAAFv//+Y=")</f>
        <v>#VALUE!</v>
      </c>
      <c r="HX35" t="e">
        <f>AND(ТС!D53,"AAAAAFv//+c=")</f>
        <v>#VALUE!</v>
      </c>
      <c r="HY35" t="e">
        <f>AND(ТС!E53,"AAAAAFv//+g=")</f>
        <v>#VALUE!</v>
      </c>
      <c r="HZ35" t="e">
        <f>AND(ТС!F53,"AAAAAFv//+k=")</f>
        <v>#VALUE!</v>
      </c>
      <c r="IA35" t="e">
        <f>AND(ТС!G53,"AAAAAFv//+o=")</f>
        <v>#VALUE!</v>
      </c>
      <c r="IB35" t="e">
        <f>AND(ТС!H53,"AAAAAFv//+s=")</f>
        <v>#VALUE!</v>
      </c>
      <c r="IC35" t="e">
        <f>AND(ТС!I53,"AAAAAFv//+w=")</f>
        <v>#VALUE!</v>
      </c>
      <c r="ID35" t="e">
        <f>AND(ТС!J53,"AAAAAFv//+0=")</f>
        <v>#VALUE!</v>
      </c>
      <c r="IE35" t="e">
        <f>AND(ТС!K53,"AAAAAFv//+4=")</f>
        <v>#VALUE!</v>
      </c>
      <c r="IF35">
        <f>IF(ТС!54:54,"AAAAAFv//+8=",0)</f>
        <v>0</v>
      </c>
      <c r="IG35" t="e">
        <f>AND(ТС!A54,"AAAAAFv///A=")</f>
        <v>#VALUE!</v>
      </c>
      <c r="IH35" t="e">
        <f>AND(ТС!B54,"AAAAAFv///E=")</f>
        <v>#VALUE!</v>
      </c>
      <c r="II35" t="e">
        <f>AND(ТС!C54,"AAAAAFv///I=")</f>
        <v>#VALUE!</v>
      </c>
      <c r="IJ35" t="e">
        <f>AND(ТС!D54,"AAAAAFv///M=")</f>
        <v>#VALUE!</v>
      </c>
      <c r="IK35" t="e">
        <f>AND(ТС!E54,"AAAAAFv///Q=")</f>
        <v>#VALUE!</v>
      </c>
      <c r="IL35" t="e">
        <f>AND(ТС!F54,"AAAAAFv///U=")</f>
        <v>#VALUE!</v>
      </c>
      <c r="IM35" t="e">
        <f>AND(ТС!G54,"AAAAAFv///Y=")</f>
        <v>#VALUE!</v>
      </c>
      <c r="IN35" t="e">
        <f>AND(ТС!H54,"AAAAAFv///c=")</f>
        <v>#VALUE!</v>
      </c>
      <c r="IO35" t="e">
        <f>AND(ТС!I54,"AAAAAFv///g=")</f>
        <v>#VALUE!</v>
      </c>
      <c r="IP35" t="e">
        <f>AND(ТС!J54,"AAAAAFv///k=")</f>
        <v>#VALUE!</v>
      </c>
      <c r="IQ35" t="e">
        <f>AND(ТС!K54,"AAAAAFv///o=")</f>
        <v>#VALUE!</v>
      </c>
      <c r="IR35">
        <f>IF(ТС!55:55,"AAAAAFv///s=",0)</f>
        <v>0</v>
      </c>
      <c r="IS35" t="e">
        <f>AND(ТС!A55,"AAAAAFv///w=")</f>
        <v>#VALUE!</v>
      </c>
      <c r="IT35" t="e">
        <f>AND(ТС!B55,"AAAAAFv///0=")</f>
        <v>#VALUE!</v>
      </c>
      <c r="IU35" t="e">
        <f>AND(ТС!C55,"AAAAAFv///4=")</f>
        <v>#VALUE!</v>
      </c>
      <c r="IV35" t="e">
        <f>AND(ТС!D55,"AAAAAFv///8=")</f>
        <v>#VALUE!</v>
      </c>
    </row>
    <row r="36" spans="1:256">
      <c r="A36" t="e">
        <f>AND(ТС!E55,"AAAAAG97gwA=")</f>
        <v>#VALUE!</v>
      </c>
      <c r="B36" t="e">
        <f>AND(ТС!F55,"AAAAAG97gwE=")</f>
        <v>#VALUE!</v>
      </c>
      <c r="C36" t="e">
        <f>AND(ТС!G55,"AAAAAG97gwI=")</f>
        <v>#VALUE!</v>
      </c>
      <c r="D36" t="e">
        <f>AND(ТС!H55,"AAAAAG97gwM=")</f>
        <v>#VALUE!</v>
      </c>
      <c r="E36" t="e">
        <f>AND(ТС!I55,"AAAAAG97gwQ=")</f>
        <v>#VALUE!</v>
      </c>
      <c r="F36" t="e">
        <f>AND(ТС!J55,"AAAAAG97gwU=")</f>
        <v>#VALUE!</v>
      </c>
      <c r="G36" t="e">
        <f>AND(ТС!K55,"AAAAAG97gwY=")</f>
        <v>#VALUE!</v>
      </c>
      <c r="H36">
        <f>IF(ТС!56:56,"AAAAAG97gwc=",0)</f>
        <v>0</v>
      </c>
      <c r="I36" t="e">
        <f>AND(ТС!A56,"AAAAAG97gwg=")</f>
        <v>#VALUE!</v>
      </c>
      <c r="J36" t="e">
        <f>AND(ТС!B56,"AAAAAG97gwk=")</f>
        <v>#VALUE!</v>
      </c>
      <c r="K36" t="e">
        <f>AND(ТС!C56,"AAAAAG97gwo=")</f>
        <v>#VALUE!</v>
      </c>
      <c r="L36" t="e">
        <f>AND(ТС!D56,"AAAAAG97gws=")</f>
        <v>#VALUE!</v>
      </c>
      <c r="M36" t="e">
        <f>AND(ТС!E56,"AAAAAG97gww=")</f>
        <v>#VALUE!</v>
      </c>
      <c r="N36" t="e">
        <f>AND(ТС!F56,"AAAAAG97gw0=")</f>
        <v>#VALUE!</v>
      </c>
      <c r="O36" t="e">
        <f>AND(ТС!G56,"AAAAAG97gw4=")</f>
        <v>#VALUE!</v>
      </c>
      <c r="P36" t="e">
        <f>AND(ТС!H56,"AAAAAG97gw8=")</f>
        <v>#VALUE!</v>
      </c>
      <c r="Q36" t="e">
        <f>AND(ТС!I56,"AAAAAG97gxA=")</f>
        <v>#VALUE!</v>
      </c>
      <c r="R36" t="e">
        <f>AND(ТС!J56,"AAAAAG97gxE=")</f>
        <v>#VALUE!</v>
      </c>
      <c r="S36" t="e">
        <f>AND(ТС!K56,"AAAAAG97gxI=")</f>
        <v>#VALUE!</v>
      </c>
      <c r="T36">
        <f>IF(ТС!57:57,"AAAAAG97gxM=",0)</f>
        <v>0</v>
      </c>
      <c r="U36" t="e">
        <f>AND(ТС!A57,"AAAAAG97gxQ=")</f>
        <v>#VALUE!</v>
      </c>
      <c r="V36" t="e">
        <f>AND(ТС!B57,"AAAAAG97gxU=")</f>
        <v>#VALUE!</v>
      </c>
      <c r="W36" t="e">
        <f>AND(ТС!C57,"AAAAAG97gxY=")</f>
        <v>#VALUE!</v>
      </c>
      <c r="X36" t="e">
        <f>AND(ТС!D57,"AAAAAG97gxc=")</f>
        <v>#VALUE!</v>
      </c>
      <c r="Y36" t="e">
        <f>AND(ТС!E57,"AAAAAG97gxg=")</f>
        <v>#VALUE!</v>
      </c>
      <c r="Z36" t="e">
        <f>AND(ТС!F57,"AAAAAG97gxk=")</f>
        <v>#VALUE!</v>
      </c>
      <c r="AA36" t="e">
        <f>AND(ТС!G57,"AAAAAG97gxo=")</f>
        <v>#VALUE!</v>
      </c>
      <c r="AB36" t="e">
        <f>AND(ТС!H57,"AAAAAG97gxs=")</f>
        <v>#VALUE!</v>
      </c>
      <c r="AC36" t="e">
        <f>AND(ТС!I57,"AAAAAG97gxw=")</f>
        <v>#VALUE!</v>
      </c>
      <c r="AD36" t="e">
        <f>AND(ТС!J57,"AAAAAG97gx0=")</f>
        <v>#VALUE!</v>
      </c>
      <c r="AE36" t="e">
        <f>AND(ТС!K57,"AAAAAG97gx4=")</f>
        <v>#VALUE!</v>
      </c>
      <c r="AF36">
        <f>IF(ТС!58:58,"AAAAAG97gx8=",0)</f>
        <v>0</v>
      </c>
      <c r="AG36" t="e">
        <f>AND(ТС!A58,"AAAAAG97gyA=")</f>
        <v>#VALUE!</v>
      </c>
      <c r="AH36" t="e">
        <f>AND(ТС!B58,"AAAAAG97gyE=")</f>
        <v>#VALUE!</v>
      </c>
      <c r="AI36" t="e">
        <f>AND(ТС!C58,"AAAAAG97gyI=")</f>
        <v>#VALUE!</v>
      </c>
      <c r="AJ36" t="e">
        <f>AND(ТС!D58,"AAAAAG97gyM=")</f>
        <v>#VALUE!</v>
      </c>
      <c r="AK36" t="e">
        <f>AND(ТС!E58,"AAAAAG97gyQ=")</f>
        <v>#VALUE!</v>
      </c>
      <c r="AL36" t="e">
        <f>AND(ТС!F58,"AAAAAG97gyU=")</f>
        <v>#VALUE!</v>
      </c>
      <c r="AM36" t="e">
        <f>AND(ТС!G58,"AAAAAG97gyY=")</f>
        <v>#VALUE!</v>
      </c>
      <c r="AN36" t="e">
        <f>AND(ТС!H58,"AAAAAG97gyc=")</f>
        <v>#VALUE!</v>
      </c>
      <c r="AO36" t="e">
        <f>AND(ТС!I58,"AAAAAG97gyg=")</f>
        <v>#VALUE!</v>
      </c>
      <c r="AP36" t="e">
        <f>AND(ТС!J58,"AAAAAG97gyk=")</f>
        <v>#VALUE!</v>
      </c>
      <c r="AQ36" t="e">
        <f>AND(ТС!K58,"AAAAAG97gyo=")</f>
        <v>#VALUE!</v>
      </c>
      <c r="AR36">
        <f>IF(ТС!59:59,"AAAAAG97gys=",0)</f>
        <v>0</v>
      </c>
      <c r="AS36" t="e">
        <f>AND(ТС!A59,"AAAAAG97gyw=")</f>
        <v>#VALUE!</v>
      </c>
      <c r="AT36" t="e">
        <f>AND(ТС!B59,"AAAAAG97gy0=")</f>
        <v>#VALUE!</v>
      </c>
      <c r="AU36" t="e">
        <f>AND(ТС!C59,"AAAAAG97gy4=")</f>
        <v>#VALUE!</v>
      </c>
      <c r="AV36" t="e">
        <f>AND(ТС!D59,"AAAAAG97gy8=")</f>
        <v>#VALUE!</v>
      </c>
      <c r="AW36" t="e">
        <f>AND(ТС!E59,"AAAAAG97gzA=")</f>
        <v>#VALUE!</v>
      </c>
      <c r="AX36" t="e">
        <f>AND(ТС!F59,"AAAAAG97gzE=")</f>
        <v>#VALUE!</v>
      </c>
      <c r="AY36" t="e">
        <f>AND(ТС!G59,"AAAAAG97gzI=")</f>
        <v>#VALUE!</v>
      </c>
      <c r="AZ36" t="e">
        <f>AND(ТС!H59,"AAAAAG97gzM=")</f>
        <v>#VALUE!</v>
      </c>
      <c r="BA36" t="e">
        <f>AND(ТС!I59,"AAAAAG97gzQ=")</f>
        <v>#VALUE!</v>
      </c>
      <c r="BB36" t="e">
        <f>AND(ТС!J59,"AAAAAG97gzU=")</f>
        <v>#VALUE!</v>
      </c>
      <c r="BC36" t="e">
        <f>AND(ТС!K59,"AAAAAG97gzY=")</f>
        <v>#VALUE!</v>
      </c>
      <c r="BD36">
        <f>IF(ТС!60:60,"AAAAAG97gzc=",0)</f>
        <v>0</v>
      </c>
      <c r="BE36" t="e">
        <f>AND(ТС!A60,"AAAAAG97gzg=")</f>
        <v>#VALUE!</v>
      </c>
      <c r="BF36" t="e">
        <f>AND(ТС!B60,"AAAAAG97gzk=")</f>
        <v>#VALUE!</v>
      </c>
      <c r="BG36" t="e">
        <f>AND(ТС!C60,"AAAAAG97gzo=")</f>
        <v>#VALUE!</v>
      </c>
      <c r="BH36" t="e">
        <f>AND(ТС!D60,"AAAAAG97gzs=")</f>
        <v>#VALUE!</v>
      </c>
      <c r="BI36" t="e">
        <f>AND(ТС!E60,"AAAAAG97gzw=")</f>
        <v>#VALUE!</v>
      </c>
      <c r="BJ36" t="e">
        <f>AND(ТС!F60,"AAAAAG97gz0=")</f>
        <v>#VALUE!</v>
      </c>
      <c r="BK36" t="e">
        <f>AND(ТС!G60,"AAAAAG97gz4=")</f>
        <v>#VALUE!</v>
      </c>
      <c r="BL36" t="e">
        <f>AND(ТС!H60,"AAAAAG97gz8=")</f>
        <v>#VALUE!</v>
      </c>
      <c r="BM36" t="e">
        <f>AND(ТС!I60,"AAAAAG97g0A=")</f>
        <v>#VALUE!</v>
      </c>
      <c r="BN36" t="e">
        <f>AND(ТС!J60,"AAAAAG97g0E=")</f>
        <v>#VALUE!</v>
      </c>
      <c r="BO36" t="e">
        <f>AND(ТС!K60,"AAAAAG97g0I=")</f>
        <v>#VALUE!</v>
      </c>
      <c r="BP36">
        <f>IF(ТС!61:61,"AAAAAG97g0M=",0)</f>
        <v>0</v>
      </c>
      <c r="BQ36" t="e">
        <f>AND(ТС!A61,"AAAAAG97g0Q=")</f>
        <v>#VALUE!</v>
      </c>
      <c r="BR36" t="e">
        <f>AND(ТС!B61,"AAAAAG97g0U=")</f>
        <v>#VALUE!</v>
      </c>
      <c r="BS36" t="e">
        <f>AND(ТС!C61,"AAAAAG97g0Y=")</f>
        <v>#VALUE!</v>
      </c>
      <c r="BT36" t="e">
        <f>AND(ТС!D61,"AAAAAG97g0c=")</f>
        <v>#VALUE!</v>
      </c>
      <c r="BU36" t="e">
        <f>AND(ТС!E61,"AAAAAG97g0g=")</f>
        <v>#VALUE!</v>
      </c>
      <c r="BV36" t="e">
        <f>AND(ТС!F61,"AAAAAG97g0k=")</f>
        <v>#VALUE!</v>
      </c>
      <c r="BW36" t="e">
        <f>AND(ТС!G61,"AAAAAG97g0o=")</f>
        <v>#VALUE!</v>
      </c>
      <c r="BX36" t="e">
        <f>AND(ТС!H61,"AAAAAG97g0s=")</f>
        <v>#VALUE!</v>
      </c>
      <c r="BY36" t="e">
        <f>AND(ТС!I61,"AAAAAG97g0w=")</f>
        <v>#VALUE!</v>
      </c>
      <c r="BZ36" t="e">
        <f>AND(ТС!J61,"AAAAAG97g00=")</f>
        <v>#VALUE!</v>
      </c>
      <c r="CA36" t="e">
        <f>AND(ТС!K61,"AAAAAG97g04=")</f>
        <v>#VALUE!</v>
      </c>
      <c r="CB36">
        <f>IF(ТС!62:62,"AAAAAG97g08=",0)</f>
        <v>0</v>
      </c>
      <c r="CC36" t="e">
        <f>AND(ТС!A62,"AAAAAG97g1A=")</f>
        <v>#VALUE!</v>
      </c>
      <c r="CD36" t="e">
        <f>AND(ТС!B62,"AAAAAG97g1E=")</f>
        <v>#VALUE!</v>
      </c>
      <c r="CE36" t="e">
        <f>AND(ТС!C62,"AAAAAG97g1I=")</f>
        <v>#VALUE!</v>
      </c>
      <c r="CF36" t="e">
        <f>AND(ТС!D62,"AAAAAG97g1M=")</f>
        <v>#VALUE!</v>
      </c>
      <c r="CG36" t="e">
        <f>AND(ТС!E62,"AAAAAG97g1Q=")</f>
        <v>#VALUE!</v>
      </c>
      <c r="CH36" t="e">
        <f>AND(ТС!F62,"AAAAAG97g1U=")</f>
        <v>#VALUE!</v>
      </c>
      <c r="CI36" t="e">
        <f>AND(ТС!G62,"AAAAAG97g1Y=")</f>
        <v>#VALUE!</v>
      </c>
      <c r="CJ36" t="e">
        <f>AND(ТС!H62,"AAAAAG97g1c=")</f>
        <v>#VALUE!</v>
      </c>
      <c r="CK36" t="e">
        <f>AND(ТС!I62,"AAAAAG97g1g=")</f>
        <v>#VALUE!</v>
      </c>
      <c r="CL36" t="e">
        <f>AND(ТС!J62,"AAAAAG97g1k=")</f>
        <v>#VALUE!</v>
      </c>
      <c r="CM36" t="e">
        <f>AND(ТС!K62,"AAAAAG97g1o=")</f>
        <v>#VALUE!</v>
      </c>
      <c r="CN36">
        <f>IF(ТС!63:63,"AAAAAG97g1s=",0)</f>
        <v>0</v>
      </c>
      <c r="CO36" t="e">
        <f>AND(ТС!A63,"AAAAAG97g1w=")</f>
        <v>#VALUE!</v>
      </c>
      <c r="CP36" t="e">
        <f>AND(ТС!B63,"AAAAAG97g10=")</f>
        <v>#VALUE!</v>
      </c>
      <c r="CQ36" t="e">
        <f>AND(ТС!C63,"AAAAAG97g14=")</f>
        <v>#VALUE!</v>
      </c>
      <c r="CR36" t="e">
        <f>AND(ТС!D63,"AAAAAG97g18=")</f>
        <v>#VALUE!</v>
      </c>
      <c r="CS36" t="e">
        <f>AND(ТС!E63,"AAAAAG97g2A=")</f>
        <v>#VALUE!</v>
      </c>
      <c r="CT36" t="e">
        <f>AND(ТС!F63,"AAAAAG97g2E=")</f>
        <v>#VALUE!</v>
      </c>
      <c r="CU36" t="e">
        <f>AND(ТС!G63,"AAAAAG97g2I=")</f>
        <v>#VALUE!</v>
      </c>
      <c r="CV36" t="e">
        <f>AND(ТС!H63,"AAAAAG97g2M=")</f>
        <v>#VALUE!</v>
      </c>
      <c r="CW36" t="e">
        <f>AND(ТС!I63,"AAAAAG97g2Q=")</f>
        <v>#VALUE!</v>
      </c>
      <c r="CX36" t="e">
        <f>AND(ТС!J63,"AAAAAG97g2U=")</f>
        <v>#VALUE!</v>
      </c>
      <c r="CY36" t="e">
        <f>AND(ТС!K63,"AAAAAG97g2Y=")</f>
        <v>#VALUE!</v>
      </c>
      <c r="CZ36">
        <f>IF(ТС!64:64,"AAAAAG97g2c=",0)</f>
        <v>0</v>
      </c>
      <c r="DA36" t="e">
        <f>AND(ТС!A64,"AAAAAG97g2g=")</f>
        <v>#VALUE!</v>
      </c>
      <c r="DB36" t="e">
        <f>AND(ТС!B64,"AAAAAG97g2k=")</f>
        <v>#VALUE!</v>
      </c>
      <c r="DC36" t="e">
        <f>AND(ТС!C64,"AAAAAG97g2o=")</f>
        <v>#VALUE!</v>
      </c>
      <c r="DD36" t="e">
        <f>AND(ТС!D64,"AAAAAG97g2s=")</f>
        <v>#VALUE!</v>
      </c>
      <c r="DE36" t="e">
        <f>AND(ТС!E64,"AAAAAG97g2w=")</f>
        <v>#VALUE!</v>
      </c>
      <c r="DF36" t="e">
        <f>AND(ТС!F64,"AAAAAG97g20=")</f>
        <v>#VALUE!</v>
      </c>
      <c r="DG36" t="e">
        <f>AND(ТС!G64,"AAAAAG97g24=")</f>
        <v>#VALUE!</v>
      </c>
      <c r="DH36" t="e">
        <f>AND(ТС!H64,"AAAAAG97g28=")</f>
        <v>#VALUE!</v>
      </c>
      <c r="DI36" t="e">
        <f>AND(ТС!I64,"AAAAAG97g3A=")</f>
        <v>#VALUE!</v>
      </c>
      <c r="DJ36" t="e">
        <f>AND(ТС!J64,"AAAAAG97g3E=")</f>
        <v>#VALUE!</v>
      </c>
      <c r="DK36" t="e">
        <f>AND(ТС!K64,"AAAAAG97g3I=")</f>
        <v>#VALUE!</v>
      </c>
      <c r="DL36">
        <f>IF(ТС!65:65,"AAAAAG97g3M=",0)</f>
        <v>0</v>
      </c>
      <c r="DM36" t="e">
        <f>AND(ТС!A65,"AAAAAG97g3Q=")</f>
        <v>#VALUE!</v>
      </c>
      <c r="DN36" t="e">
        <f>AND(ТС!B65,"AAAAAG97g3U=")</f>
        <v>#VALUE!</v>
      </c>
      <c r="DO36" t="e">
        <f>AND(ТС!C65,"AAAAAG97g3Y=")</f>
        <v>#VALUE!</v>
      </c>
      <c r="DP36" t="e">
        <f>AND(ТС!D65,"AAAAAG97g3c=")</f>
        <v>#VALUE!</v>
      </c>
      <c r="DQ36" t="e">
        <f>AND(ТС!E65,"AAAAAG97g3g=")</f>
        <v>#VALUE!</v>
      </c>
      <c r="DR36" t="e">
        <f>AND(ТС!F65,"AAAAAG97g3k=")</f>
        <v>#VALUE!</v>
      </c>
      <c r="DS36" t="e">
        <f>AND(ТС!G65,"AAAAAG97g3o=")</f>
        <v>#VALUE!</v>
      </c>
      <c r="DT36" t="e">
        <f>AND(ТС!H65,"AAAAAG97g3s=")</f>
        <v>#VALUE!</v>
      </c>
      <c r="DU36" t="e">
        <f>AND(ТС!I65,"AAAAAG97g3w=")</f>
        <v>#VALUE!</v>
      </c>
      <c r="DV36" t="e">
        <f>AND(ТС!J65,"AAAAAG97g30=")</f>
        <v>#VALUE!</v>
      </c>
      <c r="DW36" t="e">
        <f>AND(ТС!K65,"AAAAAG97g34=")</f>
        <v>#VALUE!</v>
      </c>
      <c r="DX36">
        <f>IF(ТС!66:66,"AAAAAG97g38=",0)</f>
        <v>0</v>
      </c>
      <c r="DY36" t="e">
        <f>AND(ТС!A66,"AAAAAG97g4A=")</f>
        <v>#VALUE!</v>
      </c>
      <c r="DZ36" t="e">
        <f>AND(ТС!B66,"AAAAAG97g4E=")</f>
        <v>#VALUE!</v>
      </c>
      <c r="EA36" t="e">
        <f>AND(ТС!C66,"AAAAAG97g4I=")</f>
        <v>#VALUE!</v>
      </c>
      <c r="EB36" t="e">
        <f>AND(ТС!D66,"AAAAAG97g4M=")</f>
        <v>#VALUE!</v>
      </c>
      <c r="EC36" t="e">
        <f>AND(ТС!E66,"AAAAAG97g4Q=")</f>
        <v>#VALUE!</v>
      </c>
      <c r="ED36" t="e">
        <f>AND(ТС!F66,"AAAAAG97g4U=")</f>
        <v>#VALUE!</v>
      </c>
      <c r="EE36" t="e">
        <f>AND(ТС!G66,"AAAAAG97g4Y=")</f>
        <v>#VALUE!</v>
      </c>
      <c r="EF36" t="e">
        <f>AND(ТС!H66,"AAAAAG97g4c=")</f>
        <v>#VALUE!</v>
      </c>
      <c r="EG36" t="e">
        <f>AND(ТС!I66,"AAAAAG97g4g=")</f>
        <v>#VALUE!</v>
      </c>
      <c r="EH36" t="e">
        <f>AND(ТС!J66,"AAAAAG97g4k=")</f>
        <v>#VALUE!</v>
      </c>
      <c r="EI36" t="e">
        <f>AND(ТС!K66,"AAAAAG97g4o=")</f>
        <v>#VALUE!</v>
      </c>
      <c r="EJ36">
        <f>IF(ТС!67:67,"AAAAAG97g4s=",0)</f>
        <v>0</v>
      </c>
      <c r="EK36" t="e">
        <f>AND(ТС!A67,"AAAAAG97g4w=")</f>
        <v>#VALUE!</v>
      </c>
      <c r="EL36" t="e">
        <f>AND(ТС!B67,"AAAAAG97g40=")</f>
        <v>#VALUE!</v>
      </c>
      <c r="EM36" t="e">
        <f>AND(ТС!C67,"AAAAAG97g44=")</f>
        <v>#VALUE!</v>
      </c>
      <c r="EN36" t="e">
        <f>AND(ТС!D67,"AAAAAG97g48=")</f>
        <v>#VALUE!</v>
      </c>
      <c r="EO36" t="e">
        <f>AND(ТС!E67,"AAAAAG97g5A=")</f>
        <v>#VALUE!</v>
      </c>
      <c r="EP36" t="e">
        <f>AND(ТС!F67,"AAAAAG97g5E=")</f>
        <v>#VALUE!</v>
      </c>
      <c r="EQ36" t="e">
        <f>AND(ТС!G67,"AAAAAG97g5I=")</f>
        <v>#VALUE!</v>
      </c>
      <c r="ER36" t="e">
        <f>AND(ТС!H67,"AAAAAG97g5M=")</f>
        <v>#VALUE!</v>
      </c>
      <c r="ES36" t="e">
        <f>AND(ТС!I67,"AAAAAG97g5Q=")</f>
        <v>#VALUE!</v>
      </c>
      <c r="ET36" t="e">
        <f>AND(ТС!J67,"AAAAAG97g5U=")</f>
        <v>#VALUE!</v>
      </c>
      <c r="EU36" t="e">
        <f>AND(ТС!K67,"AAAAAG97g5Y=")</f>
        <v>#VALUE!</v>
      </c>
      <c r="EV36">
        <f>IF(ТС!68:68,"AAAAAG97g5c=",0)</f>
        <v>0</v>
      </c>
      <c r="EW36" t="e">
        <f>AND(ТС!A68,"AAAAAG97g5g=")</f>
        <v>#VALUE!</v>
      </c>
      <c r="EX36" t="e">
        <f>AND(ТС!B68,"AAAAAG97g5k=")</f>
        <v>#VALUE!</v>
      </c>
      <c r="EY36" t="e">
        <f>AND(ТС!C68,"AAAAAG97g5o=")</f>
        <v>#VALUE!</v>
      </c>
      <c r="EZ36" t="e">
        <f>AND(ТС!D68,"AAAAAG97g5s=")</f>
        <v>#VALUE!</v>
      </c>
      <c r="FA36" t="e">
        <f>AND(ТС!E68,"AAAAAG97g5w=")</f>
        <v>#VALUE!</v>
      </c>
      <c r="FB36" t="e">
        <f>AND(ТС!F68,"AAAAAG97g50=")</f>
        <v>#VALUE!</v>
      </c>
      <c r="FC36" t="e">
        <f>AND(ТС!G68,"AAAAAG97g54=")</f>
        <v>#VALUE!</v>
      </c>
      <c r="FD36" t="e">
        <f>AND(ТС!H68,"AAAAAG97g58=")</f>
        <v>#VALUE!</v>
      </c>
      <c r="FE36" t="e">
        <f>AND(ТС!I68,"AAAAAG97g6A=")</f>
        <v>#VALUE!</v>
      </c>
      <c r="FF36" t="e">
        <f>AND(ТС!J68,"AAAAAG97g6E=")</f>
        <v>#VALUE!</v>
      </c>
      <c r="FG36" t="e">
        <f>AND(ТС!K68,"AAAAAG97g6I=")</f>
        <v>#VALUE!</v>
      </c>
      <c r="FH36">
        <f>IF(ТС!69:69,"AAAAAG97g6M=",0)</f>
        <v>0</v>
      </c>
      <c r="FI36" t="e">
        <f>AND(ТС!A69,"AAAAAG97g6Q=")</f>
        <v>#VALUE!</v>
      </c>
      <c r="FJ36" t="e">
        <f>AND(ТС!B69,"AAAAAG97g6U=")</f>
        <v>#VALUE!</v>
      </c>
      <c r="FK36" t="e">
        <f>AND(ТС!C69,"AAAAAG97g6Y=")</f>
        <v>#VALUE!</v>
      </c>
      <c r="FL36" t="e">
        <f>AND(ТС!D69,"AAAAAG97g6c=")</f>
        <v>#VALUE!</v>
      </c>
      <c r="FM36" t="e">
        <f>AND(ТС!E69,"AAAAAG97g6g=")</f>
        <v>#VALUE!</v>
      </c>
      <c r="FN36" t="e">
        <f>AND(ТС!F69,"AAAAAG97g6k=")</f>
        <v>#VALUE!</v>
      </c>
      <c r="FO36" t="e">
        <f>AND(ТС!G69,"AAAAAG97g6o=")</f>
        <v>#VALUE!</v>
      </c>
      <c r="FP36" t="e">
        <f>AND(ТС!H69,"AAAAAG97g6s=")</f>
        <v>#VALUE!</v>
      </c>
      <c r="FQ36" t="e">
        <f>AND(ТС!I69,"AAAAAG97g6w=")</f>
        <v>#VALUE!</v>
      </c>
      <c r="FR36" t="e">
        <f>AND(ТС!J69,"AAAAAG97g60=")</f>
        <v>#VALUE!</v>
      </c>
      <c r="FS36" t="e">
        <f>AND(ТС!K69,"AAAAAG97g64=")</f>
        <v>#VALUE!</v>
      </c>
      <c r="FT36">
        <f>IF(ТС!70:70,"AAAAAG97g68=",0)</f>
        <v>0</v>
      </c>
      <c r="FU36" t="e">
        <f>AND(ТС!A70,"AAAAAG97g7A=")</f>
        <v>#VALUE!</v>
      </c>
      <c r="FV36" t="e">
        <f>AND(ТС!B70,"AAAAAG97g7E=")</f>
        <v>#VALUE!</v>
      </c>
      <c r="FW36" t="e">
        <f>AND(ТС!C70,"AAAAAG97g7I=")</f>
        <v>#VALUE!</v>
      </c>
      <c r="FX36" t="e">
        <f>AND(ТС!D70,"AAAAAG97g7M=")</f>
        <v>#VALUE!</v>
      </c>
      <c r="FY36" t="e">
        <f>AND(ТС!E70,"AAAAAG97g7Q=")</f>
        <v>#VALUE!</v>
      </c>
      <c r="FZ36" t="e">
        <f>AND(ТС!F70,"AAAAAG97g7U=")</f>
        <v>#VALUE!</v>
      </c>
      <c r="GA36" t="e">
        <f>AND(ТС!G70,"AAAAAG97g7Y=")</f>
        <v>#VALUE!</v>
      </c>
      <c r="GB36" t="e">
        <f>AND(ТС!H70,"AAAAAG97g7c=")</f>
        <v>#VALUE!</v>
      </c>
      <c r="GC36" t="e">
        <f>AND(ТС!I70,"AAAAAG97g7g=")</f>
        <v>#VALUE!</v>
      </c>
      <c r="GD36" t="e">
        <f>AND(ТС!J70,"AAAAAG97g7k=")</f>
        <v>#VALUE!</v>
      </c>
      <c r="GE36" t="e">
        <f>AND(ТС!K70,"AAAAAG97g7o=")</f>
        <v>#VALUE!</v>
      </c>
      <c r="GF36">
        <f>IF(ТС!71:71,"AAAAAG97g7s=",0)</f>
        <v>0</v>
      </c>
      <c r="GG36" t="e">
        <f>AND(ТС!A71,"AAAAAG97g7w=")</f>
        <v>#VALUE!</v>
      </c>
      <c r="GH36" t="e">
        <f>AND(ТС!B71,"AAAAAG97g70=")</f>
        <v>#VALUE!</v>
      </c>
      <c r="GI36" t="e">
        <f>AND(ТС!C71,"AAAAAG97g74=")</f>
        <v>#VALUE!</v>
      </c>
      <c r="GJ36" t="e">
        <f>AND(ТС!D71,"AAAAAG97g78=")</f>
        <v>#VALUE!</v>
      </c>
      <c r="GK36" t="e">
        <f>AND(ТС!E71,"AAAAAG97g8A=")</f>
        <v>#VALUE!</v>
      </c>
      <c r="GL36" t="e">
        <f>AND(ТС!F71,"AAAAAG97g8E=")</f>
        <v>#VALUE!</v>
      </c>
      <c r="GM36" t="e">
        <f>AND(ТС!G71,"AAAAAG97g8I=")</f>
        <v>#VALUE!</v>
      </c>
      <c r="GN36" t="e">
        <f>AND(ТС!H71,"AAAAAG97g8M=")</f>
        <v>#VALUE!</v>
      </c>
      <c r="GO36" t="e">
        <f>AND(ТС!I71,"AAAAAG97g8Q=")</f>
        <v>#VALUE!</v>
      </c>
      <c r="GP36" t="e">
        <f>AND(ТС!J71,"AAAAAG97g8U=")</f>
        <v>#VALUE!</v>
      </c>
      <c r="GQ36" t="e">
        <f>AND(ТС!K71,"AAAAAG97g8Y=")</f>
        <v>#VALUE!</v>
      </c>
      <c r="GR36">
        <f>IF(ТС!72:72,"AAAAAG97g8c=",0)</f>
        <v>0</v>
      </c>
      <c r="GS36" t="e">
        <f>AND(ТС!A72,"AAAAAG97g8g=")</f>
        <v>#VALUE!</v>
      </c>
      <c r="GT36" t="e">
        <f>AND(ТС!B72,"AAAAAG97g8k=")</f>
        <v>#VALUE!</v>
      </c>
      <c r="GU36" t="e">
        <f>AND(ТС!C72,"AAAAAG97g8o=")</f>
        <v>#VALUE!</v>
      </c>
      <c r="GV36" t="e">
        <f>AND(ТС!D72,"AAAAAG97g8s=")</f>
        <v>#VALUE!</v>
      </c>
      <c r="GW36" t="e">
        <f>AND(ТС!E72,"AAAAAG97g8w=")</f>
        <v>#VALUE!</v>
      </c>
      <c r="GX36" t="e">
        <f>AND(ТС!F72,"AAAAAG97g80=")</f>
        <v>#VALUE!</v>
      </c>
      <c r="GY36" t="e">
        <f>AND(ТС!G72,"AAAAAG97g84=")</f>
        <v>#VALUE!</v>
      </c>
      <c r="GZ36" t="e">
        <f>AND(ТС!H72,"AAAAAG97g88=")</f>
        <v>#VALUE!</v>
      </c>
      <c r="HA36" t="e">
        <f>AND(ТС!I72,"AAAAAG97g9A=")</f>
        <v>#VALUE!</v>
      </c>
      <c r="HB36" t="e">
        <f>AND(ТС!J72,"AAAAAG97g9E=")</f>
        <v>#VALUE!</v>
      </c>
      <c r="HC36" t="e">
        <f>AND(ТС!K72,"AAAAAG97g9I=")</f>
        <v>#VALUE!</v>
      </c>
      <c r="HD36">
        <f>IF(ТС!73:73,"AAAAAG97g9M=",0)</f>
        <v>0</v>
      </c>
      <c r="HE36" t="e">
        <f>AND(ТС!A73,"AAAAAG97g9Q=")</f>
        <v>#VALUE!</v>
      </c>
      <c r="HF36" t="e">
        <f>AND(ТС!B73,"AAAAAG97g9U=")</f>
        <v>#VALUE!</v>
      </c>
      <c r="HG36" t="e">
        <f>AND(ТС!C73,"AAAAAG97g9Y=")</f>
        <v>#VALUE!</v>
      </c>
      <c r="HH36" t="e">
        <f>AND(ТС!D73,"AAAAAG97g9c=")</f>
        <v>#VALUE!</v>
      </c>
      <c r="HI36" t="e">
        <f>AND(ТС!E73,"AAAAAG97g9g=")</f>
        <v>#VALUE!</v>
      </c>
      <c r="HJ36" t="e">
        <f>AND(ТС!F73,"AAAAAG97g9k=")</f>
        <v>#VALUE!</v>
      </c>
      <c r="HK36" t="e">
        <f>AND(ТС!G73,"AAAAAG97g9o=")</f>
        <v>#VALUE!</v>
      </c>
      <c r="HL36" t="e">
        <f>AND(ТС!H73,"AAAAAG97g9s=")</f>
        <v>#VALUE!</v>
      </c>
      <c r="HM36" t="e">
        <f>AND(ТС!I73,"AAAAAG97g9w=")</f>
        <v>#VALUE!</v>
      </c>
      <c r="HN36" t="e">
        <f>AND(ТС!J73,"AAAAAG97g90=")</f>
        <v>#VALUE!</v>
      </c>
      <c r="HO36" t="e">
        <f>AND(ТС!K73,"AAAAAG97g94=")</f>
        <v>#VALUE!</v>
      </c>
      <c r="HP36">
        <f>IF(ТС!74:74,"AAAAAG97g98=",0)</f>
        <v>0</v>
      </c>
      <c r="HQ36" t="e">
        <f>AND(ТС!A74,"AAAAAG97g+A=")</f>
        <v>#VALUE!</v>
      </c>
      <c r="HR36" t="e">
        <f>AND(ТС!B74,"AAAAAG97g+E=")</f>
        <v>#VALUE!</v>
      </c>
      <c r="HS36" t="e">
        <f>AND(ТС!C74,"AAAAAG97g+I=")</f>
        <v>#VALUE!</v>
      </c>
      <c r="HT36" t="e">
        <f>AND(ТС!D74,"AAAAAG97g+M=")</f>
        <v>#VALUE!</v>
      </c>
      <c r="HU36" t="e">
        <f>AND(ТС!E74,"AAAAAG97g+Q=")</f>
        <v>#VALUE!</v>
      </c>
      <c r="HV36" t="e">
        <f>AND(ТС!F74,"AAAAAG97g+U=")</f>
        <v>#VALUE!</v>
      </c>
      <c r="HW36" t="e">
        <f>AND(ТС!G74,"AAAAAG97g+Y=")</f>
        <v>#VALUE!</v>
      </c>
      <c r="HX36" t="e">
        <f>AND(ТС!H74,"AAAAAG97g+c=")</f>
        <v>#VALUE!</v>
      </c>
      <c r="HY36" t="e">
        <f>AND(ТС!I74,"AAAAAG97g+g=")</f>
        <v>#VALUE!</v>
      </c>
      <c r="HZ36" t="e">
        <f>AND(ТС!J74,"AAAAAG97g+k=")</f>
        <v>#VALUE!</v>
      </c>
      <c r="IA36" t="e">
        <f>AND(ТС!K74,"AAAAAG97g+o=")</f>
        <v>#VALUE!</v>
      </c>
      <c r="IB36">
        <f>IF(ТС!75:75,"AAAAAG97g+s=",0)</f>
        <v>0</v>
      </c>
      <c r="IC36" t="e">
        <f>AND(ТС!A75,"AAAAAG97g+w=")</f>
        <v>#VALUE!</v>
      </c>
      <c r="ID36" t="e">
        <f>AND(ТС!B75,"AAAAAG97g+0=")</f>
        <v>#VALUE!</v>
      </c>
      <c r="IE36" t="e">
        <f>AND(ТС!C75,"AAAAAG97g+4=")</f>
        <v>#VALUE!</v>
      </c>
      <c r="IF36" t="e">
        <f>AND(ТС!D75,"AAAAAG97g+8=")</f>
        <v>#VALUE!</v>
      </c>
      <c r="IG36" t="e">
        <f>AND(ТС!E75,"AAAAAG97g/A=")</f>
        <v>#VALUE!</v>
      </c>
      <c r="IH36" t="e">
        <f>AND(ТС!F75,"AAAAAG97g/E=")</f>
        <v>#VALUE!</v>
      </c>
      <c r="II36" t="e">
        <f>AND(ТС!G75,"AAAAAG97g/I=")</f>
        <v>#VALUE!</v>
      </c>
      <c r="IJ36" t="e">
        <f>AND(ТС!H75,"AAAAAG97g/M=")</f>
        <v>#VALUE!</v>
      </c>
      <c r="IK36" t="e">
        <f>AND(ТС!I75,"AAAAAG97g/Q=")</f>
        <v>#VALUE!</v>
      </c>
      <c r="IL36" t="e">
        <f>AND(ТС!J75,"AAAAAG97g/U=")</f>
        <v>#VALUE!</v>
      </c>
      <c r="IM36" t="e">
        <f>AND(ТС!K75,"AAAAAG97g/Y=")</f>
        <v>#VALUE!</v>
      </c>
      <c r="IN36">
        <f>IF(ТС!76:76,"AAAAAG97g/c=",0)</f>
        <v>0</v>
      </c>
      <c r="IO36" t="e">
        <f>AND(ТС!A76,"AAAAAG97g/g=")</f>
        <v>#VALUE!</v>
      </c>
      <c r="IP36" t="e">
        <f>AND(ТС!B76,"AAAAAG97g/k=")</f>
        <v>#VALUE!</v>
      </c>
      <c r="IQ36" t="e">
        <f>AND(ТС!C76,"AAAAAG97g/o=")</f>
        <v>#VALUE!</v>
      </c>
      <c r="IR36" t="e">
        <f>AND(ТС!D76,"AAAAAG97g/s=")</f>
        <v>#VALUE!</v>
      </c>
      <c r="IS36" t="e">
        <f>AND(ТС!E76,"AAAAAG97g/w=")</f>
        <v>#VALUE!</v>
      </c>
      <c r="IT36" t="e">
        <f>AND(ТС!F76,"AAAAAG97g/0=")</f>
        <v>#VALUE!</v>
      </c>
      <c r="IU36" t="e">
        <f>AND(ТС!G76,"AAAAAG97g/4=")</f>
        <v>#VALUE!</v>
      </c>
      <c r="IV36" t="e">
        <f>AND(ТС!H76,"AAAAAG97g/8=")</f>
        <v>#VALUE!</v>
      </c>
    </row>
    <row r="37" spans="1:256">
      <c r="A37" t="e">
        <f>AND(ТС!I76,"AAAAAD396AA=")</f>
        <v>#VALUE!</v>
      </c>
      <c r="B37" t="e">
        <f>AND(ТС!J76,"AAAAAD396AE=")</f>
        <v>#VALUE!</v>
      </c>
      <c r="C37" t="e">
        <f>AND(ТС!K76,"AAAAAD396AI=")</f>
        <v>#VALUE!</v>
      </c>
      <c r="D37">
        <f>IF(ТС!77:77,"AAAAAD396AM=",0)</f>
        <v>0</v>
      </c>
      <c r="E37" t="e">
        <f>AND(ТС!A77,"AAAAAD396AQ=")</f>
        <v>#VALUE!</v>
      </c>
      <c r="F37" t="e">
        <f>AND(ТС!B77,"AAAAAD396AU=")</f>
        <v>#VALUE!</v>
      </c>
      <c r="G37" t="e">
        <f>AND(ТС!C77,"AAAAAD396AY=")</f>
        <v>#VALUE!</v>
      </c>
      <c r="H37" t="e">
        <f>AND(ТС!D77,"AAAAAD396Ac=")</f>
        <v>#VALUE!</v>
      </c>
      <c r="I37" t="e">
        <f>AND(ТС!E77,"AAAAAD396Ag=")</f>
        <v>#VALUE!</v>
      </c>
      <c r="J37" t="e">
        <f>AND(ТС!F77,"AAAAAD396Ak=")</f>
        <v>#VALUE!</v>
      </c>
      <c r="K37" t="e">
        <f>AND(ТС!G77,"AAAAAD396Ao=")</f>
        <v>#VALUE!</v>
      </c>
      <c r="L37" t="e">
        <f>AND(ТС!H77,"AAAAAD396As=")</f>
        <v>#VALUE!</v>
      </c>
      <c r="M37" t="e">
        <f>AND(ТС!I77,"AAAAAD396Aw=")</f>
        <v>#VALUE!</v>
      </c>
      <c r="N37" t="e">
        <f>AND(ТС!J77,"AAAAAD396A0=")</f>
        <v>#VALUE!</v>
      </c>
      <c r="O37" t="e">
        <f>AND(ТС!K77,"AAAAAD396A4=")</f>
        <v>#VALUE!</v>
      </c>
      <c r="P37">
        <f>IF(ТС!78:78,"AAAAAD396A8=",0)</f>
        <v>0</v>
      </c>
      <c r="Q37" t="e">
        <f>AND(ТС!A78,"AAAAAD396BA=")</f>
        <v>#VALUE!</v>
      </c>
      <c r="R37" t="e">
        <f>AND(ТС!B78,"AAAAAD396BE=")</f>
        <v>#VALUE!</v>
      </c>
      <c r="S37" t="e">
        <f>AND(ТС!C78,"AAAAAD396BI=")</f>
        <v>#VALUE!</v>
      </c>
      <c r="T37" t="e">
        <f>AND(ТС!D78,"AAAAAD396BM=")</f>
        <v>#VALUE!</v>
      </c>
      <c r="U37" t="e">
        <f>AND(ТС!E78,"AAAAAD396BQ=")</f>
        <v>#VALUE!</v>
      </c>
      <c r="V37" t="e">
        <f>AND(ТС!F78,"AAAAAD396BU=")</f>
        <v>#VALUE!</v>
      </c>
      <c r="W37" t="e">
        <f>AND(ТС!G78,"AAAAAD396BY=")</f>
        <v>#VALUE!</v>
      </c>
      <c r="X37" t="e">
        <f>AND(ТС!H78,"AAAAAD396Bc=")</f>
        <v>#VALUE!</v>
      </c>
      <c r="Y37" t="e">
        <f>AND(ТС!I78,"AAAAAD396Bg=")</f>
        <v>#VALUE!</v>
      </c>
      <c r="Z37" t="e">
        <f>AND(ТС!J78,"AAAAAD396Bk=")</f>
        <v>#VALUE!</v>
      </c>
      <c r="AA37" t="e">
        <f>AND(ТС!K78,"AAAAAD396Bo=")</f>
        <v>#VALUE!</v>
      </c>
      <c r="AB37">
        <f>IF(ТС!79:79,"AAAAAD396Bs=",0)</f>
        <v>0</v>
      </c>
      <c r="AC37" t="e">
        <f>AND(ТС!A79,"AAAAAD396Bw=")</f>
        <v>#VALUE!</v>
      </c>
      <c r="AD37" t="e">
        <f>AND(ТС!B79,"AAAAAD396B0=")</f>
        <v>#VALUE!</v>
      </c>
      <c r="AE37" t="e">
        <f>AND(ТС!C79,"AAAAAD396B4=")</f>
        <v>#VALUE!</v>
      </c>
      <c r="AF37" t="e">
        <f>AND(ТС!D79,"AAAAAD396B8=")</f>
        <v>#VALUE!</v>
      </c>
      <c r="AG37" t="e">
        <f>AND(ТС!E79,"AAAAAD396CA=")</f>
        <v>#VALUE!</v>
      </c>
      <c r="AH37" t="e">
        <f>AND(ТС!F79,"AAAAAD396CE=")</f>
        <v>#VALUE!</v>
      </c>
      <c r="AI37" t="e">
        <f>AND(ТС!G79,"AAAAAD396CI=")</f>
        <v>#VALUE!</v>
      </c>
      <c r="AJ37" t="e">
        <f>AND(ТС!H79,"AAAAAD396CM=")</f>
        <v>#VALUE!</v>
      </c>
      <c r="AK37" t="e">
        <f>AND(ТС!I79,"AAAAAD396CQ=")</f>
        <v>#VALUE!</v>
      </c>
      <c r="AL37" t="e">
        <f>AND(ТС!J79,"AAAAAD396CU=")</f>
        <v>#VALUE!</v>
      </c>
      <c r="AM37" t="e">
        <f>AND(ТС!K79,"AAAAAD396CY=")</f>
        <v>#VALUE!</v>
      </c>
      <c r="AN37">
        <f>IF(ТС!80:80,"AAAAAD396Cc=",0)</f>
        <v>0</v>
      </c>
      <c r="AO37" t="e">
        <f>AND(ТС!A80,"AAAAAD396Cg=")</f>
        <v>#VALUE!</v>
      </c>
      <c r="AP37" t="e">
        <f>AND(ТС!B80,"AAAAAD396Ck=")</f>
        <v>#VALUE!</v>
      </c>
      <c r="AQ37" t="e">
        <f>AND(ТС!C80,"AAAAAD396Co=")</f>
        <v>#VALUE!</v>
      </c>
      <c r="AR37" t="e">
        <f>AND(ТС!D80,"AAAAAD396Cs=")</f>
        <v>#VALUE!</v>
      </c>
      <c r="AS37" t="e">
        <f>AND(ТС!E80,"AAAAAD396Cw=")</f>
        <v>#VALUE!</v>
      </c>
      <c r="AT37" t="e">
        <f>AND(ТС!F80,"AAAAAD396C0=")</f>
        <v>#VALUE!</v>
      </c>
      <c r="AU37" t="e">
        <f>AND(ТС!G80,"AAAAAD396C4=")</f>
        <v>#VALUE!</v>
      </c>
      <c r="AV37" t="e">
        <f>AND(ТС!H80,"AAAAAD396C8=")</f>
        <v>#VALUE!</v>
      </c>
      <c r="AW37" t="e">
        <f>AND(ТС!I80,"AAAAAD396DA=")</f>
        <v>#VALUE!</v>
      </c>
      <c r="AX37" t="e">
        <f>AND(ТС!J80,"AAAAAD396DE=")</f>
        <v>#VALUE!</v>
      </c>
      <c r="AY37" t="e">
        <f>AND(ТС!K80,"AAAAAD396DI=")</f>
        <v>#VALUE!</v>
      </c>
      <c r="AZ37">
        <f>IF(ТС!81:81,"AAAAAD396DM=",0)</f>
        <v>0</v>
      </c>
      <c r="BA37" t="e">
        <f>AND(ТС!A81,"AAAAAD396DQ=")</f>
        <v>#VALUE!</v>
      </c>
      <c r="BB37" t="e">
        <f>AND(ТС!B81,"AAAAAD396DU=")</f>
        <v>#VALUE!</v>
      </c>
      <c r="BC37" t="e">
        <f>AND(ТС!C81,"AAAAAD396DY=")</f>
        <v>#VALUE!</v>
      </c>
      <c r="BD37" t="e">
        <f>AND(ТС!D81,"AAAAAD396Dc=")</f>
        <v>#VALUE!</v>
      </c>
      <c r="BE37" t="e">
        <f>AND(ТС!E81,"AAAAAD396Dg=")</f>
        <v>#VALUE!</v>
      </c>
      <c r="BF37" t="e">
        <f>AND(ТС!F81,"AAAAAD396Dk=")</f>
        <v>#VALUE!</v>
      </c>
      <c r="BG37" t="e">
        <f>AND(ТС!G81,"AAAAAD396Do=")</f>
        <v>#VALUE!</v>
      </c>
      <c r="BH37" t="e">
        <f>AND(ТС!H81,"AAAAAD396Ds=")</f>
        <v>#VALUE!</v>
      </c>
      <c r="BI37" t="e">
        <f>AND(ТС!I81,"AAAAAD396Dw=")</f>
        <v>#VALUE!</v>
      </c>
      <c r="BJ37" t="e">
        <f>AND(ТС!J81,"AAAAAD396D0=")</f>
        <v>#VALUE!</v>
      </c>
      <c r="BK37" t="e">
        <f>AND(ТС!K81,"AAAAAD396D4=")</f>
        <v>#VALUE!</v>
      </c>
      <c r="BL37">
        <f>IF(ТС!82:82,"AAAAAD396D8=",0)</f>
        <v>0</v>
      </c>
      <c r="BM37" t="e">
        <f>AND(ТС!A82,"AAAAAD396EA=")</f>
        <v>#VALUE!</v>
      </c>
      <c r="BN37" t="e">
        <f>AND(ТС!B82,"AAAAAD396EE=")</f>
        <v>#VALUE!</v>
      </c>
      <c r="BO37" t="e">
        <f>AND(ТС!C82,"AAAAAD396EI=")</f>
        <v>#VALUE!</v>
      </c>
      <c r="BP37" t="e">
        <f>AND(ТС!D82,"AAAAAD396EM=")</f>
        <v>#VALUE!</v>
      </c>
      <c r="BQ37" t="e">
        <f>AND(ТС!E82,"AAAAAD396EQ=")</f>
        <v>#VALUE!</v>
      </c>
      <c r="BR37" t="e">
        <f>AND(ТС!F82,"AAAAAD396EU=")</f>
        <v>#VALUE!</v>
      </c>
      <c r="BS37" t="e">
        <f>AND(ТС!G82,"AAAAAD396EY=")</f>
        <v>#VALUE!</v>
      </c>
      <c r="BT37" t="e">
        <f>AND(ТС!H82,"AAAAAD396Ec=")</f>
        <v>#VALUE!</v>
      </c>
      <c r="BU37" t="e">
        <f>AND(ТС!I82,"AAAAAD396Eg=")</f>
        <v>#VALUE!</v>
      </c>
      <c r="BV37" t="e">
        <f>AND(ТС!J82,"AAAAAD396Ek=")</f>
        <v>#VALUE!</v>
      </c>
      <c r="BW37" t="e">
        <f>AND(ТС!K82,"AAAAAD396Eo=")</f>
        <v>#VALUE!</v>
      </c>
      <c r="BX37">
        <f>IF(ТС!83:83,"AAAAAD396Es=",0)</f>
        <v>0</v>
      </c>
      <c r="BY37" t="e">
        <f>AND(ТС!A83,"AAAAAD396Ew=")</f>
        <v>#VALUE!</v>
      </c>
      <c r="BZ37" t="e">
        <f>AND(ТС!B83,"AAAAAD396E0=")</f>
        <v>#VALUE!</v>
      </c>
      <c r="CA37" t="e">
        <f>AND(ТС!C83,"AAAAAD396E4=")</f>
        <v>#VALUE!</v>
      </c>
      <c r="CB37" t="e">
        <f>AND(ТС!D83,"AAAAAD396E8=")</f>
        <v>#VALUE!</v>
      </c>
      <c r="CC37" t="e">
        <f>AND(ТС!E83,"AAAAAD396FA=")</f>
        <v>#VALUE!</v>
      </c>
      <c r="CD37" t="e">
        <f>AND(ТС!F83,"AAAAAD396FE=")</f>
        <v>#VALUE!</v>
      </c>
      <c r="CE37" t="e">
        <f>AND(ТС!G83,"AAAAAD396FI=")</f>
        <v>#VALUE!</v>
      </c>
      <c r="CF37" t="e">
        <f>AND(ТС!H83,"AAAAAD396FM=")</f>
        <v>#VALUE!</v>
      </c>
      <c r="CG37" t="e">
        <f>AND(ТС!I83,"AAAAAD396FQ=")</f>
        <v>#VALUE!</v>
      </c>
      <c r="CH37" t="e">
        <f>AND(ТС!J83,"AAAAAD396FU=")</f>
        <v>#VALUE!</v>
      </c>
      <c r="CI37" t="e">
        <f>AND(ТС!K83,"AAAAAD396FY=")</f>
        <v>#VALUE!</v>
      </c>
      <c r="CJ37">
        <f>IF(ТС!84:84,"AAAAAD396Fc=",0)</f>
        <v>0</v>
      </c>
      <c r="CK37" t="e">
        <f>AND(ТС!A84,"AAAAAD396Fg=")</f>
        <v>#VALUE!</v>
      </c>
      <c r="CL37" t="e">
        <f>AND(ТС!B84,"AAAAAD396Fk=")</f>
        <v>#VALUE!</v>
      </c>
      <c r="CM37" t="e">
        <f>AND(ТС!C84,"AAAAAD396Fo=")</f>
        <v>#VALUE!</v>
      </c>
      <c r="CN37" t="e">
        <f>AND(ТС!D84,"AAAAAD396Fs=")</f>
        <v>#VALUE!</v>
      </c>
      <c r="CO37" t="e">
        <f>AND(ТС!E84,"AAAAAD396Fw=")</f>
        <v>#VALUE!</v>
      </c>
      <c r="CP37" t="e">
        <f>AND(ТС!F84,"AAAAAD396F0=")</f>
        <v>#VALUE!</v>
      </c>
      <c r="CQ37" t="e">
        <f>AND(ТС!G84,"AAAAAD396F4=")</f>
        <v>#VALUE!</v>
      </c>
      <c r="CR37" t="e">
        <f>AND(ТС!H84,"AAAAAD396F8=")</f>
        <v>#VALUE!</v>
      </c>
      <c r="CS37" t="e">
        <f>AND(ТС!I84,"AAAAAD396GA=")</f>
        <v>#VALUE!</v>
      </c>
      <c r="CT37" t="e">
        <f>AND(ТС!J84,"AAAAAD396GE=")</f>
        <v>#VALUE!</v>
      </c>
      <c r="CU37" t="e">
        <f>AND(ТС!K84,"AAAAAD396GI=")</f>
        <v>#VALUE!</v>
      </c>
      <c r="CV37">
        <f>IF(ТС!85:85,"AAAAAD396GM=",0)</f>
        <v>0</v>
      </c>
      <c r="CW37" t="e">
        <f>AND(ТС!A85,"AAAAAD396GQ=")</f>
        <v>#VALUE!</v>
      </c>
      <c r="CX37" t="e">
        <f>AND(ТС!B85,"AAAAAD396GU=")</f>
        <v>#VALUE!</v>
      </c>
      <c r="CY37" t="e">
        <f>AND(ТС!C85,"AAAAAD396GY=")</f>
        <v>#VALUE!</v>
      </c>
      <c r="CZ37" t="e">
        <f>AND(ТС!D85,"AAAAAD396Gc=")</f>
        <v>#VALUE!</v>
      </c>
      <c r="DA37" t="e">
        <f>AND(ТС!E85,"AAAAAD396Gg=")</f>
        <v>#VALUE!</v>
      </c>
      <c r="DB37" t="e">
        <f>AND(ТС!F85,"AAAAAD396Gk=")</f>
        <v>#VALUE!</v>
      </c>
      <c r="DC37" t="e">
        <f>AND(ТС!G85,"AAAAAD396Go=")</f>
        <v>#VALUE!</v>
      </c>
      <c r="DD37" t="e">
        <f>AND(ТС!H85,"AAAAAD396Gs=")</f>
        <v>#VALUE!</v>
      </c>
      <c r="DE37" t="e">
        <f>AND(ТС!I85,"AAAAAD396Gw=")</f>
        <v>#VALUE!</v>
      </c>
      <c r="DF37" t="e">
        <f>AND(ТС!J85,"AAAAAD396G0=")</f>
        <v>#VALUE!</v>
      </c>
      <c r="DG37" t="e">
        <f>AND(ТС!K85,"AAAAAD396G4=")</f>
        <v>#VALUE!</v>
      </c>
      <c r="DH37">
        <f>IF(ТС!86:86,"AAAAAD396G8=",0)</f>
        <v>0</v>
      </c>
      <c r="DI37" t="e">
        <f>AND(ТС!A86,"AAAAAD396HA=")</f>
        <v>#VALUE!</v>
      </c>
      <c r="DJ37" t="e">
        <f>AND(ТС!B86,"AAAAAD396HE=")</f>
        <v>#VALUE!</v>
      </c>
      <c r="DK37" t="e">
        <f>AND(ТС!C86,"AAAAAD396HI=")</f>
        <v>#VALUE!</v>
      </c>
      <c r="DL37" t="e">
        <f>AND(ТС!D86,"AAAAAD396HM=")</f>
        <v>#VALUE!</v>
      </c>
      <c r="DM37" t="e">
        <f>AND(ТС!E86,"AAAAAD396HQ=")</f>
        <v>#VALUE!</v>
      </c>
      <c r="DN37" t="e">
        <f>AND(ТС!F86,"AAAAAD396HU=")</f>
        <v>#VALUE!</v>
      </c>
      <c r="DO37" t="e">
        <f>AND(ТС!G86,"AAAAAD396HY=")</f>
        <v>#VALUE!</v>
      </c>
      <c r="DP37" t="e">
        <f>AND(ТС!H86,"AAAAAD396Hc=")</f>
        <v>#VALUE!</v>
      </c>
      <c r="DQ37" t="e">
        <f>AND(ТС!I86,"AAAAAD396Hg=")</f>
        <v>#VALUE!</v>
      </c>
      <c r="DR37" t="e">
        <f>AND(ТС!J86,"AAAAAD396Hk=")</f>
        <v>#VALUE!</v>
      </c>
      <c r="DS37" t="e">
        <f>AND(ТС!K86,"AAAAAD396Ho=")</f>
        <v>#VALUE!</v>
      </c>
      <c r="DT37">
        <f>IF(ТС!87:87,"AAAAAD396Hs=",0)</f>
        <v>0</v>
      </c>
      <c r="DU37" t="e">
        <f>AND(ТС!A87,"AAAAAD396Hw=")</f>
        <v>#VALUE!</v>
      </c>
      <c r="DV37" t="e">
        <f>AND(ТС!B87,"AAAAAD396H0=")</f>
        <v>#VALUE!</v>
      </c>
      <c r="DW37" t="e">
        <f>AND(ТС!C87,"AAAAAD396H4=")</f>
        <v>#VALUE!</v>
      </c>
      <c r="DX37" t="e">
        <f>AND(ТС!D87,"AAAAAD396H8=")</f>
        <v>#VALUE!</v>
      </c>
      <c r="DY37" t="e">
        <f>AND(ТС!E87,"AAAAAD396IA=")</f>
        <v>#VALUE!</v>
      </c>
      <c r="DZ37" t="e">
        <f>AND(ТС!F87,"AAAAAD396IE=")</f>
        <v>#VALUE!</v>
      </c>
      <c r="EA37" t="e">
        <f>AND(ТС!G87,"AAAAAD396II=")</f>
        <v>#VALUE!</v>
      </c>
      <c r="EB37" t="e">
        <f>AND(ТС!H87,"AAAAAD396IM=")</f>
        <v>#VALUE!</v>
      </c>
      <c r="EC37" t="e">
        <f>AND(ТС!I87,"AAAAAD396IQ=")</f>
        <v>#VALUE!</v>
      </c>
      <c r="ED37" t="e">
        <f>AND(ТС!J87,"AAAAAD396IU=")</f>
        <v>#VALUE!</v>
      </c>
      <c r="EE37" t="e">
        <f>AND(ТС!K87,"AAAAAD396IY=")</f>
        <v>#VALUE!</v>
      </c>
      <c r="EF37">
        <f>IF(ТС!88:88,"AAAAAD396Ic=",0)</f>
        <v>0</v>
      </c>
      <c r="EG37" t="e">
        <f>AND(ТС!A88,"AAAAAD396Ig=")</f>
        <v>#VALUE!</v>
      </c>
      <c r="EH37" t="e">
        <f>AND(ТС!B88,"AAAAAD396Ik=")</f>
        <v>#VALUE!</v>
      </c>
      <c r="EI37" t="e">
        <f>AND(ТС!C88,"AAAAAD396Io=")</f>
        <v>#VALUE!</v>
      </c>
      <c r="EJ37" t="e">
        <f>AND(ТС!D88,"AAAAAD396Is=")</f>
        <v>#VALUE!</v>
      </c>
      <c r="EK37" t="e">
        <f>AND(ТС!E88,"AAAAAD396Iw=")</f>
        <v>#VALUE!</v>
      </c>
      <c r="EL37" t="e">
        <f>AND(ТС!F88,"AAAAAD396I0=")</f>
        <v>#VALUE!</v>
      </c>
      <c r="EM37" t="e">
        <f>AND(ТС!G88,"AAAAAD396I4=")</f>
        <v>#VALUE!</v>
      </c>
      <c r="EN37" t="e">
        <f>AND(ТС!H88,"AAAAAD396I8=")</f>
        <v>#VALUE!</v>
      </c>
      <c r="EO37" t="e">
        <f>AND(ТС!I88,"AAAAAD396JA=")</f>
        <v>#VALUE!</v>
      </c>
      <c r="EP37" t="e">
        <f>AND(ТС!J88,"AAAAAD396JE=")</f>
        <v>#VALUE!</v>
      </c>
      <c r="EQ37" t="e">
        <f>AND(ТС!K88,"AAAAAD396JI=")</f>
        <v>#VALUE!</v>
      </c>
      <c r="ER37">
        <f>IF(ТС!89:89,"AAAAAD396JM=",0)</f>
        <v>0</v>
      </c>
      <c r="ES37" t="e">
        <f>AND(ТС!A89,"AAAAAD396JQ=")</f>
        <v>#VALUE!</v>
      </c>
      <c r="ET37" t="e">
        <f>AND(ТС!B89,"AAAAAD396JU=")</f>
        <v>#VALUE!</v>
      </c>
      <c r="EU37" t="e">
        <f>AND(ТС!C89,"AAAAAD396JY=")</f>
        <v>#VALUE!</v>
      </c>
      <c r="EV37" t="e">
        <f>AND(ТС!D89,"AAAAAD396Jc=")</f>
        <v>#VALUE!</v>
      </c>
      <c r="EW37" t="e">
        <f>AND(ТС!E89,"AAAAAD396Jg=")</f>
        <v>#VALUE!</v>
      </c>
      <c r="EX37" t="e">
        <f>AND(ТС!F89,"AAAAAD396Jk=")</f>
        <v>#VALUE!</v>
      </c>
      <c r="EY37" t="e">
        <f>AND(ТС!G89,"AAAAAD396Jo=")</f>
        <v>#VALUE!</v>
      </c>
      <c r="EZ37" t="e">
        <f>AND(ТС!H89,"AAAAAD396Js=")</f>
        <v>#VALUE!</v>
      </c>
      <c r="FA37" t="e">
        <f>AND(ТС!I89,"AAAAAD396Jw=")</f>
        <v>#VALUE!</v>
      </c>
      <c r="FB37" t="e">
        <f>AND(ТС!J89,"AAAAAD396J0=")</f>
        <v>#VALUE!</v>
      </c>
      <c r="FC37" t="e">
        <f>AND(ТС!K89,"AAAAAD396J4=")</f>
        <v>#VALUE!</v>
      </c>
      <c r="FD37">
        <f>IF(ТС!90:90,"AAAAAD396J8=",0)</f>
        <v>0</v>
      </c>
      <c r="FE37" t="e">
        <f>AND(ТС!A90,"AAAAAD396KA=")</f>
        <v>#VALUE!</v>
      </c>
      <c r="FF37" t="e">
        <f>AND(ТС!B90,"AAAAAD396KE=")</f>
        <v>#VALUE!</v>
      </c>
      <c r="FG37" t="e">
        <f>AND(ТС!C90,"AAAAAD396KI=")</f>
        <v>#VALUE!</v>
      </c>
      <c r="FH37" t="e">
        <f>AND(ТС!D90,"AAAAAD396KM=")</f>
        <v>#VALUE!</v>
      </c>
      <c r="FI37" t="e">
        <f>AND(ТС!E90,"AAAAAD396KQ=")</f>
        <v>#VALUE!</v>
      </c>
      <c r="FJ37" t="e">
        <f>AND(ТС!F90,"AAAAAD396KU=")</f>
        <v>#VALUE!</v>
      </c>
      <c r="FK37" t="e">
        <f>AND(ТС!G90,"AAAAAD396KY=")</f>
        <v>#VALUE!</v>
      </c>
      <c r="FL37" t="e">
        <f>AND(ТС!H90,"AAAAAD396Kc=")</f>
        <v>#VALUE!</v>
      </c>
      <c r="FM37" t="e">
        <f>AND(ТС!I90,"AAAAAD396Kg=")</f>
        <v>#VALUE!</v>
      </c>
      <c r="FN37" t="e">
        <f>AND(ТС!J90,"AAAAAD396Kk=")</f>
        <v>#VALUE!</v>
      </c>
      <c r="FO37" t="e">
        <f>AND(ТС!K90,"AAAAAD396Ko=")</f>
        <v>#VALUE!</v>
      </c>
      <c r="FP37">
        <f>IF(ТС!91:91,"AAAAAD396Ks=",0)</f>
        <v>0</v>
      </c>
      <c r="FQ37" t="e">
        <f>AND(ТС!A91,"AAAAAD396Kw=")</f>
        <v>#VALUE!</v>
      </c>
      <c r="FR37" t="e">
        <f>AND(ТС!B91,"AAAAAD396K0=")</f>
        <v>#VALUE!</v>
      </c>
      <c r="FS37" t="e">
        <f>AND(ТС!C91,"AAAAAD396K4=")</f>
        <v>#VALUE!</v>
      </c>
      <c r="FT37" t="e">
        <f>AND(ТС!D91,"AAAAAD396K8=")</f>
        <v>#VALUE!</v>
      </c>
      <c r="FU37" t="e">
        <f>AND(ТС!E91,"AAAAAD396LA=")</f>
        <v>#VALUE!</v>
      </c>
      <c r="FV37" t="e">
        <f>AND(ТС!F91,"AAAAAD396LE=")</f>
        <v>#VALUE!</v>
      </c>
      <c r="FW37" t="e">
        <f>AND(ТС!G91,"AAAAAD396LI=")</f>
        <v>#VALUE!</v>
      </c>
      <c r="FX37" t="e">
        <f>AND(ТС!H91,"AAAAAD396LM=")</f>
        <v>#VALUE!</v>
      </c>
      <c r="FY37" t="e">
        <f>AND(ТС!I91,"AAAAAD396LQ=")</f>
        <v>#VALUE!</v>
      </c>
      <c r="FZ37" t="e">
        <f>AND(ТС!J91,"AAAAAD396LU=")</f>
        <v>#VALUE!</v>
      </c>
      <c r="GA37" t="e">
        <f>AND(ТС!K91,"AAAAAD396LY=")</f>
        <v>#VALUE!</v>
      </c>
      <c r="GB37">
        <f>IF(ТС!92:92,"AAAAAD396Lc=",0)</f>
        <v>0</v>
      </c>
      <c r="GC37" t="e">
        <f>AND(ТС!A92,"AAAAAD396Lg=")</f>
        <v>#VALUE!</v>
      </c>
      <c r="GD37" t="e">
        <f>AND(ТС!B92,"AAAAAD396Lk=")</f>
        <v>#VALUE!</v>
      </c>
      <c r="GE37" t="e">
        <f>AND(ТС!C92,"AAAAAD396Lo=")</f>
        <v>#VALUE!</v>
      </c>
      <c r="GF37" t="e">
        <f>AND(ТС!D92,"AAAAAD396Ls=")</f>
        <v>#VALUE!</v>
      </c>
      <c r="GG37" t="e">
        <f>AND(ТС!E92,"AAAAAD396Lw=")</f>
        <v>#VALUE!</v>
      </c>
      <c r="GH37" t="e">
        <f>AND(ТС!F92,"AAAAAD396L0=")</f>
        <v>#VALUE!</v>
      </c>
      <c r="GI37" t="e">
        <f>AND(ТС!G92,"AAAAAD396L4=")</f>
        <v>#VALUE!</v>
      </c>
      <c r="GJ37" t="e">
        <f>AND(ТС!H92,"AAAAAD396L8=")</f>
        <v>#VALUE!</v>
      </c>
      <c r="GK37" t="e">
        <f>AND(ТС!I92,"AAAAAD396MA=")</f>
        <v>#VALUE!</v>
      </c>
      <c r="GL37" t="e">
        <f>AND(ТС!J92,"AAAAAD396ME=")</f>
        <v>#VALUE!</v>
      </c>
      <c r="GM37" t="e">
        <f>AND(ТС!K92,"AAAAAD396MI=")</f>
        <v>#VALUE!</v>
      </c>
      <c r="GN37">
        <f>IF(ТС!93:93,"AAAAAD396MM=",0)</f>
        <v>0</v>
      </c>
      <c r="GO37" t="e">
        <f>AND(ТС!A93,"AAAAAD396MQ=")</f>
        <v>#VALUE!</v>
      </c>
      <c r="GP37" t="e">
        <f>AND(ТС!B93,"AAAAAD396MU=")</f>
        <v>#VALUE!</v>
      </c>
      <c r="GQ37" t="e">
        <f>AND(ТС!C93,"AAAAAD396MY=")</f>
        <v>#VALUE!</v>
      </c>
      <c r="GR37" t="e">
        <f>AND(ТС!D93,"AAAAAD396Mc=")</f>
        <v>#VALUE!</v>
      </c>
      <c r="GS37" t="e">
        <f>AND(ТС!E93,"AAAAAD396Mg=")</f>
        <v>#VALUE!</v>
      </c>
      <c r="GT37" t="e">
        <f>AND(ТС!F93,"AAAAAD396Mk=")</f>
        <v>#VALUE!</v>
      </c>
      <c r="GU37" t="e">
        <f>AND(ТС!G93,"AAAAAD396Mo=")</f>
        <v>#VALUE!</v>
      </c>
      <c r="GV37" t="e">
        <f>AND(ТС!H93,"AAAAAD396Ms=")</f>
        <v>#VALUE!</v>
      </c>
      <c r="GW37" t="e">
        <f>AND(ТС!I93,"AAAAAD396Mw=")</f>
        <v>#VALUE!</v>
      </c>
      <c r="GX37" t="e">
        <f>AND(ТС!J93,"AAAAAD396M0=")</f>
        <v>#VALUE!</v>
      </c>
      <c r="GY37" t="e">
        <f>AND(ТС!K93,"AAAAAD396M4=")</f>
        <v>#VALUE!</v>
      </c>
      <c r="GZ37">
        <f>IF(ТС!94:94,"AAAAAD396M8=",0)</f>
        <v>0</v>
      </c>
      <c r="HA37" t="e">
        <f>AND(ТС!A94,"AAAAAD396NA=")</f>
        <v>#VALUE!</v>
      </c>
      <c r="HB37" t="e">
        <f>AND(ТС!B94,"AAAAAD396NE=")</f>
        <v>#VALUE!</v>
      </c>
      <c r="HC37" t="e">
        <f>AND(ТС!C94,"AAAAAD396NI=")</f>
        <v>#VALUE!</v>
      </c>
      <c r="HD37" t="e">
        <f>AND(ТС!D94,"AAAAAD396NM=")</f>
        <v>#VALUE!</v>
      </c>
      <c r="HE37" t="e">
        <f>AND(ТС!E94,"AAAAAD396NQ=")</f>
        <v>#VALUE!</v>
      </c>
      <c r="HF37" t="e">
        <f>AND(ТС!F94,"AAAAAD396NU=")</f>
        <v>#VALUE!</v>
      </c>
      <c r="HG37" t="e">
        <f>AND(ТС!G94,"AAAAAD396NY=")</f>
        <v>#VALUE!</v>
      </c>
      <c r="HH37" t="e">
        <f>AND(ТС!H94,"AAAAAD396Nc=")</f>
        <v>#VALUE!</v>
      </c>
      <c r="HI37" t="e">
        <f>AND(ТС!I94,"AAAAAD396Ng=")</f>
        <v>#VALUE!</v>
      </c>
      <c r="HJ37" t="e">
        <f>AND(ТС!J94,"AAAAAD396Nk=")</f>
        <v>#VALUE!</v>
      </c>
      <c r="HK37" t="e">
        <f>AND(ТС!K94,"AAAAAD396No=")</f>
        <v>#VALUE!</v>
      </c>
      <c r="HL37">
        <f>IF(ТС!95:95,"AAAAAD396Ns=",0)</f>
        <v>0</v>
      </c>
      <c r="HM37" t="e">
        <f>AND(ТС!A95,"AAAAAD396Nw=")</f>
        <v>#VALUE!</v>
      </c>
      <c r="HN37" t="e">
        <f>AND(ТС!B95,"AAAAAD396N0=")</f>
        <v>#VALUE!</v>
      </c>
      <c r="HO37" t="e">
        <f>AND(ТС!C95,"AAAAAD396N4=")</f>
        <v>#VALUE!</v>
      </c>
      <c r="HP37" t="e">
        <f>AND(ТС!D95,"AAAAAD396N8=")</f>
        <v>#VALUE!</v>
      </c>
      <c r="HQ37" t="e">
        <f>AND(ТС!E95,"AAAAAD396OA=")</f>
        <v>#VALUE!</v>
      </c>
      <c r="HR37" t="e">
        <f>AND(ТС!F95,"AAAAAD396OE=")</f>
        <v>#VALUE!</v>
      </c>
      <c r="HS37" t="e">
        <f>AND(ТС!G95,"AAAAAD396OI=")</f>
        <v>#VALUE!</v>
      </c>
      <c r="HT37" t="e">
        <f>AND(ТС!H95,"AAAAAD396OM=")</f>
        <v>#VALUE!</v>
      </c>
      <c r="HU37" t="e">
        <f>AND(ТС!I95,"AAAAAD396OQ=")</f>
        <v>#VALUE!</v>
      </c>
      <c r="HV37" t="e">
        <f>AND(ТС!J95,"AAAAAD396OU=")</f>
        <v>#VALUE!</v>
      </c>
      <c r="HW37" t="e">
        <f>AND(ТС!K95,"AAAAAD396OY=")</f>
        <v>#VALUE!</v>
      </c>
      <c r="HX37">
        <f>IF(ТС!96:96,"AAAAAD396Oc=",0)</f>
        <v>0</v>
      </c>
      <c r="HY37" t="e">
        <f>AND(ТС!A96,"AAAAAD396Og=")</f>
        <v>#VALUE!</v>
      </c>
      <c r="HZ37" t="e">
        <f>AND(ТС!B96,"AAAAAD396Ok=")</f>
        <v>#VALUE!</v>
      </c>
      <c r="IA37" t="e">
        <f>AND(ТС!C96,"AAAAAD396Oo=")</f>
        <v>#VALUE!</v>
      </c>
      <c r="IB37" t="e">
        <f>AND(ТС!D96,"AAAAAD396Os=")</f>
        <v>#VALUE!</v>
      </c>
      <c r="IC37" t="e">
        <f>AND(ТС!E96,"AAAAAD396Ow=")</f>
        <v>#VALUE!</v>
      </c>
      <c r="ID37" t="e">
        <f>AND(ТС!F96,"AAAAAD396O0=")</f>
        <v>#VALUE!</v>
      </c>
      <c r="IE37" t="e">
        <f>AND(ТС!G96,"AAAAAD396O4=")</f>
        <v>#VALUE!</v>
      </c>
      <c r="IF37" t="e">
        <f>AND(ТС!H96,"AAAAAD396O8=")</f>
        <v>#VALUE!</v>
      </c>
      <c r="IG37" t="e">
        <f>AND(ТС!I96,"AAAAAD396PA=")</f>
        <v>#VALUE!</v>
      </c>
      <c r="IH37" t="e">
        <f>AND(ТС!J96,"AAAAAD396PE=")</f>
        <v>#VALUE!</v>
      </c>
      <c r="II37" t="e">
        <f>AND(ТС!K96,"AAAAAD396PI=")</f>
        <v>#VALUE!</v>
      </c>
      <c r="IJ37">
        <f>IF(ТС!97:97,"AAAAAD396PM=",0)</f>
        <v>0</v>
      </c>
      <c r="IK37" t="e">
        <f>AND(ТС!A97,"AAAAAD396PQ=")</f>
        <v>#VALUE!</v>
      </c>
      <c r="IL37" t="e">
        <f>AND(ТС!B97,"AAAAAD396PU=")</f>
        <v>#VALUE!</v>
      </c>
      <c r="IM37" t="e">
        <f>AND(ТС!C97,"AAAAAD396PY=")</f>
        <v>#VALUE!</v>
      </c>
      <c r="IN37" t="e">
        <f>AND(ТС!D97,"AAAAAD396Pc=")</f>
        <v>#VALUE!</v>
      </c>
      <c r="IO37" t="e">
        <f>AND(ТС!E97,"AAAAAD396Pg=")</f>
        <v>#VALUE!</v>
      </c>
      <c r="IP37" t="e">
        <f>AND(ТС!F97,"AAAAAD396Pk=")</f>
        <v>#VALUE!</v>
      </c>
      <c r="IQ37" t="e">
        <f>AND(ТС!G97,"AAAAAD396Po=")</f>
        <v>#VALUE!</v>
      </c>
      <c r="IR37" t="e">
        <f>AND(ТС!H97,"AAAAAD396Ps=")</f>
        <v>#VALUE!</v>
      </c>
      <c r="IS37" t="e">
        <f>AND(ТС!I97,"AAAAAD396Pw=")</f>
        <v>#VALUE!</v>
      </c>
      <c r="IT37" t="e">
        <f>AND(ТС!J97,"AAAAAD396P0=")</f>
        <v>#VALUE!</v>
      </c>
      <c r="IU37" t="e">
        <f>AND(ТС!K97,"AAAAAD396P4=")</f>
        <v>#VALUE!</v>
      </c>
      <c r="IV37">
        <f>IF(ТС!98:98,"AAAAAD396P8=",0)</f>
        <v>0</v>
      </c>
    </row>
    <row r="38" spans="1:256">
      <c r="A38" t="e">
        <f>AND(ТС!A98,"AAAAAF+t0wA=")</f>
        <v>#VALUE!</v>
      </c>
      <c r="B38" t="e">
        <f>AND(ТС!B98,"AAAAAF+t0wE=")</f>
        <v>#VALUE!</v>
      </c>
      <c r="C38" t="e">
        <f>AND(ТС!C98,"AAAAAF+t0wI=")</f>
        <v>#VALUE!</v>
      </c>
      <c r="D38" t="e">
        <f>AND(ТС!D98,"AAAAAF+t0wM=")</f>
        <v>#VALUE!</v>
      </c>
      <c r="E38" t="e">
        <f>AND(ТС!E98,"AAAAAF+t0wQ=")</f>
        <v>#VALUE!</v>
      </c>
      <c r="F38" t="e">
        <f>AND(ТС!F98,"AAAAAF+t0wU=")</f>
        <v>#VALUE!</v>
      </c>
      <c r="G38" t="e">
        <f>AND(ТС!G98,"AAAAAF+t0wY=")</f>
        <v>#VALUE!</v>
      </c>
      <c r="H38" t="e">
        <f>AND(ТС!H98,"AAAAAF+t0wc=")</f>
        <v>#VALUE!</v>
      </c>
      <c r="I38" t="e">
        <f>AND(ТС!I98,"AAAAAF+t0wg=")</f>
        <v>#VALUE!</v>
      </c>
      <c r="J38" t="e">
        <f>AND(ТС!J98,"AAAAAF+t0wk=")</f>
        <v>#VALUE!</v>
      </c>
      <c r="K38" t="e">
        <f>AND(ТС!K98,"AAAAAF+t0wo=")</f>
        <v>#VALUE!</v>
      </c>
      <c r="L38">
        <f>IF(ТС!99:99,"AAAAAF+t0ws=",0)</f>
        <v>0</v>
      </c>
      <c r="M38" t="e">
        <f>AND(ТС!A99,"AAAAAF+t0ww=")</f>
        <v>#VALUE!</v>
      </c>
      <c r="N38" t="e">
        <f>AND(ТС!B99,"AAAAAF+t0w0=")</f>
        <v>#VALUE!</v>
      </c>
      <c r="O38" t="e">
        <f>AND(ТС!C99,"AAAAAF+t0w4=")</f>
        <v>#VALUE!</v>
      </c>
      <c r="P38" t="e">
        <f>AND(ТС!D99,"AAAAAF+t0w8=")</f>
        <v>#VALUE!</v>
      </c>
      <c r="Q38" t="e">
        <f>AND(ТС!E99,"AAAAAF+t0xA=")</f>
        <v>#VALUE!</v>
      </c>
      <c r="R38" t="e">
        <f>AND(ТС!F99,"AAAAAF+t0xE=")</f>
        <v>#VALUE!</v>
      </c>
      <c r="S38" t="e">
        <f>AND(ТС!G99,"AAAAAF+t0xI=")</f>
        <v>#VALUE!</v>
      </c>
      <c r="T38" t="e">
        <f>AND(ТС!H99,"AAAAAF+t0xM=")</f>
        <v>#VALUE!</v>
      </c>
      <c r="U38" t="e">
        <f>AND(ТС!I99,"AAAAAF+t0xQ=")</f>
        <v>#VALUE!</v>
      </c>
      <c r="V38" t="e">
        <f>AND(ТС!J99,"AAAAAF+t0xU=")</f>
        <v>#VALUE!</v>
      </c>
      <c r="W38" t="e">
        <f>AND(ТС!K99,"AAAAAF+t0xY=")</f>
        <v>#VALUE!</v>
      </c>
      <c r="X38">
        <f>IF(ТС!100:100,"AAAAAF+t0xc=",0)</f>
        <v>0</v>
      </c>
      <c r="Y38" t="e">
        <f>AND(ТС!A100,"AAAAAF+t0xg=")</f>
        <v>#VALUE!</v>
      </c>
      <c r="Z38" t="e">
        <f>AND(ТС!B100,"AAAAAF+t0xk=")</f>
        <v>#VALUE!</v>
      </c>
      <c r="AA38" t="e">
        <f>AND(ТС!C100,"AAAAAF+t0xo=")</f>
        <v>#VALUE!</v>
      </c>
      <c r="AB38" t="e">
        <f>AND(ТС!D100,"AAAAAF+t0xs=")</f>
        <v>#VALUE!</v>
      </c>
      <c r="AC38" t="e">
        <f>AND(ТС!E100,"AAAAAF+t0xw=")</f>
        <v>#VALUE!</v>
      </c>
      <c r="AD38" t="e">
        <f>AND(ТС!F100,"AAAAAF+t0x0=")</f>
        <v>#VALUE!</v>
      </c>
      <c r="AE38" t="e">
        <f>AND(ТС!G100,"AAAAAF+t0x4=")</f>
        <v>#VALUE!</v>
      </c>
      <c r="AF38" t="e">
        <f>AND(ТС!H100,"AAAAAF+t0x8=")</f>
        <v>#VALUE!</v>
      </c>
      <c r="AG38" t="e">
        <f>AND(ТС!I100,"AAAAAF+t0yA=")</f>
        <v>#VALUE!</v>
      </c>
      <c r="AH38" t="e">
        <f>AND(ТС!J100,"AAAAAF+t0yE=")</f>
        <v>#VALUE!</v>
      </c>
      <c r="AI38" t="e">
        <f>AND(ТС!K100,"AAAAAF+t0yI=")</f>
        <v>#VALUE!</v>
      </c>
      <c r="AJ38">
        <f>IF(ТС!101:101,"AAAAAF+t0yM=",0)</f>
        <v>0</v>
      </c>
      <c r="AK38" t="e">
        <f>AND(ТС!A101,"AAAAAF+t0yQ=")</f>
        <v>#VALUE!</v>
      </c>
      <c r="AL38" t="e">
        <f>AND(ТС!B101,"AAAAAF+t0yU=")</f>
        <v>#VALUE!</v>
      </c>
      <c r="AM38" t="e">
        <f>AND(ТС!C101,"AAAAAF+t0yY=")</f>
        <v>#VALUE!</v>
      </c>
      <c r="AN38" t="e">
        <f>AND(ТС!D101,"AAAAAF+t0yc=")</f>
        <v>#VALUE!</v>
      </c>
      <c r="AO38" t="e">
        <f>AND(ТС!E101,"AAAAAF+t0yg=")</f>
        <v>#VALUE!</v>
      </c>
      <c r="AP38" t="e">
        <f>AND(ТС!F101,"AAAAAF+t0yk=")</f>
        <v>#VALUE!</v>
      </c>
      <c r="AQ38" t="e">
        <f>AND(ТС!G101,"AAAAAF+t0yo=")</f>
        <v>#VALUE!</v>
      </c>
      <c r="AR38" t="e">
        <f>AND(ТС!H101,"AAAAAF+t0ys=")</f>
        <v>#VALUE!</v>
      </c>
      <c r="AS38" t="e">
        <f>AND(ТС!I101,"AAAAAF+t0yw=")</f>
        <v>#VALUE!</v>
      </c>
      <c r="AT38" t="e">
        <f>AND(ТС!J101,"AAAAAF+t0y0=")</f>
        <v>#VALUE!</v>
      </c>
      <c r="AU38" t="e">
        <f>AND(ТС!K101,"AAAAAF+t0y4=")</f>
        <v>#VALUE!</v>
      </c>
      <c r="AV38">
        <f>IF(ТС!102:102,"AAAAAF+t0y8=",0)</f>
        <v>0</v>
      </c>
      <c r="AW38" t="e">
        <f>AND(ТС!A102,"AAAAAF+t0zA=")</f>
        <v>#VALUE!</v>
      </c>
      <c r="AX38" t="e">
        <f>AND(ТС!B102,"AAAAAF+t0zE=")</f>
        <v>#VALUE!</v>
      </c>
      <c r="AY38" t="e">
        <f>AND(ТС!C102,"AAAAAF+t0zI=")</f>
        <v>#VALUE!</v>
      </c>
      <c r="AZ38" t="e">
        <f>AND(ТС!D102,"AAAAAF+t0zM=")</f>
        <v>#VALUE!</v>
      </c>
      <c r="BA38" t="e">
        <f>AND(ТС!E102,"AAAAAF+t0zQ=")</f>
        <v>#VALUE!</v>
      </c>
      <c r="BB38" t="e">
        <f>AND(ТС!F102,"AAAAAF+t0zU=")</f>
        <v>#VALUE!</v>
      </c>
      <c r="BC38" t="e">
        <f>AND(ТС!G102,"AAAAAF+t0zY=")</f>
        <v>#VALUE!</v>
      </c>
      <c r="BD38" t="e">
        <f>AND(ТС!H102,"AAAAAF+t0zc=")</f>
        <v>#VALUE!</v>
      </c>
      <c r="BE38" t="e">
        <f>AND(ТС!I102,"AAAAAF+t0zg=")</f>
        <v>#VALUE!</v>
      </c>
      <c r="BF38" t="e">
        <f>AND(ТС!J102,"AAAAAF+t0zk=")</f>
        <v>#VALUE!</v>
      </c>
      <c r="BG38" t="e">
        <f>AND(ТС!K102,"AAAAAF+t0zo=")</f>
        <v>#VALUE!</v>
      </c>
      <c r="BH38">
        <f>IF(ТС!103:103,"AAAAAF+t0zs=",0)</f>
        <v>0</v>
      </c>
      <c r="BI38" t="e">
        <f>AND(ТС!A103,"AAAAAF+t0zw=")</f>
        <v>#VALUE!</v>
      </c>
      <c r="BJ38" t="e">
        <f>AND(ТС!B103,"AAAAAF+t0z0=")</f>
        <v>#VALUE!</v>
      </c>
      <c r="BK38" t="e">
        <f>AND(ТС!C103,"AAAAAF+t0z4=")</f>
        <v>#VALUE!</v>
      </c>
      <c r="BL38" t="e">
        <f>AND(ТС!D103,"AAAAAF+t0z8=")</f>
        <v>#VALUE!</v>
      </c>
      <c r="BM38" t="e">
        <f>AND(ТС!E103,"AAAAAF+t00A=")</f>
        <v>#VALUE!</v>
      </c>
      <c r="BN38" t="e">
        <f>AND(ТС!F103,"AAAAAF+t00E=")</f>
        <v>#VALUE!</v>
      </c>
      <c r="BO38" t="e">
        <f>AND(ТС!G103,"AAAAAF+t00I=")</f>
        <v>#VALUE!</v>
      </c>
      <c r="BP38" t="e">
        <f>AND(ТС!H103,"AAAAAF+t00M=")</f>
        <v>#VALUE!</v>
      </c>
      <c r="BQ38" t="e">
        <f>AND(ТС!I103,"AAAAAF+t00Q=")</f>
        <v>#VALUE!</v>
      </c>
      <c r="BR38" t="e">
        <f>AND(ТС!J103,"AAAAAF+t00U=")</f>
        <v>#VALUE!</v>
      </c>
      <c r="BS38" t="e">
        <f>AND(ТС!K103,"AAAAAF+t00Y=")</f>
        <v>#VALUE!</v>
      </c>
      <c r="BT38">
        <f>IF(ТС!104:104,"AAAAAF+t00c=",0)</f>
        <v>0</v>
      </c>
      <c r="BU38" t="e">
        <f>AND(ТС!A104,"AAAAAF+t00g=")</f>
        <v>#VALUE!</v>
      </c>
      <c r="BV38" t="e">
        <f>AND(ТС!B104,"AAAAAF+t00k=")</f>
        <v>#VALUE!</v>
      </c>
      <c r="BW38" t="e">
        <f>AND(ТС!C104,"AAAAAF+t00o=")</f>
        <v>#VALUE!</v>
      </c>
      <c r="BX38" t="e">
        <f>AND(ТС!D104,"AAAAAF+t00s=")</f>
        <v>#VALUE!</v>
      </c>
      <c r="BY38" t="e">
        <f>AND(ТС!E104,"AAAAAF+t00w=")</f>
        <v>#VALUE!</v>
      </c>
      <c r="BZ38" t="e">
        <f>AND(ТС!F104,"AAAAAF+t000=")</f>
        <v>#VALUE!</v>
      </c>
      <c r="CA38" t="e">
        <f>AND(ТС!G104,"AAAAAF+t004=")</f>
        <v>#VALUE!</v>
      </c>
      <c r="CB38" t="e">
        <f>AND(ТС!H104,"AAAAAF+t008=")</f>
        <v>#VALUE!</v>
      </c>
      <c r="CC38" t="e">
        <f>AND(ТС!I104,"AAAAAF+t01A=")</f>
        <v>#VALUE!</v>
      </c>
      <c r="CD38" t="e">
        <f>AND(ТС!J104,"AAAAAF+t01E=")</f>
        <v>#VALUE!</v>
      </c>
      <c r="CE38" t="e">
        <f>AND(ТС!K104,"AAAAAF+t01I=")</f>
        <v>#VALUE!</v>
      </c>
      <c r="CF38">
        <f>IF(ТС!105:105,"AAAAAF+t01M=",0)</f>
        <v>0</v>
      </c>
      <c r="CG38" t="e">
        <f>AND(ТС!A105,"AAAAAF+t01Q=")</f>
        <v>#VALUE!</v>
      </c>
      <c r="CH38" t="e">
        <f>AND(ТС!B105,"AAAAAF+t01U=")</f>
        <v>#VALUE!</v>
      </c>
      <c r="CI38" t="e">
        <f>AND(ТС!C105,"AAAAAF+t01Y=")</f>
        <v>#VALUE!</v>
      </c>
      <c r="CJ38" t="e">
        <f>AND(ТС!D105,"AAAAAF+t01c=")</f>
        <v>#VALUE!</v>
      </c>
      <c r="CK38" t="e">
        <f>AND(ТС!E105,"AAAAAF+t01g=")</f>
        <v>#VALUE!</v>
      </c>
      <c r="CL38" t="e">
        <f>AND(ТС!F105,"AAAAAF+t01k=")</f>
        <v>#VALUE!</v>
      </c>
      <c r="CM38" t="e">
        <f>AND(ТС!G105,"AAAAAF+t01o=")</f>
        <v>#VALUE!</v>
      </c>
      <c r="CN38" t="e">
        <f>AND(ТС!H105,"AAAAAF+t01s=")</f>
        <v>#VALUE!</v>
      </c>
      <c r="CO38" t="e">
        <f>AND(ТС!I105,"AAAAAF+t01w=")</f>
        <v>#VALUE!</v>
      </c>
      <c r="CP38" t="e">
        <f>AND(ТС!J105,"AAAAAF+t010=")</f>
        <v>#VALUE!</v>
      </c>
      <c r="CQ38" t="e">
        <f>AND(ТС!K105,"AAAAAF+t014=")</f>
        <v>#VALUE!</v>
      </c>
      <c r="CR38">
        <f>IF(ТС!106:106,"AAAAAF+t018=",0)</f>
        <v>0</v>
      </c>
      <c r="CS38" t="e">
        <f>AND(ТС!A106,"AAAAAF+t02A=")</f>
        <v>#VALUE!</v>
      </c>
      <c r="CT38" t="e">
        <f>AND(ТС!B106,"AAAAAF+t02E=")</f>
        <v>#VALUE!</v>
      </c>
      <c r="CU38" t="e">
        <f>AND(ТС!C106,"AAAAAF+t02I=")</f>
        <v>#VALUE!</v>
      </c>
      <c r="CV38" t="e">
        <f>AND(ТС!D106,"AAAAAF+t02M=")</f>
        <v>#VALUE!</v>
      </c>
      <c r="CW38" t="e">
        <f>AND(ТС!E106,"AAAAAF+t02Q=")</f>
        <v>#VALUE!</v>
      </c>
      <c r="CX38" t="e">
        <f>AND(ТС!F106,"AAAAAF+t02U=")</f>
        <v>#VALUE!</v>
      </c>
      <c r="CY38" t="e">
        <f>AND(ТС!G106,"AAAAAF+t02Y=")</f>
        <v>#VALUE!</v>
      </c>
      <c r="CZ38" t="e">
        <f>AND(ТС!H106,"AAAAAF+t02c=")</f>
        <v>#VALUE!</v>
      </c>
      <c r="DA38" t="e">
        <f>AND(ТС!I106,"AAAAAF+t02g=")</f>
        <v>#VALUE!</v>
      </c>
      <c r="DB38" t="e">
        <f>AND(ТС!J106,"AAAAAF+t02k=")</f>
        <v>#VALUE!</v>
      </c>
      <c r="DC38" t="e">
        <f>AND(ТС!K106,"AAAAAF+t02o=")</f>
        <v>#VALUE!</v>
      </c>
      <c r="DD38">
        <f>IF(ТС!107:107,"AAAAAF+t02s=",0)</f>
        <v>0</v>
      </c>
      <c r="DE38" t="e">
        <f>AND(ТС!A107,"AAAAAF+t02w=")</f>
        <v>#VALUE!</v>
      </c>
      <c r="DF38" t="e">
        <f>AND(ТС!B107,"AAAAAF+t020=")</f>
        <v>#VALUE!</v>
      </c>
      <c r="DG38" t="e">
        <f>AND(ТС!C107,"AAAAAF+t024=")</f>
        <v>#VALUE!</v>
      </c>
      <c r="DH38" t="e">
        <f>AND(ТС!D107,"AAAAAF+t028=")</f>
        <v>#VALUE!</v>
      </c>
      <c r="DI38" t="e">
        <f>AND(ТС!E107,"AAAAAF+t03A=")</f>
        <v>#VALUE!</v>
      </c>
      <c r="DJ38" t="e">
        <f>AND(ТС!F107,"AAAAAF+t03E=")</f>
        <v>#VALUE!</v>
      </c>
      <c r="DK38" t="e">
        <f>AND(ТС!G107,"AAAAAF+t03I=")</f>
        <v>#VALUE!</v>
      </c>
      <c r="DL38" t="e">
        <f>AND(ТС!H107,"AAAAAF+t03M=")</f>
        <v>#VALUE!</v>
      </c>
      <c r="DM38" t="e">
        <f>AND(ТС!I107,"AAAAAF+t03Q=")</f>
        <v>#VALUE!</v>
      </c>
      <c r="DN38" t="e">
        <f>AND(ТС!J107,"AAAAAF+t03U=")</f>
        <v>#VALUE!</v>
      </c>
      <c r="DO38" t="e">
        <f>AND(ТС!K107,"AAAAAF+t03Y=")</f>
        <v>#VALUE!</v>
      </c>
      <c r="DP38">
        <f>IF(ТС!108:108,"AAAAAF+t03c=",0)</f>
        <v>0</v>
      </c>
      <c r="DQ38" t="e">
        <f>AND(ТС!A108,"AAAAAF+t03g=")</f>
        <v>#VALUE!</v>
      </c>
      <c r="DR38" t="e">
        <f>AND(ТС!B108,"AAAAAF+t03k=")</f>
        <v>#VALUE!</v>
      </c>
      <c r="DS38" t="e">
        <f>AND(ТС!C108,"AAAAAF+t03o=")</f>
        <v>#VALUE!</v>
      </c>
      <c r="DT38" t="e">
        <f>AND(ТС!D108,"AAAAAF+t03s=")</f>
        <v>#VALUE!</v>
      </c>
      <c r="DU38" t="e">
        <f>AND(ТС!E108,"AAAAAF+t03w=")</f>
        <v>#VALUE!</v>
      </c>
      <c r="DV38" t="e">
        <f>AND(ТС!F108,"AAAAAF+t030=")</f>
        <v>#VALUE!</v>
      </c>
      <c r="DW38" t="e">
        <f>AND(ТС!G108,"AAAAAF+t034=")</f>
        <v>#VALUE!</v>
      </c>
      <c r="DX38" t="e">
        <f>AND(ТС!H108,"AAAAAF+t038=")</f>
        <v>#VALUE!</v>
      </c>
      <c r="DY38" t="e">
        <f>AND(ТС!I108,"AAAAAF+t04A=")</f>
        <v>#VALUE!</v>
      </c>
      <c r="DZ38" t="e">
        <f>AND(ТС!J108,"AAAAAF+t04E=")</f>
        <v>#VALUE!</v>
      </c>
      <c r="EA38" t="e">
        <f>AND(ТС!K108,"AAAAAF+t04I=")</f>
        <v>#VALUE!</v>
      </c>
      <c r="EB38">
        <f>IF(ТС!109:109,"AAAAAF+t04M=",0)</f>
        <v>0</v>
      </c>
      <c r="EC38" t="e">
        <f>AND(ТС!A109,"AAAAAF+t04Q=")</f>
        <v>#VALUE!</v>
      </c>
      <c r="ED38" t="e">
        <f>AND(ТС!B109,"AAAAAF+t04U=")</f>
        <v>#VALUE!</v>
      </c>
      <c r="EE38" t="e">
        <f>AND(ТС!C109,"AAAAAF+t04Y=")</f>
        <v>#VALUE!</v>
      </c>
      <c r="EF38" t="e">
        <f>AND(ТС!D109,"AAAAAF+t04c=")</f>
        <v>#VALUE!</v>
      </c>
      <c r="EG38" t="e">
        <f>AND(ТС!E109,"AAAAAF+t04g=")</f>
        <v>#VALUE!</v>
      </c>
      <c r="EH38" t="e">
        <f>AND(ТС!F109,"AAAAAF+t04k=")</f>
        <v>#VALUE!</v>
      </c>
      <c r="EI38" t="e">
        <f>AND(ТС!G109,"AAAAAF+t04o=")</f>
        <v>#VALUE!</v>
      </c>
      <c r="EJ38" t="e">
        <f>AND(ТС!H109,"AAAAAF+t04s=")</f>
        <v>#VALUE!</v>
      </c>
      <c r="EK38" t="e">
        <f>AND(ТС!I109,"AAAAAF+t04w=")</f>
        <v>#VALUE!</v>
      </c>
      <c r="EL38" t="e">
        <f>AND(ТС!J109,"AAAAAF+t040=")</f>
        <v>#VALUE!</v>
      </c>
      <c r="EM38" t="e">
        <f>AND(ТС!K109,"AAAAAF+t044=")</f>
        <v>#VALUE!</v>
      </c>
      <c r="EN38">
        <f>IF(ТС!110:110,"AAAAAF+t048=",0)</f>
        <v>0</v>
      </c>
      <c r="EO38" t="e">
        <f>AND(ТС!A110,"AAAAAF+t05A=")</f>
        <v>#VALUE!</v>
      </c>
      <c r="EP38" t="e">
        <f>AND(ТС!B110,"AAAAAF+t05E=")</f>
        <v>#VALUE!</v>
      </c>
      <c r="EQ38" t="e">
        <f>AND(ТС!C110,"AAAAAF+t05I=")</f>
        <v>#VALUE!</v>
      </c>
      <c r="ER38" t="e">
        <f>AND(ТС!D110,"AAAAAF+t05M=")</f>
        <v>#VALUE!</v>
      </c>
      <c r="ES38" t="e">
        <f>AND(ТС!E110,"AAAAAF+t05Q=")</f>
        <v>#VALUE!</v>
      </c>
      <c r="ET38" t="e">
        <f>AND(ТС!F110,"AAAAAF+t05U=")</f>
        <v>#VALUE!</v>
      </c>
      <c r="EU38" t="e">
        <f>AND(ТС!G110,"AAAAAF+t05Y=")</f>
        <v>#VALUE!</v>
      </c>
      <c r="EV38" t="e">
        <f>AND(ТС!H110,"AAAAAF+t05c=")</f>
        <v>#VALUE!</v>
      </c>
      <c r="EW38" t="e">
        <f>AND(ТС!I110,"AAAAAF+t05g=")</f>
        <v>#VALUE!</v>
      </c>
      <c r="EX38" t="e">
        <f>AND(ТС!J110,"AAAAAF+t05k=")</f>
        <v>#VALUE!</v>
      </c>
      <c r="EY38" t="e">
        <f>AND(ТС!K110,"AAAAAF+t05o=")</f>
        <v>#VALUE!</v>
      </c>
      <c r="EZ38">
        <f>IF(ТС!111:111,"AAAAAF+t05s=",0)</f>
        <v>0</v>
      </c>
      <c r="FA38" t="e">
        <f>AND(ТС!A111,"AAAAAF+t05w=")</f>
        <v>#VALUE!</v>
      </c>
      <c r="FB38" t="e">
        <f>AND(ТС!B111,"AAAAAF+t050=")</f>
        <v>#VALUE!</v>
      </c>
      <c r="FC38" t="e">
        <f>AND(ТС!C111,"AAAAAF+t054=")</f>
        <v>#VALUE!</v>
      </c>
      <c r="FD38" t="e">
        <f>AND(ТС!D111,"AAAAAF+t058=")</f>
        <v>#VALUE!</v>
      </c>
      <c r="FE38" t="e">
        <f>AND(ТС!E111,"AAAAAF+t06A=")</f>
        <v>#VALUE!</v>
      </c>
      <c r="FF38" t="e">
        <f>AND(ТС!F111,"AAAAAF+t06E=")</f>
        <v>#VALUE!</v>
      </c>
      <c r="FG38" t="e">
        <f>AND(ТС!G111,"AAAAAF+t06I=")</f>
        <v>#VALUE!</v>
      </c>
      <c r="FH38" t="e">
        <f>AND(ТС!H111,"AAAAAF+t06M=")</f>
        <v>#VALUE!</v>
      </c>
      <c r="FI38" t="e">
        <f>AND(ТС!I111,"AAAAAF+t06Q=")</f>
        <v>#VALUE!</v>
      </c>
      <c r="FJ38" t="e">
        <f>AND(ТС!J111,"AAAAAF+t06U=")</f>
        <v>#VALUE!</v>
      </c>
      <c r="FK38" t="e">
        <f>AND(ТС!K111,"AAAAAF+t06Y=")</f>
        <v>#VALUE!</v>
      </c>
      <c r="FL38">
        <f>IF(ТС!112:112,"AAAAAF+t06c=",0)</f>
        <v>0</v>
      </c>
      <c r="FM38" t="e">
        <f>AND(ТС!A112,"AAAAAF+t06g=")</f>
        <v>#VALUE!</v>
      </c>
      <c r="FN38" t="e">
        <f>AND(ТС!B112,"AAAAAF+t06k=")</f>
        <v>#VALUE!</v>
      </c>
      <c r="FO38" t="e">
        <f>AND(ТС!C112,"AAAAAF+t06o=")</f>
        <v>#VALUE!</v>
      </c>
      <c r="FP38" t="e">
        <f>AND(ТС!D112,"AAAAAF+t06s=")</f>
        <v>#VALUE!</v>
      </c>
      <c r="FQ38" t="e">
        <f>AND(ТС!E112,"AAAAAF+t06w=")</f>
        <v>#VALUE!</v>
      </c>
      <c r="FR38" t="e">
        <f>AND(ТС!F112,"AAAAAF+t060=")</f>
        <v>#VALUE!</v>
      </c>
      <c r="FS38" t="e">
        <f>AND(ТС!G112,"AAAAAF+t064=")</f>
        <v>#VALUE!</v>
      </c>
      <c r="FT38" t="e">
        <f>AND(ТС!H112,"AAAAAF+t068=")</f>
        <v>#VALUE!</v>
      </c>
      <c r="FU38" t="e">
        <f>AND(ТС!I112,"AAAAAF+t07A=")</f>
        <v>#VALUE!</v>
      </c>
      <c r="FV38" t="e">
        <f>AND(ТС!J112,"AAAAAF+t07E=")</f>
        <v>#VALUE!</v>
      </c>
      <c r="FW38" t="e">
        <f>AND(ТС!K112,"AAAAAF+t07I=")</f>
        <v>#VALUE!</v>
      </c>
      <c r="FX38">
        <f>IF(ТС!113:113,"AAAAAF+t07M=",0)</f>
        <v>0</v>
      </c>
      <c r="FY38" t="e">
        <f>AND(ТС!A113,"AAAAAF+t07Q=")</f>
        <v>#VALUE!</v>
      </c>
      <c r="FZ38" t="e">
        <f>AND(ТС!B113,"AAAAAF+t07U=")</f>
        <v>#VALUE!</v>
      </c>
      <c r="GA38" t="e">
        <f>AND(ТС!C113,"AAAAAF+t07Y=")</f>
        <v>#VALUE!</v>
      </c>
      <c r="GB38" t="e">
        <f>AND(ТС!D113,"AAAAAF+t07c=")</f>
        <v>#VALUE!</v>
      </c>
      <c r="GC38" t="e">
        <f>AND(ТС!E113,"AAAAAF+t07g=")</f>
        <v>#VALUE!</v>
      </c>
      <c r="GD38" t="e">
        <f>AND(ТС!F113,"AAAAAF+t07k=")</f>
        <v>#VALUE!</v>
      </c>
      <c r="GE38" t="e">
        <f>AND(ТС!G113,"AAAAAF+t07o=")</f>
        <v>#VALUE!</v>
      </c>
      <c r="GF38" t="e">
        <f>AND(ТС!H113,"AAAAAF+t07s=")</f>
        <v>#VALUE!</v>
      </c>
      <c r="GG38" t="e">
        <f>AND(ТС!I113,"AAAAAF+t07w=")</f>
        <v>#VALUE!</v>
      </c>
      <c r="GH38" t="e">
        <f>AND(ТС!J113,"AAAAAF+t070=")</f>
        <v>#VALUE!</v>
      </c>
      <c r="GI38" t="e">
        <f>AND(ТС!K113,"AAAAAF+t074=")</f>
        <v>#VALUE!</v>
      </c>
      <c r="GJ38">
        <f>IF(ТС!114:114,"AAAAAF+t078=",0)</f>
        <v>0</v>
      </c>
      <c r="GK38" t="e">
        <f>AND(ТС!A114,"AAAAAF+t08A=")</f>
        <v>#VALUE!</v>
      </c>
      <c r="GL38" t="e">
        <f>AND(ТС!B114,"AAAAAF+t08E=")</f>
        <v>#VALUE!</v>
      </c>
      <c r="GM38" t="e">
        <f>AND(ТС!C114,"AAAAAF+t08I=")</f>
        <v>#VALUE!</v>
      </c>
      <c r="GN38" t="e">
        <f>AND(ТС!D114,"AAAAAF+t08M=")</f>
        <v>#VALUE!</v>
      </c>
      <c r="GO38" t="e">
        <f>AND(ТС!E114,"AAAAAF+t08Q=")</f>
        <v>#VALUE!</v>
      </c>
      <c r="GP38" t="e">
        <f>AND(ТС!F114,"AAAAAF+t08U=")</f>
        <v>#VALUE!</v>
      </c>
      <c r="GQ38" t="e">
        <f>AND(ТС!G114,"AAAAAF+t08Y=")</f>
        <v>#VALUE!</v>
      </c>
      <c r="GR38" t="e">
        <f>AND(ТС!H114,"AAAAAF+t08c=")</f>
        <v>#VALUE!</v>
      </c>
      <c r="GS38" t="e">
        <f>AND(ТС!I114,"AAAAAF+t08g=")</f>
        <v>#VALUE!</v>
      </c>
      <c r="GT38" t="e">
        <f>AND(ТС!J114,"AAAAAF+t08k=")</f>
        <v>#VALUE!</v>
      </c>
      <c r="GU38" t="e">
        <f>AND(ТС!K114,"AAAAAF+t08o=")</f>
        <v>#VALUE!</v>
      </c>
      <c r="GV38">
        <f>IF(ТС!115:115,"AAAAAF+t08s=",0)</f>
        <v>0</v>
      </c>
      <c r="GW38" t="e">
        <f>AND(ТС!A115,"AAAAAF+t08w=")</f>
        <v>#VALUE!</v>
      </c>
      <c r="GX38" t="e">
        <f>AND(ТС!B115,"AAAAAF+t080=")</f>
        <v>#VALUE!</v>
      </c>
      <c r="GY38" t="e">
        <f>AND(ТС!C115,"AAAAAF+t084=")</f>
        <v>#VALUE!</v>
      </c>
      <c r="GZ38" t="e">
        <f>AND(ТС!D115,"AAAAAF+t088=")</f>
        <v>#VALUE!</v>
      </c>
      <c r="HA38" t="e">
        <f>AND(ТС!E115,"AAAAAF+t09A=")</f>
        <v>#VALUE!</v>
      </c>
      <c r="HB38" t="e">
        <f>AND(ТС!F115,"AAAAAF+t09E=")</f>
        <v>#VALUE!</v>
      </c>
      <c r="HC38" t="e">
        <f>AND(ТС!G115,"AAAAAF+t09I=")</f>
        <v>#VALUE!</v>
      </c>
      <c r="HD38" t="e">
        <f>AND(ТС!H115,"AAAAAF+t09M=")</f>
        <v>#VALUE!</v>
      </c>
      <c r="HE38" t="e">
        <f>AND(ТС!I115,"AAAAAF+t09Q=")</f>
        <v>#VALUE!</v>
      </c>
      <c r="HF38" t="e">
        <f>AND(ТС!J115,"AAAAAF+t09U=")</f>
        <v>#VALUE!</v>
      </c>
      <c r="HG38" t="e">
        <f>AND(ТС!K115,"AAAAAF+t09Y=")</f>
        <v>#VALUE!</v>
      </c>
      <c r="HH38">
        <f>IF(ТС!116:116,"AAAAAF+t09c=",0)</f>
        <v>0</v>
      </c>
      <c r="HI38" t="e">
        <f>AND(ТС!A116,"AAAAAF+t09g=")</f>
        <v>#VALUE!</v>
      </c>
      <c r="HJ38" t="e">
        <f>AND(ТС!B116,"AAAAAF+t09k=")</f>
        <v>#VALUE!</v>
      </c>
      <c r="HK38" t="e">
        <f>AND(ТС!C116,"AAAAAF+t09o=")</f>
        <v>#VALUE!</v>
      </c>
      <c r="HL38" t="e">
        <f>AND(ТС!D116,"AAAAAF+t09s=")</f>
        <v>#VALUE!</v>
      </c>
      <c r="HM38" t="e">
        <f>AND(ТС!E116,"AAAAAF+t09w=")</f>
        <v>#VALUE!</v>
      </c>
      <c r="HN38" t="e">
        <f>AND(ТС!F116,"AAAAAF+t090=")</f>
        <v>#VALUE!</v>
      </c>
      <c r="HO38" t="e">
        <f>AND(ТС!G116,"AAAAAF+t094=")</f>
        <v>#VALUE!</v>
      </c>
      <c r="HP38" t="e">
        <f>AND(ТС!H116,"AAAAAF+t098=")</f>
        <v>#VALUE!</v>
      </c>
      <c r="HQ38" t="e">
        <f>AND(ТС!I116,"AAAAAF+t0+A=")</f>
        <v>#VALUE!</v>
      </c>
      <c r="HR38" t="e">
        <f>AND(ТС!J116,"AAAAAF+t0+E=")</f>
        <v>#VALUE!</v>
      </c>
      <c r="HS38" t="e">
        <f>AND(ТС!K116,"AAAAAF+t0+I=")</f>
        <v>#VALUE!</v>
      </c>
      <c r="HT38">
        <f>IF(ТС!117:117,"AAAAAF+t0+M=",0)</f>
        <v>0</v>
      </c>
      <c r="HU38" t="e">
        <f>AND(ТС!A117,"AAAAAF+t0+Q=")</f>
        <v>#VALUE!</v>
      </c>
      <c r="HV38" t="e">
        <f>AND(ТС!B117,"AAAAAF+t0+U=")</f>
        <v>#VALUE!</v>
      </c>
      <c r="HW38" t="e">
        <f>AND(ТС!C117,"AAAAAF+t0+Y=")</f>
        <v>#VALUE!</v>
      </c>
      <c r="HX38" t="e">
        <f>AND(ТС!D117,"AAAAAF+t0+c=")</f>
        <v>#VALUE!</v>
      </c>
      <c r="HY38" t="e">
        <f>AND(ТС!E117,"AAAAAF+t0+g=")</f>
        <v>#VALUE!</v>
      </c>
      <c r="HZ38" t="e">
        <f>AND(ТС!F117,"AAAAAF+t0+k=")</f>
        <v>#VALUE!</v>
      </c>
      <c r="IA38" t="e">
        <f>AND(ТС!G117,"AAAAAF+t0+o=")</f>
        <v>#VALUE!</v>
      </c>
      <c r="IB38" t="e">
        <f>AND(ТС!H117,"AAAAAF+t0+s=")</f>
        <v>#VALUE!</v>
      </c>
      <c r="IC38" t="e">
        <f>AND(ТС!I117,"AAAAAF+t0+w=")</f>
        <v>#VALUE!</v>
      </c>
      <c r="ID38" t="e">
        <f>AND(ТС!J117,"AAAAAF+t0+0=")</f>
        <v>#VALUE!</v>
      </c>
      <c r="IE38" t="e">
        <f>AND(ТС!K117,"AAAAAF+t0+4=")</f>
        <v>#VALUE!</v>
      </c>
      <c r="IF38">
        <f>IF(ТС!118:118,"AAAAAF+t0+8=",0)</f>
        <v>0</v>
      </c>
      <c r="IG38" t="e">
        <f>AND(ТС!A118,"AAAAAF+t0/A=")</f>
        <v>#VALUE!</v>
      </c>
      <c r="IH38" t="e">
        <f>AND(ТС!B118,"AAAAAF+t0/E=")</f>
        <v>#VALUE!</v>
      </c>
      <c r="II38" t="e">
        <f>AND(ТС!C118,"AAAAAF+t0/I=")</f>
        <v>#VALUE!</v>
      </c>
      <c r="IJ38" t="e">
        <f>AND(ТС!D118,"AAAAAF+t0/M=")</f>
        <v>#VALUE!</v>
      </c>
      <c r="IK38" t="e">
        <f>AND(ТС!E118,"AAAAAF+t0/Q=")</f>
        <v>#VALUE!</v>
      </c>
      <c r="IL38" t="e">
        <f>AND(ТС!F118,"AAAAAF+t0/U=")</f>
        <v>#VALUE!</v>
      </c>
      <c r="IM38" t="e">
        <f>AND(ТС!G118,"AAAAAF+t0/Y=")</f>
        <v>#VALUE!</v>
      </c>
      <c r="IN38" t="e">
        <f>AND(ТС!H118,"AAAAAF+t0/c=")</f>
        <v>#VALUE!</v>
      </c>
      <c r="IO38" t="e">
        <f>AND(ТС!I118,"AAAAAF+t0/g=")</f>
        <v>#VALUE!</v>
      </c>
      <c r="IP38" t="e">
        <f>AND(ТС!J118,"AAAAAF+t0/k=")</f>
        <v>#VALUE!</v>
      </c>
      <c r="IQ38" t="e">
        <f>AND(ТС!K118,"AAAAAF+t0/o=")</f>
        <v>#VALUE!</v>
      </c>
      <c r="IR38">
        <f>IF(ТС!119:119,"AAAAAF+t0/s=",0)</f>
        <v>0</v>
      </c>
      <c r="IS38" t="e">
        <f>AND(ТС!A119,"AAAAAF+t0/w=")</f>
        <v>#VALUE!</v>
      </c>
      <c r="IT38" t="e">
        <f>AND(ТС!B119,"AAAAAF+t0/0=")</f>
        <v>#VALUE!</v>
      </c>
      <c r="IU38" t="e">
        <f>AND(ТС!C119,"AAAAAF+t0/4=")</f>
        <v>#VALUE!</v>
      </c>
      <c r="IV38" t="e">
        <f>AND(ТС!D119,"AAAAAF+t0/8=")</f>
        <v>#VALUE!</v>
      </c>
    </row>
    <row r="39" spans="1:256">
      <c r="A39" t="e">
        <f>AND(ТС!E119,"AAAAAH8v1wA=")</f>
        <v>#VALUE!</v>
      </c>
      <c r="B39" t="e">
        <f>AND(ТС!F119,"AAAAAH8v1wE=")</f>
        <v>#VALUE!</v>
      </c>
      <c r="C39" t="e">
        <f>AND(ТС!G119,"AAAAAH8v1wI=")</f>
        <v>#VALUE!</v>
      </c>
      <c r="D39" t="e">
        <f>AND(ТС!H119,"AAAAAH8v1wM=")</f>
        <v>#VALUE!</v>
      </c>
      <c r="E39" t="e">
        <f>AND(ТС!I119,"AAAAAH8v1wQ=")</f>
        <v>#VALUE!</v>
      </c>
      <c r="F39" t="e">
        <f>AND(ТС!J119,"AAAAAH8v1wU=")</f>
        <v>#VALUE!</v>
      </c>
      <c r="G39" t="e">
        <f>AND(ТС!K119,"AAAAAH8v1wY=")</f>
        <v>#VALUE!</v>
      </c>
      <c r="H39">
        <f>IF(ТС!120:120,"AAAAAH8v1wc=",0)</f>
        <v>0</v>
      </c>
      <c r="I39" t="e">
        <f>AND(ТС!A120,"AAAAAH8v1wg=")</f>
        <v>#VALUE!</v>
      </c>
      <c r="J39" t="e">
        <f>AND(ТС!B120,"AAAAAH8v1wk=")</f>
        <v>#VALUE!</v>
      </c>
      <c r="K39" t="e">
        <f>AND(ТС!C120,"AAAAAH8v1wo=")</f>
        <v>#VALUE!</v>
      </c>
      <c r="L39" t="e">
        <f>AND(ТС!D120,"AAAAAH8v1ws=")</f>
        <v>#VALUE!</v>
      </c>
      <c r="M39" t="e">
        <f>AND(ТС!E120,"AAAAAH8v1ww=")</f>
        <v>#VALUE!</v>
      </c>
      <c r="N39" t="e">
        <f>AND(ТС!F120,"AAAAAH8v1w0=")</f>
        <v>#VALUE!</v>
      </c>
      <c r="O39" t="e">
        <f>AND(ТС!G120,"AAAAAH8v1w4=")</f>
        <v>#VALUE!</v>
      </c>
      <c r="P39" t="e">
        <f>AND(ТС!H120,"AAAAAH8v1w8=")</f>
        <v>#VALUE!</v>
      </c>
      <c r="Q39" t="e">
        <f>AND(ТС!I120,"AAAAAH8v1xA=")</f>
        <v>#VALUE!</v>
      </c>
      <c r="R39" t="e">
        <f>AND(ТС!J120,"AAAAAH8v1xE=")</f>
        <v>#VALUE!</v>
      </c>
      <c r="S39" t="e">
        <f>AND(ТС!K120,"AAAAAH8v1xI=")</f>
        <v>#VALUE!</v>
      </c>
      <c r="T39">
        <f>IF(ТС!121:121,"AAAAAH8v1xM=",0)</f>
        <v>0</v>
      </c>
      <c r="U39" t="e">
        <f>AND(ТС!A121,"AAAAAH8v1xQ=")</f>
        <v>#VALUE!</v>
      </c>
      <c r="V39" t="e">
        <f>AND(ТС!B121,"AAAAAH8v1xU=")</f>
        <v>#VALUE!</v>
      </c>
      <c r="W39" t="e">
        <f>AND(ТС!C121,"AAAAAH8v1xY=")</f>
        <v>#VALUE!</v>
      </c>
      <c r="X39" t="e">
        <f>AND(ТС!D121,"AAAAAH8v1xc=")</f>
        <v>#VALUE!</v>
      </c>
      <c r="Y39" t="e">
        <f>AND(ТС!E121,"AAAAAH8v1xg=")</f>
        <v>#VALUE!</v>
      </c>
      <c r="Z39" t="e">
        <f>AND(ТС!F121,"AAAAAH8v1xk=")</f>
        <v>#VALUE!</v>
      </c>
      <c r="AA39" t="e">
        <f>AND(ТС!G121,"AAAAAH8v1xo=")</f>
        <v>#VALUE!</v>
      </c>
      <c r="AB39" t="e">
        <f>AND(ТС!H121,"AAAAAH8v1xs=")</f>
        <v>#VALUE!</v>
      </c>
      <c r="AC39" t="e">
        <f>AND(ТС!I121,"AAAAAH8v1xw=")</f>
        <v>#VALUE!</v>
      </c>
      <c r="AD39" t="e">
        <f>AND(ТС!J121,"AAAAAH8v1x0=")</f>
        <v>#VALUE!</v>
      </c>
      <c r="AE39" t="e">
        <f>AND(ТС!K121,"AAAAAH8v1x4=")</f>
        <v>#VALUE!</v>
      </c>
      <c r="AF39">
        <f>IF(ТС!122:122,"AAAAAH8v1x8=",0)</f>
        <v>0</v>
      </c>
      <c r="AG39" t="e">
        <f>AND(ТС!A122,"AAAAAH8v1yA=")</f>
        <v>#VALUE!</v>
      </c>
      <c r="AH39" t="e">
        <f>AND(ТС!B122,"AAAAAH8v1yE=")</f>
        <v>#VALUE!</v>
      </c>
      <c r="AI39" t="e">
        <f>AND(ТС!C122,"AAAAAH8v1yI=")</f>
        <v>#VALUE!</v>
      </c>
      <c r="AJ39" t="e">
        <f>AND(ТС!D122,"AAAAAH8v1yM=")</f>
        <v>#VALUE!</v>
      </c>
      <c r="AK39" t="e">
        <f>AND(ТС!E122,"AAAAAH8v1yQ=")</f>
        <v>#VALUE!</v>
      </c>
      <c r="AL39" t="e">
        <f>AND(ТС!F122,"AAAAAH8v1yU=")</f>
        <v>#VALUE!</v>
      </c>
      <c r="AM39" t="e">
        <f>AND(ТС!G122,"AAAAAH8v1yY=")</f>
        <v>#VALUE!</v>
      </c>
      <c r="AN39" t="e">
        <f>AND(ТС!H122,"AAAAAH8v1yc=")</f>
        <v>#VALUE!</v>
      </c>
      <c r="AO39" t="e">
        <f>AND(ТС!I122,"AAAAAH8v1yg=")</f>
        <v>#VALUE!</v>
      </c>
      <c r="AP39" t="e">
        <f>AND(ТС!J122,"AAAAAH8v1yk=")</f>
        <v>#VALUE!</v>
      </c>
      <c r="AQ39" t="e">
        <f>AND(ТС!K122,"AAAAAH8v1yo=")</f>
        <v>#VALUE!</v>
      </c>
      <c r="AR39">
        <f>IF(ТС!123:123,"AAAAAH8v1ys=",0)</f>
        <v>0</v>
      </c>
      <c r="AS39" t="e">
        <f>AND(ТС!A123,"AAAAAH8v1yw=")</f>
        <v>#VALUE!</v>
      </c>
      <c r="AT39" t="e">
        <f>AND(ТС!B123,"AAAAAH8v1y0=")</f>
        <v>#VALUE!</v>
      </c>
      <c r="AU39" t="e">
        <f>AND(ТС!C123,"AAAAAH8v1y4=")</f>
        <v>#VALUE!</v>
      </c>
      <c r="AV39" t="e">
        <f>AND(ТС!D123,"AAAAAH8v1y8=")</f>
        <v>#VALUE!</v>
      </c>
      <c r="AW39" t="e">
        <f>AND(ТС!E123,"AAAAAH8v1zA=")</f>
        <v>#VALUE!</v>
      </c>
      <c r="AX39" t="e">
        <f>AND(ТС!F123,"AAAAAH8v1zE=")</f>
        <v>#VALUE!</v>
      </c>
      <c r="AY39" t="e">
        <f>AND(ТС!G123,"AAAAAH8v1zI=")</f>
        <v>#VALUE!</v>
      </c>
      <c r="AZ39" t="e">
        <f>AND(ТС!H123,"AAAAAH8v1zM=")</f>
        <v>#VALUE!</v>
      </c>
      <c r="BA39" t="e">
        <f>AND(ТС!I123,"AAAAAH8v1zQ=")</f>
        <v>#VALUE!</v>
      </c>
      <c r="BB39" t="e">
        <f>AND(ТС!J123,"AAAAAH8v1zU=")</f>
        <v>#VALUE!</v>
      </c>
      <c r="BC39" t="e">
        <f>AND(ТС!K123,"AAAAAH8v1zY=")</f>
        <v>#VALUE!</v>
      </c>
      <c r="BD39">
        <f>IF(ТС!124:124,"AAAAAH8v1zc=",0)</f>
        <v>0</v>
      </c>
      <c r="BE39" t="e">
        <f>AND(ТС!A124,"AAAAAH8v1zg=")</f>
        <v>#VALUE!</v>
      </c>
      <c r="BF39" t="e">
        <f>AND(ТС!B124,"AAAAAH8v1zk=")</f>
        <v>#VALUE!</v>
      </c>
      <c r="BG39" t="e">
        <f>AND(ТС!C124,"AAAAAH8v1zo=")</f>
        <v>#VALUE!</v>
      </c>
      <c r="BH39" t="e">
        <f>AND(ТС!D124,"AAAAAH8v1zs=")</f>
        <v>#VALUE!</v>
      </c>
      <c r="BI39" t="e">
        <f>AND(ТС!E124,"AAAAAH8v1zw=")</f>
        <v>#VALUE!</v>
      </c>
      <c r="BJ39" t="e">
        <f>AND(ТС!F124,"AAAAAH8v1z0=")</f>
        <v>#VALUE!</v>
      </c>
      <c r="BK39" t="e">
        <f>AND(ТС!G124,"AAAAAH8v1z4=")</f>
        <v>#VALUE!</v>
      </c>
      <c r="BL39" t="e">
        <f>AND(ТС!H124,"AAAAAH8v1z8=")</f>
        <v>#VALUE!</v>
      </c>
      <c r="BM39" t="e">
        <f>AND(ТС!I124,"AAAAAH8v10A=")</f>
        <v>#VALUE!</v>
      </c>
      <c r="BN39" t="e">
        <f>AND(ТС!J124,"AAAAAH8v10E=")</f>
        <v>#VALUE!</v>
      </c>
      <c r="BO39" t="e">
        <f>AND(ТС!K124,"AAAAAH8v10I=")</f>
        <v>#VALUE!</v>
      </c>
      <c r="BP39">
        <f>IF(ТС!125:125,"AAAAAH8v10M=",0)</f>
        <v>0</v>
      </c>
      <c r="BQ39" t="e">
        <f>AND(ТС!A125,"AAAAAH8v10Q=")</f>
        <v>#VALUE!</v>
      </c>
      <c r="BR39" t="e">
        <f>AND(ТС!B125,"AAAAAH8v10U=")</f>
        <v>#VALUE!</v>
      </c>
      <c r="BS39" t="e">
        <f>AND(ТС!C125,"AAAAAH8v10Y=")</f>
        <v>#VALUE!</v>
      </c>
      <c r="BT39" t="e">
        <f>AND(ТС!D125,"AAAAAH8v10c=")</f>
        <v>#VALUE!</v>
      </c>
      <c r="BU39" t="e">
        <f>AND(ТС!E125,"AAAAAH8v10g=")</f>
        <v>#VALUE!</v>
      </c>
      <c r="BV39" t="e">
        <f>AND(ТС!F125,"AAAAAH8v10k=")</f>
        <v>#VALUE!</v>
      </c>
      <c r="BW39" t="e">
        <f>AND(ТС!G125,"AAAAAH8v10o=")</f>
        <v>#VALUE!</v>
      </c>
      <c r="BX39" t="e">
        <f>AND(ТС!H125,"AAAAAH8v10s=")</f>
        <v>#VALUE!</v>
      </c>
      <c r="BY39" t="e">
        <f>AND(ТС!I125,"AAAAAH8v10w=")</f>
        <v>#VALUE!</v>
      </c>
      <c r="BZ39" t="e">
        <f>AND(ТС!J125,"AAAAAH8v100=")</f>
        <v>#VALUE!</v>
      </c>
      <c r="CA39" t="e">
        <f>AND(ТС!K125,"AAAAAH8v104=")</f>
        <v>#VALUE!</v>
      </c>
      <c r="CB39">
        <f>IF(ТС!126:126,"AAAAAH8v108=",0)</f>
        <v>0</v>
      </c>
      <c r="CC39" t="e">
        <f>AND(ТС!A126,"AAAAAH8v11A=")</f>
        <v>#VALUE!</v>
      </c>
      <c r="CD39" t="e">
        <f>AND(ТС!B126,"AAAAAH8v11E=")</f>
        <v>#VALUE!</v>
      </c>
      <c r="CE39" t="e">
        <f>AND(ТС!C126,"AAAAAH8v11I=")</f>
        <v>#VALUE!</v>
      </c>
      <c r="CF39" t="e">
        <f>AND(ТС!D126,"AAAAAH8v11M=")</f>
        <v>#VALUE!</v>
      </c>
      <c r="CG39" t="e">
        <f>AND(ТС!E126,"AAAAAH8v11Q=")</f>
        <v>#VALUE!</v>
      </c>
      <c r="CH39" t="e">
        <f>AND(ТС!F126,"AAAAAH8v11U=")</f>
        <v>#VALUE!</v>
      </c>
      <c r="CI39" t="e">
        <f>AND(ТС!G126,"AAAAAH8v11Y=")</f>
        <v>#VALUE!</v>
      </c>
      <c r="CJ39" t="e">
        <f>AND(ТС!H126,"AAAAAH8v11c=")</f>
        <v>#VALUE!</v>
      </c>
      <c r="CK39" t="e">
        <f>AND(ТС!I126,"AAAAAH8v11g=")</f>
        <v>#VALUE!</v>
      </c>
      <c r="CL39" t="e">
        <f>AND(ТС!J126,"AAAAAH8v11k=")</f>
        <v>#VALUE!</v>
      </c>
      <c r="CM39" t="e">
        <f>AND(ТС!K126,"AAAAAH8v11o=")</f>
        <v>#VALUE!</v>
      </c>
      <c r="CN39">
        <f>IF(ТС!127:127,"AAAAAH8v11s=",0)</f>
        <v>0</v>
      </c>
      <c r="CO39" t="e">
        <f>AND(ТС!A127,"AAAAAH8v11w=")</f>
        <v>#VALUE!</v>
      </c>
      <c r="CP39" t="e">
        <f>AND(ТС!B127,"AAAAAH8v110=")</f>
        <v>#VALUE!</v>
      </c>
      <c r="CQ39" t="e">
        <f>AND(ТС!C127,"AAAAAH8v114=")</f>
        <v>#VALUE!</v>
      </c>
      <c r="CR39" t="e">
        <f>AND(ТС!D127,"AAAAAH8v118=")</f>
        <v>#VALUE!</v>
      </c>
      <c r="CS39" t="e">
        <f>AND(ТС!E127,"AAAAAH8v12A=")</f>
        <v>#VALUE!</v>
      </c>
      <c r="CT39" t="e">
        <f>AND(ТС!F127,"AAAAAH8v12E=")</f>
        <v>#VALUE!</v>
      </c>
      <c r="CU39" t="e">
        <f>AND(ТС!G127,"AAAAAH8v12I=")</f>
        <v>#VALUE!</v>
      </c>
      <c r="CV39" t="e">
        <f>AND(ТС!H127,"AAAAAH8v12M=")</f>
        <v>#VALUE!</v>
      </c>
      <c r="CW39" t="e">
        <f>AND(ТС!I127,"AAAAAH8v12Q=")</f>
        <v>#VALUE!</v>
      </c>
      <c r="CX39" t="e">
        <f>AND(ТС!J127,"AAAAAH8v12U=")</f>
        <v>#VALUE!</v>
      </c>
      <c r="CY39" t="e">
        <f>AND(ТС!K127,"AAAAAH8v12Y=")</f>
        <v>#VALUE!</v>
      </c>
      <c r="CZ39">
        <f>IF(ТС!128:128,"AAAAAH8v12c=",0)</f>
        <v>0</v>
      </c>
      <c r="DA39" t="e">
        <f>AND(ТС!A128,"AAAAAH8v12g=")</f>
        <v>#VALUE!</v>
      </c>
      <c r="DB39" t="e">
        <f>AND(ТС!B128,"AAAAAH8v12k=")</f>
        <v>#VALUE!</v>
      </c>
      <c r="DC39" t="e">
        <f>AND(ТС!C128,"AAAAAH8v12o=")</f>
        <v>#VALUE!</v>
      </c>
      <c r="DD39" t="e">
        <f>AND(ТС!D128,"AAAAAH8v12s=")</f>
        <v>#VALUE!</v>
      </c>
      <c r="DE39" t="e">
        <f>AND(ТС!E128,"AAAAAH8v12w=")</f>
        <v>#VALUE!</v>
      </c>
      <c r="DF39" t="e">
        <f>AND(ТС!F128,"AAAAAH8v120=")</f>
        <v>#VALUE!</v>
      </c>
      <c r="DG39" t="e">
        <f>AND(ТС!G128,"AAAAAH8v124=")</f>
        <v>#VALUE!</v>
      </c>
      <c r="DH39" t="e">
        <f>AND(ТС!H128,"AAAAAH8v128=")</f>
        <v>#VALUE!</v>
      </c>
      <c r="DI39" t="e">
        <f>AND(ТС!I128,"AAAAAH8v13A=")</f>
        <v>#VALUE!</v>
      </c>
      <c r="DJ39" t="e">
        <f>AND(ТС!J128,"AAAAAH8v13E=")</f>
        <v>#VALUE!</v>
      </c>
      <c r="DK39" t="e">
        <f>AND(ТС!K128,"AAAAAH8v13I=")</f>
        <v>#VALUE!</v>
      </c>
      <c r="DL39">
        <f>IF(ТС!129:129,"AAAAAH8v13M=",0)</f>
        <v>0</v>
      </c>
      <c r="DM39" t="e">
        <f>AND(ТС!A129,"AAAAAH8v13Q=")</f>
        <v>#VALUE!</v>
      </c>
      <c r="DN39" t="e">
        <f>AND(ТС!B129,"AAAAAH8v13U=")</f>
        <v>#VALUE!</v>
      </c>
      <c r="DO39" t="e">
        <f>AND(ТС!C129,"AAAAAH8v13Y=")</f>
        <v>#VALUE!</v>
      </c>
      <c r="DP39" t="e">
        <f>AND(ТС!D129,"AAAAAH8v13c=")</f>
        <v>#VALUE!</v>
      </c>
      <c r="DQ39" t="e">
        <f>AND(ТС!E129,"AAAAAH8v13g=")</f>
        <v>#VALUE!</v>
      </c>
      <c r="DR39" t="e">
        <f>AND(ТС!F129,"AAAAAH8v13k=")</f>
        <v>#VALUE!</v>
      </c>
      <c r="DS39" t="e">
        <f>AND(ТС!G129,"AAAAAH8v13o=")</f>
        <v>#VALUE!</v>
      </c>
      <c r="DT39" t="e">
        <f>AND(ТС!H129,"AAAAAH8v13s=")</f>
        <v>#VALUE!</v>
      </c>
      <c r="DU39" t="e">
        <f>AND(ТС!I129,"AAAAAH8v13w=")</f>
        <v>#VALUE!</v>
      </c>
      <c r="DV39" t="e">
        <f>AND(ТС!J129,"AAAAAH8v130=")</f>
        <v>#VALUE!</v>
      </c>
      <c r="DW39" t="e">
        <f>AND(ТС!K129,"AAAAAH8v134=")</f>
        <v>#VALUE!</v>
      </c>
      <c r="DX39">
        <f>IF(ТС!130:130,"AAAAAH8v138=",0)</f>
        <v>0</v>
      </c>
      <c r="DY39" t="e">
        <f>AND(ТС!A130,"AAAAAH8v14A=")</f>
        <v>#VALUE!</v>
      </c>
      <c r="DZ39" t="e">
        <f>AND(ТС!B130,"AAAAAH8v14E=")</f>
        <v>#VALUE!</v>
      </c>
      <c r="EA39" t="e">
        <f>AND(ТС!C130,"AAAAAH8v14I=")</f>
        <v>#VALUE!</v>
      </c>
      <c r="EB39" t="e">
        <f>AND(ТС!D130,"AAAAAH8v14M=")</f>
        <v>#VALUE!</v>
      </c>
      <c r="EC39" t="e">
        <f>AND(ТС!E130,"AAAAAH8v14Q=")</f>
        <v>#VALUE!</v>
      </c>
      <c r="ED39" t="e">
        <f>AND(ТС!F130,"AAAAAH8v14U=")</f>
        <v>#VALUE!</v>
      </c>
      <c r="EE39" t="e">
        <f>AND(ТС!G130,"AAAAAH8v14Y=")</f>
        <v>#VALUE!</v>
      </c>
      <c r="EF39" t="e">
        <f>AND(ТС!H130,"AAAAAH8v14c=")</f>
        <v>#VALUE!</v>
      </c>
      <c r="EG39" t="e">
        <f>AND(ТС!I130,"AAAAAH8v14g=")</f>
        <v>#VALUE!</v>
      </c>
      <c r="EH39" t="e">
        <f>AND(ТС!J130,"AAAAAH8v14k=")</f>
        <v>#VALUE!</v>
      </c>
      <c r="EI39" t="e">
        <f>AND(ТС!K130,"AAAAAH8v14o=")</f>
        <v>#VALUE!</v>
      </c>
      <c r="EJ39">
        <f>IF(ТС!131:131,"AAAAAH8v14s=",0)</f>
        <v>0</v>
      </c>
      <c r="EK39" t="e">
        <f>AND(ТС!A131,"AAAAAH8v14w=")</f>
        <v>#VALUE!</v>
      </c>
      <c r="EL39" t="e">
        <f>AND(ТС!B131,"AAAAAH8v140=")</f>
        <v>#VALUE!</v>
      </c>
      <c r="EM39" t="e">
        <f>AND(ТС!C131,"AAAAAH8v144=")</f>
        <v>#VALUE!</v>
      </c>
      <c r="EN39" t="e">
        <f>AND(ТС!D131,"AAAAAH8v148=")</f>
        <v>#VALUE!</v>
      </c>
      <c r="EO39" t="e">
        <f>AND(ТС!E131,"AAAAAH8v15A=")</f>
        <v>#VALUE!</v>
      </c>
      <c r="EP39" t="e">
        <f>AND(ТС!F131,"AAAAAH8v15E=")</f>
        <v>#VALUE!</v>
      </c>
      <c r="EQ39" t="e">
        <f>AND(ТС!G131,"AAAAAH8v15I=")</f>
        <v>#VALUE!</v>
      </c>
      <c r="ER39" t="e">
        <f>AND(ТС!H131,"AAAAAH8v15M=")</f>
        <v>#VALUE!</v>
      </c>
      <c r="ES39" t="e">
        <f>AND(ТС!I131,"AAAAAH8v15Q=")</f>
        <v>#VALUE!</v>
      </c>
      <c r="ET39" t="e">
        <f>AND(ТС!J131,"AAAAAH8v15U=")</f>
        <v>#VALUE!</v>
      </c>
      <c r="EU39" t="e">
        <f>AND(ТС!K131,"AAAAAH8v15Y=")</f>
        <v>#VALUE!</v>
      </c>
      <c r="EV39">
        <f>IF(ТС!132:132,"AAAAAH8v15c=",0)</f>
        <v>0</v>
      </c>
      <c r="EW39" t="e">
        <f>AND(ТС!A132,"AAAAAH8v15g=")</f>
        <v>#VALUE!</v>
      </c>
      <c r="EX39" t="e">
        <f>AND(ТС!B132,"AAAAAH8v15k=")</f>
        <v>#VALUE!</v>
      </c>
      <c r="EY39" t="e">
        <f>AND(ТС!C132,"AAAAAH8v15o=")</f>
        <v>#VALUE!</v>
      </c>
      <c r="EZ39" t="e">
        <f>AND(ТС!D132,"AAAAAH8v15s=")</f>
        <v>#VALUE!</v>
      </c>
      <c r="FA39" t="e">
        <f>AND(ТС!E132,"AAAAAH8v15w=")</f>
        <v>#VALUE!</v>
      </c>
      <c r="FB39" t="e">
        <f>AND(ТС!F132,"AAAAAH8v150=")</f>
        <v>#VALUE!</v>
      </c>
      <c r="FC39" t="e">
        <f>AND(ТС!G132,"AAAAAH8v154=")</f>
        <v>#VALUE!</v>
      </c>
      <c r="FD39" t="e">
        <f>AND(ТС!H132,"AAAAAH8v158=")</f>
        <v>#VALUE!</v>
      </c>
      <c r="FE39" t="e">
        <f>AND(ТС!I132,"AAAAAH8v16A=")</f>
        <v>#VALUE!</v>
      </c>
      <c r="FF39" t="e">
        <f>AND(ТС!J132,"AAAAAH8v16E=")</f>
        <v>#VALUE!</v>
      </c>
      <c r="FG39" t="e">
        <f>AND(ТС!K132,"AAAAAH8v16I=")</f>
        <v>#VALUE!</v>
      </c>
      <c r="FH39">
        <f>IF(ТС!133:133,"AAAAAH8v16M=",0)</f>
        <v>0</v>
      </c>
      <c r="FI39" t="e">
        <f>AND(ТС!A133,"AAAAAH8v16Q=")</f>
        <v>#VALUE!</v>
      </c>
      <c r="FJ39" t="e">
        <f>AND(ТС!B133,"AAAAAH8v16U=")</f>
        <v>#VALUE!</v>
      </c>
      <c r="FK39" t="e">
        <f>AND(ТС!C133,"AAAAAH8v16Y=")</f>
        <v>#VALUE!</v>
      </c>
      <c r="FL39" t="e">
        <f>AND(ТС!D133,"AAAAAH8v16c=")</f>
        <v>#VALUE!</v>
      </c>
      <c r="FM39" t="e">
        <f>AND(ТС!E133,"AAAAAH8v16g=")</f>
        <v>#VALUE!</v>
      </c>
      <c r="FN39" t="e">
        <f>AND(ТС!F133,"AAAAAH8v16k=")</f>
        <v>#VALUE!</v>
      </c>
      <c r="FO39" t="e">
        <f>AND(ТС!G133,"AAAAAH8v16o=")</f>
        <v>#VALUE!</v>
      </c>
      <c r="FP39" t="e">
        <f>AND(ТС!H133,"AAAAAH8v16s=")</f>
        <v>#VALUE!</v>
      </c>
      <c r="FQ39" t="e">
        <f>AND(ТС!I133,"AAAAAH8v16w=")</f>
        <v>#VALUE!</v>
      </c>
      <c r="FR39" t="e">
        <f>AND(ТС!J133,"AAAAAH8v160=")</f>
        <v>#VALUE!</v>
      </c>
      <c r="FS39" t="e">
        <f>AND(ТС!K133,"AAAAAH8v164=")</f>
        <v>#VALUE!</v>
      </c>
      <c r="FT39">
        <f>IF(ТС!134:134,"AAAAAH8v168=",0)</f>
        <v>0</v>
      </c>
      <c r="FU39" t="e">
        <f>AND(ТС!A134,"AAAAAH8v17A=")</f>
        <v>#VALUE!</v>
      </c>
      <c r="FV39" t="e">
        <f>AND(ТС!B134,"AAAAAH8v17E=")</f>
        <v>#VALUE!</v>
      </c>
      <c r="FW39" t="e">
        <f>AND(ТС!C134,"AAAAAH8v17I=")</f>
        <v>#VALUE!</v>
      </c>
      <c r="FX39" t="e">
        <f>AND(ТС!D134,"AAAAAH8v17M=")</f>
        <v>#VALUE!</v>
      </c>
      <c r="FY39" t="e">
        <f>AND(ТС!E134,"AAAAAH8v17Q=")</f>
        <v>#VALUE!</v>
      </c>
      <c r="FZ39" t="e">
        <f>AND(ТС!F134,"AAAAAH8v17U=")</f>
        <v>#VALUE!</v>
      </c>
      <c r="GA39" t="e">
        <f>AND(ТС!G134,"AAAAAH8v17Y=")</f>
        <v>#VALUE!</v>
      </c>
      <c r="GB39" t="e">
        <f>AND(ТС!H134,"AAAAAH8v17c=")</f>
        <v>#VALUE!</v>
      </c>
      <c r="GC39" t="e">
        <f>AND(ТС!I134,"AAAAAH8v17g=")</f>
        <v>#VALUE!</v>
      </c>
      <c r="GD39" t="e">
        <f>AND(ТС!J134,"AAAAAH8v17k=")</f>
        <v>#VALUE!</v>
      </c>
      <c r="GE39" t="e">
        <f>AND(ТС!K134,"AAAAAH8v17o=")</f>
        <v>#VALUE!</v>
      </c>
      <c r="GF39">
        <f>IF(ТС!135:135,"AAAAAH8v17s=",0)</f>
        <v>0</v>
      </c>
      <c r="GG39" t="e">
        <f>AND(ТС!A135,"AAAAAH8v17w=")</f>
        <v>#VALUE!</v>
      </c>
      <c r="GH39" t="e">
        <f>AND(ТС!B135,"AAAAAH8v170=")</f>
        <v>#VALUE!</v>
      </c>
      <c r="GI39" t="e">
        <f>AND(ТС!C135,"AAAAAH8v174=")</f>
        <v>#VALUE!</v>
      </c>
      <c r="GJ39" t="e">
        <f>AND(ТС!D135,"AAAAAH8v178=")</f>
        <v>#VALUE!</v>
      </c>
      <c r="GK39" t="e">
        <f>AND(ТС!E135,"AAAAAH8v18A=")</f>
        <v>#VALUE!</v>
      </c>
      <c r="GL39" t="e">
        <f>AND(ТС!F135,"AAAAAH8v18E=")</f>
        <v>#VALUE!</v>
      </c>
      <c r="GM39" t="e">
        <f>AND(ТС!G135,"AAAAAH8v18I=")</f>
        <v>#VALUE!</v>
      </c>
      <c r="GN39" t="e">
        <f>AND(ТС!H135,"AAAAAH8v18M=")</f>
        <v>#VALUE!</v>
      </c>
      <c r="GO39" t="e">
        <f>AND(ТС!I135,"AAAAAH8v18Q=")</f>
        <v>#VALUE!</v>
      </c>
      <c r="GP39" t="e">
        <f>AND(ТС!J135,"AAAAAH8v18U=")</f>
        <v>#VALUE!</v>
      </c>
      <c r="GQ39" t="e">
        <f>AND(ТС!K135,"AAAAAH8v18Y=")</f>
        <v>#VALUE!</v>
      </c>
      <c r="GR39">
        <f>IF(ТС!136:136,"AAAAAH8v18c=",0)</f>
        <v>0</v>
      </c>
      <c r="GS39" t="e">
        <f>AND(ТС!A136,"AAAAAH8v18g=")</f>
        <v>#VALUE!</v>
      </c>
      <c r="GT39" t="e">
        <f>AND(ТС!B136,"AAAAAH8v18k=")</f>
        <v>#VALUE!</v>
      </c>
      <c r="GU39" t="e">
        <f>AND(ТС!C136,"AAAAAH8v18o=")</f>
        <v>#VALUE!</v>
      </c>
      <c r="GV39" t="e">
        <f>AND(ТС!D136,"AAAAAH8v18s=")</f>
        <v>#VALUE!</v>
      </c>
      <c r="GW39" t="e">
        <f>AND(ТС!E136,"AAAAAH8v18w=")</f>
        <v>#VALUE!</v>
      </c>
      <c r="GX39" t="e">
        <f>AND(ТС!F136,"AAAAAH8v180=")</f>
        <v>#VALUE!</v>
      </c>
      <c r="GY39" t="e">
        <f>AND(ТС!G136,"AAAAAH8v184=")</f>
        <v>#VALUE!</v>
      </c>
      <c r="GZ39" t="e">
        <f>AND(ТС!H136,"AAAAAH8v188=")</f>
        <v>#VALUE!</v>
      </c>
      <c r="HA39" t="e">
        <f>AND(ТС!I136,"AAAAAH8v19A=")</f>
        <v>#VALUE!</v>
      </c>
      <c r="HB39" t="e">
        <f>AND(ТС!J136,"AAAAAH8v19E=")</f>
        <v>#VALUE!</v>
      </c>
      <c r="HC39" t="e">
        <f>AND(ТС!K136,"AAAAAH8v19I=")</f>
        <v>#VALUE!</v>
      </c>
      <c r="HD39">
        <f>IF(ТС!137:137,"AAAAAH8v19M=",0)</f>
        <v>0</v>
      </c>
      <c r="HE39" t="e">
        <f>AND(ТС!A137,"AAAAAH8v19Q=")</f>
        <v>#VALUE!</v>
      </c>
      <c r="HF39" t="e">
        <f>AND(ТС!B137,"AAAAAH8v19U=")</f>
        <v>#VALUE!</v>
      </c>
      <c r="HG39" t="e">
        <f>AND(ТС!C137,"AAAAAH8v19Y=")</f>
        <v>#VALUE!</v>
      </c>
      <c r="HH39" t="e">
        <f>AND(ТС!D137,"AAAAAH8v19c=")</f>
        <v>#VALUE!</v>
      </c>
      <c r="HI39" t="e">
        <f>AND(ТС!E137,"AAAAAH8v19g=")</f>
        <v>#VALUE!</v>
      </c>
      <c r="HJ39" t="e">
        <f>AND(ТС!F137,"AAAAAH8v19k=")</f>
        <v>#VALUE!</v>
      </c>
      <c r="HK39" t="e">
        <f>AND(ТС!G137,"AAAAAH8v19o=")</f>
        <v>#VALUE!</v>
      </c>
      <c r="HL39" t="e">
        <f>AND(ТС!H137,"AAAAAH8v19s=")</f>
        <v>#VALUE!</v>
      </c>
      <c r="HM39" t="e">
        <f>AND(ТС!I137,"AAAAAH8v19w=")</f>
        <v>#VALUE!</v>
      </c>
      <c r="HN39" t="e">
        <f>AND(ТС!J137,"AAAAAH8v190=")</f>
        <v>#VALUE!</v>
      </c>
      <c r="HO39" t="e">
        <f>AND(ТС!K137,"AAAAAH8v194=")</f>
        <v>#VALUE!</v>
      </c>
      <c r="HP39">
        <f>IF(ТС!138:138,"AAAAAH8v198=",0)</f>
        <v>0</v>
      </c>
      <c r="HQ39" t="e">
        <f>AND(ТС!A138,"AAAAAH8v1+A=")</f>
        <v>#VALUE!</v>
      </c>
      <c r="HR39" t="e">
        <f>AND(ТС!B138,"AAAAAH8v1+E=")</f>
        <v>#VALUE!</v>
      </c>
      <c r="HS39" t="e">
        <f>AND(ТС!C138,"AAAAAH8v1+I=")</f>
        <v>#VALUE!</v>
      </c>
      <c r="HT39" t="e">
        <f>AND(ТС!D138,"AAAAAH8v1+M=")</f>
        <v>#VALUE!</v>
      </c>
      <c r="HU39" t="e">
        <f>AND(ТС!E138,"AAAAAH8v1+Q=")</f>
        <v>#VALUE!</v>
      </c>
      <c r="HV39" t="e">
        <f>AND(ТС!F138,"AAAAAH8v1+U=")</f>
        <v>#VALUE!</v>
      </c>
      <c r="HW39" t="e">
        <f>AND(ТС!G138,"AAAAAH8v1+Y=")</f>
        <v>#VALUE!</v>
      </c>
      <c r="HX39" t="e">
        <f>AND(ТС!H138,"AAAAAH8v1+c=")</f>
        <v>#VALUE!</v>
      </c>
      <c r="HY39" t="e">
        <f>AND(ТС!I138,"AAAAAH8v1+g=")</f>
        <v>#VALUE!</v>
      </c>
      <c r="HZ39" t="e">
        <f>AND(ТС!J138,"AAAAAH8v1+k=")</f>
        <v>#VALUE!</v>
      </c>
      <c r="IA39" t="e">
        <f>AND(ТС!K138,"AAAAAH8v1+o=")</f>
        <v>#VALUE!</v>
      </c>
      <c r="IB39">
        <f>IF(ТС!139:139,"AAAAAH8v1+s=",0)</f>
        <v>0</v>
      </c>
      <c r="IC39" t="e">
        <f>AND(ТС!A139,"AAAAAH8v1+w=")</f>
        <v>#VALUE!</v>
      </c>
      <c r="ID39" t="e">
        <f>AND(ТС!B139,"AAAAAH8v1+0=")</f>
        <v>#VALUE!</v>
      </c>
      <c r="IE39" t="e">
        <f>AND(ТС!C139,"AAAAAH8v1+4=")</f>
        <v>#VALUE!</v>
      </c>
      <c r="IF39" t="e">
        <f>AND(ТС!D139,"AAAAAH8v1+8=")</f>
        <v>#VALUE!</v>
      </c>
      <c r="IG39" t="e">
        <f>AND(ТС!E139,"AAAAAH8v1/A=")</f>
        <v>#VALUE!</v>
      </c>
      <c r="IH39" t="e">
        <f>AND(ТС!F139,"AAAAAH8v1/E=")</f>
        <v>#VALUE!</v>
      </c>
      <c r="II39" t="e">
        <f>AND(ТС!G139,"AAAAAH8v1/I=")</f>
        <v>#VALUE!</v>
      </c>
      <c r="IJ39" t="e">
        <f>AND(ТС!H139,"AAAAAH8v1/M=")</f>
        <v>#VALUE!</v>
      </c>
      <c r="IK39" t="e">
        <f>AND(ТС!I139,"AAAAAH8v1/Q=")</f>
        <v>#VALUE!</v>
      </c>
      <c r="IL39" t="e">
        <f>AND(ТС!J139,"AAAAAH8v1/U=")</f>
        <v>#VALUE!</v>
      </c>
      <c r="IM39" t="e">
        <f>AND(ТС!K139,"AAAAAH8v1/Y=")</f>
        <v>#VALUE!</v>
      </c>
      <c r="IN39">
        <f>IF(ТС!140:140,"AAAAAH8v1/c=",0)</f>
        <v>0</v>
      </c>
      <c r="IO39" t="e">
        <f>AND(ТС!A140,"AAAAAH8v1/g=")</f>
        <v>#VALUE!</v>
      </c>
      <c r="IP39" t="e">
        <f>AND(ТС!B140,"AAAAAH8v1/k=")</f>
        <v>#VALUE!</v>
      </c>
      <c r="IQ39" t="e">
        <f>AND(ТС!C140,"AAAAAH8v1/o=")</f>
        <v>#VALUE!</v>
      </c>
      <c r="IR39" t="e">
        <f>AND(ТС!D140,"AAAAAH8v1/s=")</f>
        <v>#VALUE!</v>
      </c>
      <c r="IS39" t="e">
        <f>AND(ТС!E140,"AAAAAH8v1/w=")</f>
        <v>#VALUE!</v>
      </c>
      <c r="IT39" t="e">
        <f>AND(ТС!F140,"AAAAAH8v1/0=")</f>
        <v>#VALUE!</v>
      </c>
      <c r="IU39" t="e">
        <f>AND(ТС!G140,"AAAAAH8v1/4=")</f>
        <v>#VALUE!</v>
      </c>
      <c r="IV39" t="e">
        <f>AND(ТС!H140,"AAAAAH8v1/8=")</f>
        <v>#VALUE!</v>
      </c>
    </row>
    <row r="40" spans="1:256">
      <c r="A40" t="e">
        <f>AND(ТС!I140,"AAAAAFdyzwA=")</f>
        <v>#VALUE!</v>
      </c>
      <c r="B40" t="e">
        <f>AND(ТС!J140,"AAAAAFdyzwE=")</f>
        <v>#VALUE!</v>
      </c>
      <c r="C40" t="e">
        <f>AND(ТС!K140,"AAAAAFdyzwI=")</f>
        <v>#VALUE!</v>
      </c>
      <c r="D40">
        <f>IF(ТС!141:141,"AAAAAFdyzwM=",0)</f>
        <v>0</v>
      </c>
      <c r="E40">
        <f>IF(ТС!142:142,"AAAAAFdyzwQ=",0)</f>
        <v>0</v>
      </c>
      <c r="F40">
        <f>IF(ТС!143:143,"AAAAAFdyzwU=",0)</f>
        <v>0</v>
      </c>
      <c r="G40">
        <f>IF(ТС!144:144,"AAAAAFdyzwY=",0)</f>
        <v>0</v>
      </c>
      <c r="H40">
        <f>IF(ТС!145:145,"AAAAAFdyzwc=",0)</f>
        <v>0</v>
      </c>
      <c r="I40">
        <f>IF(ТС!146:146,"AAAAAFdyzwg=",0)</f>
        <v>0</v>
      </c>
      <c r="J40">
        <f>IF(ТС!147:147,"AAAAAFdyzwk=",0)</f>
        <v>0</v>
      </c>
      <c r="K40">
        <f>IF(ТС!148:148,"AAAAAFdyzwo=",0)</f>
        <v>0</v>
      </c>
      <c r="L40">
        <f>IF(ТС!149:149,"AAAAAFdyzws=",0)</f>
        <v>0</v>
      </c>
      <c r="M40">
        <f>IF(ТС!150:150,"AAAAAFdyzww=",0)</f>
        <v>0</v>
      </c>
      <c r="N40">
        <f>IF(ТС!151:151,"AAAAAFdyzw0=",0)</f>
        <v>0</v>
      </c>
      <c r="O40">
        <f>IF(ТС!152:152,"AAAAAFdyzw4=",0)</f>
        <v>0</v>
      </c>
      <c r="P40">
        <f>IF(ТС!153:153,"AAAAAFdyzw8=",0)</f>
        <v>0</v>
      </c>
      <c r="Q40">
        <f>IF(ТС!154:154,"AAAAAFdyzxA=",0)</f>
        <v>0</v>
      </c>
      <c r="R40">
        <f>IF(ТС!155:155,"AAAAAFdyzxE=",0)</f>
        <v>0</v>
      </c>
      <c r="S40">
        <f>IF(ТС!156:156,"AAAAAFdyzxI=",0)</f>
        <v>0</v>
      </c>
      <c r="T40">
        <f>IF(ТС!A:A,"AAAAAFdyzxM=",0)</f>
        <v>0</v>
      </c>
      <c r="U40">
        <f>IF(ТС!B:B,"AAAAAFdyzxQ=",0)</f>
        <v>0</v>
      </c>
      <c r="V40">
        <f>IF(ТС!C:C,"AAAAAFdyzxU=",0)</f>
        <v>0</v>
      </c>
      <c r="W40">
        <f>IF(ТС!D:D,"AAAAAFdyzxY=",0)</f>
        <v>0</v>
      </c>
      <c r="X40">
        <f>IF(ТС!E:E,"AAAAAFdyzxc=",0)</f>
        <v>0</v>
      </c>
      <c r="Y40" t="e">
        <f>IF(ТС!F:F,"AAAAAFdyzxg=",0)</f>
        <v>#VALUE!</v>
      </c>
      <c r="Z40">
        <f>IF(ТС!G:G,"AAAAAFdyzxk=",0)</f>
        <v>0</v>
      </c>
      <c r="AA40">
        <f>IF(ТС!H:H,"AAAAAFdyzxo=",0)</f>
        <v>0</v>
      </c>
      <c r="AB40">
        <f>IF(ТС!I:I,"AAAAAFdyzxs=",0)</f>
        <v>0</v>
      </c>
      <c r="AC40">
        <f>IF(ТС!J:J,"AAAAAFdyzxw=",0)</f>
        <v>0</v>
      </c>
      <c r="AD40">
        <f>IF(ТС!K:K,"AAAAAFdyzx0=",0)</f>
        <v>0</v>
      </c>
      <c r="AE40">
        <f>IF('UP133'!1:1,"AAAAAFdyzx4=",0)</f>
        <v>0</v>
      </c>
      <c r="AF40" t="e">
        <f>AND('UP133'!A1,"AAAAAFdyzx8=")</f>
        <v>#VALUE!</v>
      </c>
      <c r="AG40" t="e">
        <f>AND('UP133'!B1,"AAAAAFdyzyA=")</f>
        <v>#VALUE!</v>
      </c>
      <c r="AH40" t="e">
        <f>AND('UP133'!C1,"AAAAAFdyzyE=")</f>
        <v>#VALUE!</v>
      </c>
      <c r="AI40" t="e">
        <f>AND('UP133'!D1,"AAAAAFdyzyI=")</f>
        <v>#VALUE!</v>
      </c>
      <c r="AJ40" t="e">
        <f>AND('UP133'!E1,"AAAAAFdyzyM=")</f>
        <v>#VALUE!</v>
      </c>
      <c r="AK40" t="e">
        <f>AND('UP133'!F1,"AAAAAFdyzyQ=")</f>
        <v>#VALUE!</v>
      </c>
      <c r="AL40" t="e">
        <f>AND('UP133'!G1,"AAAAAFdyzyU=")</f>
        <v>#VALUE!</v>
      </c>
      <c r="AM40" t="e">
        <f>AND('UP133'!H1,"AAAAAFdyzyY=")</f>
        <v>#VALUE!</v>
      </c>
      <c r="AN40" t="e">
        <f>AND('UP133'!I1,"AAAAAFdyzyc=")</f>
        <v>#VALUE!</v>
      </c>
      <c r="AO40" t="e">
        <f>AND('UP133'!J1,"AAAAAFdyzyg=")</f>
        <v>#VALUE!</v>
      </c>
      <c r="AP40" t="e">
        <f>AND('UP133'!K1,"AAAAAFdyzyk=")</f>
        <v>#VALUE!</v>
      </c>
      <c r="AQ40" t="e">
        <f>AND('UP133'!L1,"AAAAAFdyzyo=")</f>
        <v>#VALUE!</v>
      </c>
      <c r="AR40" t="e">
        <f>AND('UP133'!M1,"AAAAAFdyzys=")</f>
        <v>#VALUE!</v>
      </c>
      <c r="AS40" t="e">
        <f>AND('UP133'!N1,"AAAAAFdyzyw=")</f>
        <v>#VALUE!</v>
      </c>
      <c r="AT40" t="e">
        <f>AND('UP133'!O1,"AAAAAFdyzy0=")</f>
        <v>#VALUE!</v>
      </c>
      <c r="AU40" t="e">
        <f>AND('UP133'!P1,"AAAAAFdyzy4=")</f>
        <v>#VALUE!</v>
      </c>
      <c r="AV40" t="e">
        <f>AND('UP133'!Q1,"AAAAAFdyzy8=")</f>
        <v>#VALUE!</v>
      </c>
      <c r="AW40" t="e">
        <f>AND('UP133'!R1,"AAAAAFdyzzA=")</f>
        <v>#VALUE!</v>
      </c>
      <c r="AX40" t="e">
        <f>AND('UP133'!S1,"AAAAAFdyzzE=")</f>
        <v>#VALUE!</v>
      </c>
      <c r="AY40" t="e">
        <f>AND('UP133'!T1,"AAAAAFdyzzI=")</f>
        <v>#VALUE!</v>
      </c>
      <c r="AZ40" t="e">
        <f>AND('UP133'!U1,"AAAAAFdyzzM=")</f>
        <v>#VALUE!</v>
      </c>
      <c r="BA40" t="e">
        <f>AND('UP133'!V1,"AAAAAFdyzzQ=")</f>
        <v>#VALUE!</v>
      </c>
      <c r="BB40" t="e">
        <f>AND('UP133'!W1,"AAAAAFdyzzU=")</f>
        <v>#VALUE!</v>
      </c>
      <c r="BC40" t="e">
        <f>AND('UP133'!X1,"AAAAAFdyzzY=")</f>
        <v>#VALUE!</v>
      </c>
      <c r="BD40" t="e">
        <f>AND('UP133'!Y1,"AAAAAFdyzzc=")</f>
        <v>#VALUE!</v>
      </c>
      <c r="BE40" t="e">
        <f>AND('UP133'!Z1,"AAAAAFdyzzg=")</f>
        <v>#VALUE!</v>
      </c>
      <c r="BF40" t="e">
        <f>AND('UP133'!AA1,"AAAAAFdyzzk=")</f>
        <v>#VALUE!</v>
      </c>
      <c r="BG40" t="e">
        <f>AND('UP133'!AB1,"AAAAAFdyzzo=")</f>
        <v>#VALUE!</v>
      </c>
      <c r="BH40" t="e">
        <f>AND('UP133'!AC1,"AAAAAFdyzzs=")</f>
        <v>#VALUE!</v>
      </c>
      <c r="BI40" t="e">
        <f>AND('UP133'!AD1,"AAAAAFdyzzw=")</f>
        <v>#VALUE!</v>
      </c>
      <c r="BJ40" t="e">
        <f>AND('UP133'!AE1,"AAAAAFdyzz0=")</f>
        <v>#VALUE!</v>
      </c>
      <c r="BK40" t="e">
        <f>AND('UP133'!AF1,"AAAAAFdyzz4=")</f>
        <v>#VALUE!</v>
      </c>
      <c r="BL40" t="e">
        <f>AND('UP133'!AG1,"AAAAAFdyzz8=")</f>
        <v>#VALUE!</v>
      </c>
      <c r="BM40" t="e">
        <f>AND('UP133'!AH1,"AAAAAFdyz0A=")</f>
        <v>#VALUE!</v>
      </c>
      <c r="BN40" t="e">
        <f>AND('UP133'!AI1,"AAAAAFdyz0E=")</f>
        <v>#VALUE!</v>
      </c>
      <c r="BO40" t="e">
        <f>AND('UP133'!AJ1,"AAAAAFdyz0I=")</f>
        <v>#VALUE!</v>
      </c>
      <c r="BP40" t="e">
        <f>AND('UP133'!AK1,"AAAAAFdyz0M=")</f>
        <v>#VALUE!</v>
      </c>
      <c r="BQ40" t="e">
        <f>AND('UP133'!AL1,"AAAAAFdyz0Q=")</f>
        <v>#VALUE!</v>
      </c>
      <c r="BR40" t="e">
        <f>AND('UP133'!AM1,"AAAAAFdyz0U=")</f>
        <v>#VALUE!</v>
      </c>
      <c r="BS40" t="e">
        <f>AND('UP133'!AN1,"AAAAAFdyz0Y=")</f>
        <v>#VALUE!</v>
      </c>
      <c r="BT40" t="e">
        <f>AND('UP133'!AO1,"AAAAAFdyz0c=")</f>
        <v>#VALUE!</v>
      </c>
      <c r="BU40" t="e">
        <f>AND('UP133'!AP1,"AAAAAFdyz0g=")</f>
        <v>#VALUE!</v>
      </c>
      <c r="BV40" t="e">
        <f>AND('UP133'!AQ1,"AAAAAFdyz0k=")</f>
        <v>#VALUE!</v>
      </c>
      <c r="BW40" t="e">
        <f>AND('UP133'!AR1,"AAAAAFdyz0o=")</f>
        <v>#VALUE!</v>
      </c>
      <c r="BX40" t="e">
        <f>AND('UP133'!AS1,"AAAAAFdyz0s=")</f>
        <v>#VALUE!</v>
      </c>
      <c r="BY40" t="e">
        <f>AND('UP133'!AT1,"AAAAAFdyz0w=")</f>
        <v>#VALUE!</v>
      </c>
      <c r="BZ40" t="e">
        <f>AND('UP133'!AU1,"AAAAAFdyz00=")</f>
        <v>#VALUE!</v>
      </c>
      <c r="CA40" t="e">
        <f>AND('UP133'!AV1,"AAAAAFdyz04=")</f>
        <v>#VALUE!</v>
      </c>
      <c r="CB40" t="e">
        <f>AND('UP133'!AW1,"AAAAAFdyz08=")</f>
        <v>#VALUE!</v>
      </c>
      <c r="CC40" t="e">
        <f>AND('UP133'!AX1,"AAAAAFdyz1A=")</f>
        <v>#VALUE!</v>
      </c>
      <c r="CD40" t="e">
        <f>AND('UP133'!AY1,"AAAAAFdyz1E=")</f>
        <v>#VALUE!</v>
      </c>
      <c r="CE40" t="e">
        <f>AND('UP133'!AZ1,"AAAAAFdyz1I=")</f>
        <v>#VALUE!</v>
      </c>
      <c r="CF40" t="e">
        <f>AND('UP133'!BA1,"AAAAAFdyz1M=")</f>
        <v>#VALUE!</v>
      </c>
      <c r="CG40" t="e">
        <f>AND('UP133'!BB1,"AAAAAFdyz1Q=")</f>
        <v>#VALUE!</v>
      </c>
      <c r="CH40" t="e">
        <f>AND('UP133'!BC1,"AAAAAFdyz1U=")</f>
        <v>#VALUE!</v>
      </c>
      <c r="CI40" t="e">
        <f>AND('UP133'!BD1,"AAAAAFdyz1Y=")</f>
        <v>#VALUE!</v>
      </c>
      <c r="CJ40" t="e">
        <f>AND('UP133'!BE1,"AAAAAFdyz1c=")</f>
        <v>#VALUE!</v>
      </c>
      <c r="CK40" t="e">
        <f>AND('UP133'!BF1,"AAAAAFdyz1g=")</f>
        <v>#VALUE!</v>
      </c>
      <c r="CL40" t="e">
        <f>AND('UP133'!BG1,"AAAAAFdyz1k=")</f>
        <v>#VALUE!</v>
      </c>
      <c r="CM40" t="e">
        <f>AND('UP133'!BH1,"AAAAAFdyz1o=")</f>
        <v>#VALUE!</v>
      </c>
      <c r="CN40" t="e">
        <f>AND('UP133'!BI1,"AAAAAFdyz1s=")</f>
        <v>#VALUE!</v>
      </c>
      <c r="CO40" t="e">
        <f>AND('UP133'!BJ1,"AAAAAFdyz1w=")</f>
        <v>#VALUE!</v>
      </c>
      <c r="CP40" t="e">
        <f>AND('UP133'!BK1,"AAAAAFdyz10=")</f>
        <v>#VALUE!</v>
      </c>
      <c r="CQ40" t="e">
        <f>AND('UP133'!BL1,"AAAAAFdyz14=")</f>
        <v>#VALUE!</v>
      </c>
      <c r="CR40" t="e">
        <f>AND('UP133'!BM1,"AAAAAFdyz18=")</f>
        <v>#VALUE!</v>
      </c>
      <c r="CS40" t="e">
        <f>AND('UP133'!BN1,"AAAAAFdyz2A=")</f>
        <v>#VALUE!</v>
      </c>
      <c r="CT40" t="e">
        <f>AND('UP133'!BO1,"AAAAAFdyz2E=")</f>
        <v>#VALUE!</v>
      </c>
      <c r="CU40" t="e">
        <f>AND('UP133'!BP1,"AAAAAFdyz2I=")</f>
        <v>#VALUE!</v>
      </c>
      <c r="CV40" t="e">
        <f>AND('UP133'!BQ1,"AAAAAFdyz2M=")</f>
        <v>#VALUE!</v>
      </c>
      <c r="CW40" t="e">
        <f>AND('UP133'!BR1,"AAAAAFdyz2Q=")</f>
        <v>#VALUE!</v>
      </c>
      <c r="CX40" t="e">
        <f>AND('UP133'!BS1,"AAAAAFdyz2U=")</f>
        <v>#VALUE!</v>
      </c>
      <c r="CY40" t="e">
        <f>AND('UP133'!BT1,"AAAAAFdyz2Y=")</f>
        <v>#VALUE!</v>
      </c>
      <c r="CZ40" t="e">
        <f>AND('UP133'!BU1,"AAAAAFdyz2c=")</f>
        <v>#VALUE!</v>
      </c>
      <c r="DA40" t="e">
        <f>AND('UP133'!BV1,"AAAAAFdyz2g=")</f>
        <v>#VALUE!</v>
      </c>
      <c r="DB40" t="e">
        <f>AND('UP133'!BW1,"AAAAAFdyz2k=")</f>
        <v>#VALUE!</v>
      </c>
      <c r="DC40" t="e">
        <f>AND('UP133'!BX1,"AAAAAFdyz2o=")</f>
        <v>#VALUE!</v>
      </c>
      <c r="DD40" t="e">
        <f>AND('UP133'!BY1,"AAAAAFdyz2s=")</f>
        <v>#VALUE!</v>
      </c>
      <c r="DE40" t="e">
        <f>AND('UP133'!BZ1,"AAAAAFdyz2w=")</f>
        <v>#VALUE!</v>
      </c>
      <c r="DF40" t="e">
        <f>AND('UP133'!CA1,"AAAAAFdyz20=")</f>
        <v>#VALUE!</v>
      </c>
      <c r="DG40" t="e">
        <f>AND('UP133'!CB1,"AAAAAFdyz24=")</f>
        <v>#VALUE!</v>
      </c>
      <c r="DH40" t="e">
        <f>AND('UP133'!CC1,"AAAAAFdyz28=")</f>
        <v>#VALUE!</v>
      </c>
      <c r="DI40" t="e">
        <f>AND('UP133'!CD1,"AAAAAFdyz3A=")</f>
        <v>#VALUE!</v>
      </c>
      <c r="DJ40" t="e">
        <f>AND('UP133'!CE1,"AAAAAFdyz3E=")</f>
        <v>#VALUE!</v>
      </c>
      <c r="DK40" t="e">
        <f>AND('UP133'!CF1,"AAAAAFdyz3I=")</f>
        <v>#VALUE!</v>
      </c>
      <c r="DL40" t="e">
        <f>AND('UP133'!CG1,"AAAAAFdyz3M=")</f>
        <v>#VALUE!</v>
      </c>
      <c r="DM40" t="e">
        <f>AND('UP133'!CH1,"AAAAAFdyz3Q=")</f>
        <v>#VALUE!</v>
      </c>
      <c r="DN40" t="e">
        <f>AND('UP133'!CI1,"AAAAAFdyz3U=")</f>
        <v>#VALUE!</v>
      </c>
      <c r="DO40" t="e">
        <f>AND('UP133'!CJ1,"AAAAAFdyz3Y=")</f>
        <v>#VALUE!</v>
      </c>
      <c r="DP40" t="e">
        <f>AND('UP133'!CK1,"AAAAAFdyz3c=")</f>
        <v>#VALUE!</v>
      </c>
      <c r="DQ40" t="e">
        <f>AND('UP133'!CL1,"AAAAAFdyz3g=")</f>
        <v>#VALUE!</v>
      </c>
      <c r="DR40" t="e">
        <f>AND('UP133'!CM1,"AAAAAFdyz3k=")</f>
        <v>#VALUE!</v>
      </c>
      <c r="DS40" t="e">
        <f>AND('UP133'!CN1,"AAAAAFdyz3o=")</f>
        <v>#VALUE!</v>
      </c>
      <c r="DT40" t="e">
        <f>AND('UP133'!CO1,"AAAAAFdyz3s=")</f>
        <v>#VALUE!</v>
      </c>
      <c r="DU40" t="e">
        <f>AND('UP133'!CP1,"AAAAAFdyz3w=")</f>
        <v>#VALUE!</v>
      </c>
      <c r="DV40" t="e">
        <f>AND('UP133'!CQ1,"AAAAAFdyz30=")</f>
        <v>#VALUE!</v>
      </c>
      <c r="DW40" t="e">
        <f>AND('UP133'!CR1,"AAAAAFdyz34=")</f>
        <v>#VALUE!</v>
      </c>
      <c r="DX40" t="e">
        <f>AND('UP133'!CS1,"AAAAAFdyz38=")</f>
        <v>#VALUE!</v>
      </c>
      <c r="DY40" t="e">
        <f>AND('UP133'!CT1,"AAAAAFdyz4A=")</f>
        <v>#VALUE!</v>
      </c>
      <c r="DZ40" t="e">
        <f>AND('UP133'!CU1,"AAAAAFdyz4E=")</f>
        <v>#VALUE!</v>
      </c>
      <c r="EA40" t="e">
        <f>AND('UP133'!CV1,"AAAAAFdyz4I=")</f>
        <v>#VALUE!</v>
      </c>
      <c r="EB40" t="e">
        <f>AND('UP133'!CW1,"AAAAAFdyz4M=")</f>
        <v>#VALUE!</v>
      </c>
      <c r="EC40" t="e">
        <f>AND('UP133'!CX1,"AAAAAFdyz4Q=")</f>
        <v>#VALUE!</v>
      </c>
      <c r="ED40" t="e">
        <f>AND('UP133'!CY1,"AAAAAFdyz4U=")</f>
        <v>#VALUE!</v>
      </c>
      <c r="EE40" t="e">
        <f>AND('UP133'!CZ1,"AAAAAFdyz4Y=")</f>
        <v>#VALUE!</v>
      </c>
      <c r="EF40" t="e">
        <f>AND('UP133'!DA1,"AAAAAFdyz4c=")</f>
        <v>#VALUE!</v>
      </c>
      <c r="EG40" t="e">
        <f>AND('UP133'!DB1,"AAAAAFdyz4g=")</f>
        <v>#VALUE!</v>
      </c>
      <c r="EH40" t="e">
        <f>AND('UP133'!DC1,"AAAAAFdyz4k=")</f>
        <v>#VALUE!</v>
      </c>
      <c r="EI40" t="e">
        <f>AND('UP133'!DD1,"AAAAAFdyz4o=")</f>
        <v>#VALUE!</v>
      </c>
      <c r="EJ40" t="e">
        <f>AND('UP133'!DE1,"AAAAAFdyz4s=")</f>
        <v>#VALUE!</v>
      </c>
      <c r="EK40" t="e">
        <f>AND('UP133'!DF1,"AAAAAFdyz4w=")</f>
        <v>#VALUE!</v>
      </c>
      <c r="EL40" t="e">
        <f>AND('UP133'!DG1,"AAAAAFdyz40=")</f>
        <v>#VALUE!</v>
      </c>
      <c r="EM40" t="e">
        <f>AND('UP133'!DH1,"AAAAAFdyz44=")</f>
        <v>#VALUE!</v>
      </c>
      <c r="EN40" t="e">
        <f>AND('UP133'!DI1,"AAAAAFdyz48=")</f>
        <v>#VALUE!</v>
      </c>
      <c r="EO40" t="e">
        <f>AND('UP133'!DJ1,"AAAAAFdyz5A=")</f>
        <v>#VALUE!</v>
      </c>
      <c r="EP40" t="e">
        <f>AND('UP133'!DK1,"AAAAAFdyz5E=")</f>
        <v>#VALUE!</v>
      </c>
      <c r="EQ40" t="e">
        <f>AND('UP133'!DL1,"AAAAAFdyz5I=")</f>
        <v>#VALUE!</v>
      </c>
      <c r="ER40" t="e">
        <f>AND('UP133'!DM1,"AAAAAFdyz5M=")</f>
        <v>#VALUE!</v>
      </c>
      <c r="ES40" t="e">
        <f>AND('UP133'!DN1,"AAAAAFdyz5Q=")</f>
        <v>#VALUE!</v>
      </c>
      <c r="ET40" t="e">
        <f>AND('UP133'!DO1,"AAAAAFdyz5U=")</f>
        <v>#VALUE!</v>
      </c>
      <c r="EU40" t="e">
        <f>AND('UP133'!DP1,"AAAAAFdyz5Y=")</f>
        <v>#VALUE!</v>
      </c>
      <c r="EV40" t="e">
        <f>AND('UP133'!DQ1,"AAAAAFdyz5c=")</f>
        <v>#VALUE!</v>
      </c>
      <c r="EW40" t="e">
        <f>AND('UP133'!DR1,"AAAAAFdyz5g=")</f>
        <v>#VALUE!</v>
      </c>
      <c r="EX40" t="e">
        <f>AND('UP133'!DS1,"AAAAAFdyz5k=")</f>
        <v>#VALUE!</v>
      </c>
      <c r="EY40" t="e">
        <f>AND('UP133'!DT1,"AAAAAFdyz5o=")</f>
        <v>#VALUE!</v>
      </c>
      <c r="EZ40" t="e">
        <f>AND('UP133'!DU1,"AAAAAFdyz5s=")</f>
        <v>#VALUE!</v>
      </c>
      <c r="FA40" t="e">
        <f>AND('UP133'!DV1,"AAAAAFdyz5w=")</f>
        <v>#VALUE!</v>
      </c>
      <c r="FB40" t="e">
        <f>AND('UP133'!DW1,"AAAAAFdyz50=")</f>
        <v>#VALUE!</v>
      </c>
      <c r="FC40" t="e">
        <f>AND('UP133'!DX1,"AAAAAFdyz54=")</f>
        <v>#VALUE!</v>
      </c>
      <c r="FD40" t="e">
        <f>AND('UP133'!DY1,"AAAAAFdyz58=")</f>
        <v>#VALUE!</v>
      </c>
      <c r="FE40" t="e">
        <f>AND('UP133'!DZ1,"AAAAAFdyz6A=")</f>
        <v>#VALUE!</v>
      </c>
      <c r="FF40" t="e">
        <f>AND('UP133'!EA1,"AAAAAFdyz6E=")</f>
        <v>#VALUE!</v>
      </c>
      <c r="FG40" t="e">
        <f>AND('UP133'!EB1,"AAAAAFdyz6I=")</f>
        <v>#VALUE!</v>
      </c>
      <c r="FH40" t="e">
        <f>AND('UP133'!EC1,"AAAAAFdyz6M=")</f>
        <v>#VALUE!</v>
      </c>
      <c r="FI40" t="e">
        <f>AND('UP133'!ED1,"AAAAAFdyz6Q=")</f>
        <v>#VALUE!</v>
      </c>
      <c r="FJ40" t="e">
        <f>AND('UP133'!EE1,"AAAAAFdyz6U=")</f>
        <v>#VALUE!</v>
      </c>
      <c r="FK40" t="e">
        <f>AND('UP133'!EF1,"AAAAAFdyz6Y=")</f>
        <v>#VALUE!</v>
      </c>
      <c r="FL40" t="e">
        <f>AND('UP133'!EG1,"AAAAAFdyz6c=")</f>
        <v>#VALUE!</v>
      </c>
      <c r="FM40" t="e">
        <f>AND('UP133'!EH1,"AAAAAFdyz6g=")</f>
        <v>#VALUE!</v>
      </c>
      <c r="FN40" t="e">
        <f>AND('UP133'!EI1,"AAAAAFdyz6k=")</f>
        <v>#VALUE!</v>
      </c>
      <c r="FO40" t="e">
        <f>AND('UP133'!EJ1,"AAAAAFdyz6o=")</f>
        <v>#VALUE!</v>
      </c>
      <c r="FP40" t="e">
        <f>AND('UP133'!EK1,"AAAAAFdyz6s=")</f>
        <v>#VALUE!</v>
      </c>
      <c r="FQ40" t="e">
        <f>AND('UP133'!EL1,"AAAAAFdyz6w=")</f>
        <v>#VALUE!</v>
      </c>
      <c r="FR40" t="e">
        <f>AND('UP133'!EM1,"AAAAAFdyz60=")</f>
        <v>#VALUE!</v>
      </c>
      <c r="FS40" t="e">
        <f>AND('UP133'!EN1,"AAAAAFdyz64=")</f>
        <v>#VALUE!</v>
      </c>
      <c r="FT40" t="e">
        <f>AND('UP133'!EO1,"AAAAAFdyz68=")</f>
        <v>#VALUE!</v>
      </c>
      <c r="FU40" t="e">
        <f>AND('UP133'!EP1,"AAAAAFdyz7A=")</f>
        <v>#VALUE!</v>
      </c>
      <c r="FV40" t="e">
        <f>AND('UP133'!EQ1,"AAAAAFdyz7E=")</f>
        <v>#VALUE!</v>
      </c>
      <c r="FW40" t="e">
        <f>AND('UP133'!ER1,"AAAAAFdyz7I=")</f>
        <v>#VALUE!</v>
      </c>
      <c r="FX40" t="e">
        <f>AND('UP133'!ES1,"AAAAAFdyz7M=")</f>
        <v>#VALUE!</v>
      </c>
      <c r="FY40" t="e">
        <f>AND('UP133'!ET1,"AAAAAFdyz7Q=")</f>
        <v>#VALUE!</v>
      </c>
      <c r="FZ40" t="e">
        <f>AND('UP133'!EU1,"AAAAAFdyz7U=")</f>
        <v>#VALUE!</v>
      </c>
      <c r="GA40" t="e">
        <f>AND('UP133'!EV1,"AAAAAFdyz7Y=")</f>
        <v>#VALUE!</v>
      </c>
      <c r="GB40" t="e">
        <f>AND('UP133'!EW1,"AAAAAFdyz7c=")</f>
        <v>#VALUE!</v>
      </c>
      <c r="GC40" t="e">
        <f>AND('UP133'!EX1,"AAAAAFdyz7g=")</f>
        <v>#VALUE!</v>
      </c>
      <c r="GD40" t="e">
        <f>AND('UP133'!EY1,"AAAAAFdyz7k=")</f>
        <v>#VALUE!</v>
      </c>
      <c r="GE40" t="e">
        <f>AND('UP133'!EZ1,"AAAAAFdyz7o=")</f>
        <v>#VALUE!</v>
      </c>
      <c r="GF40" t="e">
        <f>AND('UP133'!FA1,"AAAAAFdyz7s=")</f>
        <v>#VALUE!</v>
      </c>
      <c r="GG40" t="e">
        <f>AND('UP133'!FB1,"AAAAAFdyz7w=")</f>
        <v>#VALUE!</v>
      </c>
      <c r="GH40" t="e">
        <f>AND('UP133'!FC1,"AAAAAFdyz70=")</f>
        <v>#VALUE!</v>
      </c>
      <c r="GI40" t="e">
        <f>AND('UP133'!FD1,"AAAAAFdyz74=")</f>
        <v>#VALUE!</v>
      </c>
      <c r="GJ40" t="e">
        <f>AND('UP133'!FE1,"AAAAAFdyz78=")</f>
        <v>#VALUE!</v>
      </c>
      <c r="GK40" t="e">
        <f>AND('UP133'!FF1,"AAAAAFdyz8A=")</f>
        <v>#VALUE!</v>
      </c>
      <c r="GL40" t="e">
        <f>AND('UP133'!FG1,"AAAAAFdyz8E=")</f>
        <v>#VALUE!</v>
      </c>
      <c r="GM40" t="e">
        <f>AND('UP133'!FH1,"AAAAAFdyz8I=")</f>
        <v>#VALUE!</v>
      </c>
      <c r="GN40" t="e">
        <f>AND('UP133'!FI1,"AAAAAFdyz8M=")</f>
        <v>#VALUE!</v>
      </c>
      <c r="GO40" t="e">
        <f>AND('UP133'!FJ1,"AAAAAFdyz8Q=")</f>
        <v>#VALUE!</v>
      </c>
      <c r="GP40" t="e">
        <f>AND('UP133'!FK1,"AAAAAFdyz8U=")</f>
        <v>#VALUE!</v>
      </c>
      <c r="GQ40" t="e">
        <f>AND('UP133'!FL1,"AAAAAFdyz8Y=")</f>
        <v>#VALUE!</v>
      </c>
      <c r="GR40" t="e">
        <f>AND('UP133'!FM1,"AAAAAFdyz8c=")</f>
        <v>#VALUE!</v>
      </c>
      <c r="GS40" t="e">
        <f>AND('UP133'!FN1,"AAAAAFdyz8g=")</f>
        <v>#VALUE!</v>
      </c>
      <c r="GT40" t="e">
        <f>AND('UP133'!FO1,"AAAAAFdyz8k=")</f>
        <v>#VALUE!</v>
      </c>
      <c r="GU40" t="e">
        <f>AND('UP133'!FP1,"AAAAAFdyz8o=")</f>
        <v>#VALUE!</v>
      </c>
      <c r="GV40" t="e">
        <f>AND('UP133'!FQ1,"AAAAAFdyz8s=")</f>
        <v>#VALUE!</v>
      </c>
      <c r="GW40" t="e">
        <f>AND('UP133'!FR1,"AAAAAFdyz8w=")</f>
        <v>#VALUE!</v>
      </c>
      <c r="GX40" t="e">
        <f>AND('UP133'!FS1,"AAAAAFdyz80=")</f>
        <v>#VALUE!</v>
      </c>
      <c r="GY40" t="e">
        <f>AND('UP133'!FT1,"AAAAAFdyz84=")</f>
        <v>#VALUE!</v>
      </c>
      <c r="GZ40" t="e">
        <f>AND('UP133'!FU1,"AAAAAFdyz88=")</f>
        <v>#VALUE!</v>
      </c>
      <c r="HA40" t="e">
        <f>AND('UP133'!FV1,"AAAAAFdyz9A=")</f>
        <v>#VALUE!</v>
      </c>
      <c r="HB40" t="e">
        <f>AND('UP133'!FW1,"AAAAAFdyz9E=")</f>
        <v>#VALUE!</v>
      </c>
      <c r="HC40" t="e">
        <f>AND('UP133'!FX1,"AAAAAFdyz9I=")</f>
        <v>#VALUE!</v>
      </c>
      <c r="HD40" t="e">
        <f>AND('UP133'!FY1,"AAAAAFdyz9M=")</f>
        <v>#VALUE!</v>
      </c>
      <c r="HE40" t="e">
        <f>AND('UP133'!FZ1,"AAAAAFdyz9Q=")</f>
        <v>#VALUE!</v>
      </c>
      <c r="HF40" t="e">
        <f>AND('UP133'!GA1,"AAAAAFdyz9U=")</f>
        <v>#VALUE!</v>
      </c>
      <c r="HG40" t="e">
        <f>AND('UP133'!GB1,"AAAAAFdyz9Y=")</f>
        <v>#VALUE!</v>
      </c>
      <c r="HH40" t="e">
        <f>AND('UP133'!GC1,"AAAAAFdyz9c=")</f>
        <v>#VALUE!</v>
      </c>
      <c r="HI40" t="e">
        <f>AND('UP133'!GD1,"AAAAAFdyz9g=")</f>
        <v>#VALUE!</v>
      </c>
      <c r="HJ40" t="e">
        <f>AND('UP133'!GE1,"AAAAAFdyz9k=")</f>
        <v>#VALUE!</v>
      </c>
      <c r="HK40" t="e">
        <f>AND('UP133'!GF1,"AAAAAFdyz9o=")</f>
        <v>#VALUE!</v>
      </c>
      <c r="HL40" t="e">
        <f>AND('UP133'!GG1,"AAAAAFdyz9s=")</f>
        <v>#VALUE!</v>
      </c>
      <c r="HM40" t="e">
        <f>AND('UP133'!GH1,"AAAAAFdyz9w=")</f>
        <v>#VALUE!</v>
      </c>
      <c r="HN40" t="e">
        <f>AND('UP133'!GI1,"AAAAAFdyz90=")</f>
        <v>#VALUE!</v>
      </c>
      <c r="HO40" t="e">
        <f>AND('UP133'!GJ1,"AAAAAFdyz94=")</f>
        <v>#VALUE!</v>
      </c>
      <c r="HP40" t="e">
        <f>AND('UP133'!GK1,"AAAAAFdyz98=")</f>
        <v>#VALUE!</v>
      </c>
      <c r="HQ40" t="e">
        <f>AND('UP133'!GL1,"AAAAAFdyz+A=")</f>
        <v>#VALUE!</v>
      </c>
      <c r="HR40" t="e">
        <f>AND('UP133'!GM1,"AAAAAFdyz+E=")</f>
        <v>#VALUE!</v>
      </c>
      <c r="HS40" t="e">
        <f>AND('UP133'!GN1,"AAAAAFdyz+I=")</f>
        <v>#VALUE!</v>
      </c>
      <c r="HT40" t="e">
        <f>AND('UP133'!GO1,"AAAAAFdyz+M=")</f>
        <v>#VALUE!</v>
      </c>
      <c r="HU40" t="e">
        <f>AND('UP133'!GP1,"AAAAAFdyz+Q=")</f>
        <v>#VALUE!</v>
      </c>
      <c r="HV40" t="e">
        <f>AND('UP133'!GQ1,"AAAAAFdyz+U=")</f>
        <v>#VALUE!</v>
      </c>
      <c r="HW40" t="e">
        <f>AND('UP133'!GR1,"AAAAAFdyz+Y=")</f>
        <v>#VALUE!</v>
      </c>
      <c r="HX40" t="e">
        <f>AND('UP133'!GS1,"AAAAAFdyz+c=")</f>
        <v>#VALUE!</v>
      </c>
      <c r="HY40" t="e">
        <f>AND('UP133'!GT1,"AAAAAFdyz+g=")</f>
        <v>#VALUE!</v>
      </c>
      <c r="HZ40" t="e">
        <f>AND('UP133'!GU1,"AAAAAFdyz+k=")</f>
        <v>#VALUE!</v>
      </c>
      <c r="IA40" t="e">
        <f>AND('UP133'!GV1,"AAAAAFdyz+o=")</f>
        <v>#VALUE!</v>
      </c>
      <c r="IB40" t="e">
        <f>AND('UP133'!GW1,"AAAAAFdyz+s=")</f>
        <v>#VALUE!</v>
      </c>
      <c r="IC40" t="e">
        <f>AND('UP133'!GX1,"AAAAAFdyz+w=")</f>
        <v>#VALUE!</v>
      </c>
      <c r="ID40" t="e">
        <f>AND('UP133'!GY1,"AAAAAFdyz+0=")</f>
        <v>#VALUE!</v>
      </c>
      <c r="IE40" t="e">
        <f>AND('UP133'!GZ1,"AAAAAFdyz+4=")</f>
        <v>#VALUE!</v>
      </c>
      <c r="IF40" t="e">
        <f>AND('UP133'!HA1,"AAAAAFdyz+8=")</f>
        <v>#VALUE!</v>
      </c>
      <c r="IG40" t="e">
        <f>AND('UP133'!HB1,"AAAAAFdyz/A=")</f>
        <v>#VALUE!</v>
      </c>
      <c r="IH40" t="e">
        <f>AND('UP133'!HC1,"AAAAAFdyz/E=")</f>
        <v>#VALUE!</v>
      </c>
      <c r="II40" t="e">
        <f>AND('UP133'!HD1,"AAAAAFdyz/I=")</f>
        <v>#VALUE!</v>
      </c>
      <c r="IJ40" t="e">
        <f>AND('UP133'!HE1,"AAAAAFdyz/M=")</f>
        <v>#VALUE!</v>
      </c>
      <c r="IK40" t="e">
        <f>AND('UP133'!HF1,"AAAAAFdyz/Q=")</f>
        <v>#VALUE!</v>
      </c>
      <c r="IL40" t="e">
        <f>AND('UP133'!HG1,"AAAAAFdyz/U=")</f>
        <v>#VALUE!</v>
      </c>
      <c r="IM40" t="e">
        <f>AND('UP133'!HH1,"AAAAAFdyz/Y=")</f>
        <v>#VALUE!</v>
      </c>
      <c r="IN40" t="e">
        <f>AND('UP133'!HI1,"AAAAAFdyz/c=")</f>
        <v>#VALUE!</v>
      </c>
      <c r="IO40" t="e">
        <f>AND('UP133'!HJ1,"AAAAAFdyz/g=")</f>
        <v>#VALUE!</v>
      </c>
      <c r="IP40" t="e">
        <f>AND('UP133'!HK1,"AAAAAFdyz/k=")</f>
        <v>#VALUE!</v>
      </c>
      <c r="IQ40" t="e">
        <f>AND('UP133'!HL1,"AAAAAFdyz/o=")</f>
        <v>#VALUE!</v>
      </c>
      <c r="IR40" t="e">
        <f>AND('UP133'!HM1,"AAAAAFdyz/s=")</f>
        <v>#VALUE!</v>
      </c>
      <c r="IS40" t="e">
        <f>AND('UP133'!HN1,"AAAAAFdyz/w=")</f>
        <v>#VALUE!</v>
      </c>
      <c r="IT40" t="e">
        <f>AND('UP133'!HO1,"AAAAAFdyz/0=")</f>
        <v>#VALUE!</v>
      </c>
      <c r="IU40" t="e">
        <f>AND('UP133'!HP1,"AAAAAFdyz/4=")</f>
        <v>#VALUE!</v>
      </c>
      <c r="IV40" t="e">
        <f>AND('UP133'!HQ1,"AAAAAFdyz/8=")</f>
        <v>#VALUE!</v>
      </c>
    </row>
    <row r="41" spans="1:256">
      <c r="A41" t="e">
        <f>AND('UP133'!HR1,"AAAAAG+/vQA=")</f>
        <v>#VALUE!</v>
      </c>
      <c r="B41" t="e">
        <f>AND('UP133'!HS1,"AAAAAG+/vQE=")</f>
        <v>#VALUE!</v>
      </c>
      <c r="C41" t="e">
        <f>AND('UP133'!HT1,"AAAAAG+/vQI=")</f>
        <v>#VALUE!</v>
      </c>
      <c r="D41" t="e">
        <f>AND('UP133'!HU1,"AAAAAG+/vQM=")</f>
        <v>#VALUE!</v>
      </c>
      <c r="E41" t="e">
        <f>AND('UP133'!HV1,"AAAAAG+/vQQ=")</f>
        <v>#VALUE!</v>
      </c>
      <c r="F41" t="e">
        <f>AND('UP133'!HW1,"AAAAAG+/vQU=")</f>
        <v>#VALUE!</v>
      </c>
      <c r="G41" t="e">
        <f>AND('UP133'!HX1,"AAAAAG+/vQY=")</f>
        <v>#VALUE!</v>
      </c>
      <c r="H41" t="e">
        <f>AND('UP133'!HY1,"AAAAAG+/vQc=")</f>
        <v>#VALUE!</v>
      </c>
      <c r="I41" t="e">
        <f>AND('UP133'!HZ1,"AAAAAG+/vQg=")</f>
        <v>#VALUE!</v>
      </c>
      <c r="J41" t="e">
        <f>AND('UP133'!IA1,"AAAAAG+/vQk=")</f>
        <v>#VALUE!</v>
      </c>
      <c r="K41" t="e">
        <f>AND('UP133'!IB1,"AAAAAG+/vQo=")</f>
        <v>#VALUE!</v>
      </c>
      <c r="L41" t="e">
        <f>AND('UP133'!IC1,"AAAAAG+/vQs=")</f>
        <v>#VALUE!</v>
      </c>
      <c r="M41" t="e">
        <f>AND('UP133'!ID1,"AAAAAG+/vQw=")</f>
        <v>#VALUE!</v>
      </c>
      <c r="N41" t="e">
        <f>AND('UP133'!IE1,"AAAAAG+/vQ0=")</f>
        <v>#VALUE!</v>
      </c>
      <c r="O41" t="e">
        <f>AND('UP133'!IF1,"AAAAAG+/vQ4=")</f>
        <v>#VALUE!</v>
      </c>
      <c r="P41" t="e">
        <f>AND('UP133'!IG1,"AAAAAG+/vQ8=")</f>
        <v>#VALUE!</v>
      </c>
      <c r="Q41" t="e">
        <f>AND('UP133'!IH1,"AAAAAG+/vRA=")</f>
        <v>#VALUE!</v>
      </c>
      <c r="R41" t="e">
        <f>AND('UP133'!II1,"AAAAAG+/vRE=")</f>
        <v>#VALUE!</v>
      </c>
      <c r="S41" t="e">
        <f>AND('UP133'!IJ1,"AAAAAG+/vRI=")</f>
        <v>#VALUE!</v>
      </c>
      <c r="T41" t="e">
        <f>AND('UP133'!IK1,"AAAAAG+/vRM=")</f>
        <v>#VALUE!</v>
      </c>
      <c r="U41" t="e">
        <f>AND('UP133'!IL1,"AAAAAG+/vRQ=")</f>
        <v>#VALUE!</v>
      </c>
      <c r="V41" t="e">
        <f>AND('UP133'!IM1,"AAAAAG+/vRU=")</f>
        <v>#VALUE!</v>
      </c>
      <c r="W41" t="e">
        <f>AND('UP133'!IN1,"AAAAAG+/vRY=")</f>
        <v>#VALUE!</v>
      </c>
      <c r="X41" t="e">
        <f>AND('UP133'!IO1,"AAAAAG+/vRc=")</f>
        <v>#VALUE!</v>
      </c>
      <c r="Y41" t="e">
        <f>AND('UP133'!IP1,"AAAAAG+/vRg=")</f>
        <v>#VALUE!</v>
      </c>
      <c r="Z41" t="e">
        <f>AND('UP133'!IQ1,"AAAAAG+/vRk=")</f>
        <v>#VALUE!</v>
      </c>
      <c r="AA41">
        <f>IF('UP133'!2:2,"AAAAAG+/vRo=",0)</f>
        <v>0</v>
      </c>
      <c r="AB41" t="e">
        <f>AND('UP133'!A2,"AAAAAG+/vRs=")</f>
        <v>#VALUE!</v>
      </c>
      <c r="AC41" t="e">
        <f>AND('UP133'!B2,"AAAAAG+/vRw=")</f>
        <v>#VALUE!</v>
      </c>
      <c r="AD41" t="e">
        <f>AND('UP133'!C2,"AAAAAG+/vR0=")</f>
        <v>#VALUE!</v>
      </c>
      <c r="AE41" t="e">
        <f>AND('UP133'!D2,"AAAAAG+/vR4=")</f>
        <v>#VALUE!</v>
      </c>
      <c r="AF41" t="e">
        <f>AND('UP133'!E2,"AAAAAG+/vR8=")</f>
        <v>#VALUE!</v>
      </c>
      <c r="AG41" t="e">
        <f>AND('UP133'!F2,"AAAAAG+/vSA=")</f>
        <v>#VALUE!</v>
      </c>
      <c r="AH41" t="e">
        <f>AND('UP133'!G2,"AAAAAG+/vSE=")</f>
        <v>#VALUE!</v>
      </c>
      <c r="AI41" t="e">
        <f>AND('UP133'!H2,"AAAAAG+/vSI=")</f>
        <v>#VALUE!</v>
      </c>
      <c r="AJ41" t="e">
        <f>AND('UP133'!I2,"AAAAAG+/vSM=")</f>
        <v>#VALUE!</v>
      </c>
      <c r="AK41" t="e">
        <f>AND('UP133'!J2,"AAAAAG+/vSQ=")</f>
        <v>#VALUE!</v>
      </c>
      <c r="AL41" t="e">
        <f>AND('UP133'!K2,"AAAAAG+/vSU=")</f>
        <v>#VALUE!</v>
      </c>
      <c r="AM41" t="e">
        <f>AND('UP133'!L2,"AAAAAG+/vSY=")</f>
        <v>#VALUE!</v>
      </c>
      <c r="AN41" t="e">
        <f>AND('UP133'!M2,"AAAAAG+/vSc=")</f>
        <v>#VALUE!</v>
      </c>
      <c r="AO41" t="e">
        <f>AND('UP133'!N2,"AAAAAG+/vSg=")</f>
        <v>#VALUE!</v>
      </c>
      <c r="AP41" t="e">
        <f>AND('UP133'!O2,"AAAAAG+/vSk=")</f>
        <v>#VALUE!</v>
      </c>
      <c r="AQ41" t="e">
        <f>AND('UP133'!P2,"AAAAAG+/vSo=")</f>
        <v>#VALUE!</v>
      </c>
      <c r="AR41" t="e">
        <f>AND('UP133'!Q2,"AAAAAG+/vSs=")</f>
        <v>#VALUE!</v>
      </c>
      <c r="AS41" t="e">
        <f>AND('UP133'!R2,"AAAAAG+/vSw=")</f>
        <v>#VALUE!</v>
      </c>
      <c r="AT41" t="e">
        <f>AND('UP133'!S2,"AAAAAG+/vS0=")</f>
        <v>#VALUE!</v>
      </c>
      <c r="AU41" t="e">
        <f>AND('UP133'!T2,"AAAAAG+/vS4=")</f>
        <v>#VALUE!</v>
      </c>
      <c r="AV41" t="e">
        <f>AND('UP133'!U2,"AAAAAG+/vS8=")</f>
        <v>#VALUE!</v>
      </c>
      <c r="AW41" t="e">
        <f>AND('UP133'!V2,"AAAAAG+/vTA=")</f>
        <v>#VALUE!</v>
      </c>
      <c r="AX41" t="e">
        <f>AND('UP133'!W2,"AAAAAG+/vTE=")</f>
        <v>#VALUE!</v>
      </c>
      <c r="AY41" t="e">
        <f>AND('UP133'!X2,"AAAAAG+/vTI=")</f>
        <v>#VALUE!</v>
      </c>
      <c r="AZ41" t="e">
        <f>AND('UP133'!Y2,"AAAAAG+/vTM=")</f>
        <v>#VALUE!</v>
      </c>
      <c r="BA41" t="e">
        <f>AND('UP133'!Z2,"AAAAAG+/vTQ=")</f>
        <v>#VALUE!</v>
      </c>
      <c r="BB41" t="e">
        <f>AND('UP133'!AA2,"AAAAAG+/vTU=")</f>
        <v>#VALUE!</v>
      </c>
      <c r="BC41" t="e">
        <f>AND('UP133'!AB2,"AAAAAG+/vTY=")</f>
        <v>#VALUE!</v>
      </c>
      <c r="BD41" t="e">
        <f>AND('UP133'!AC2,"AAAAAG+/vTc=")</f>
        <v>#VALUE!</v>
      </c>
      <c r="BE41" t="e">
        <f>AND('UP133'!AD2,"AAAAAG+/vTg=")</f>
        <v>#VALUE!</v>
      </c>
      <c r="BF41" t="e">
        <f>AND('UP133'!AE2,"AAAAAG+/vTk=")</f>
        <v>#VALUE!</v>
      </c>
      <c r="BG41" t="e">
        <f>AND('UP133'!AF2,"AAAAAG+/vTo=")</f>
        <v>#VALUE!</v>
      </c>
      <c r="BH41" t="e">
        <f>AND('UP133'!AG2,"AAAAAG+/vTs=")</f>
        <v>#VALUE!</v>
      </c>
      <c r="BI41" t="e">
        <f>AND('UP133'!AH2,"AAAAAG+/vTw=")</f>
        <v>#VALUE!</v>
      </c>
      <c r="BJ41" t="e">
        <f>AND('UP133'!AI2,"AAAAAG+/vT0=")</f>
        <v>#VALUE!</v>
      </c>
      <c r="BK41" t="e">
        <f>AND('UP133'!AJ2,"AAAAAG+/vT4=")</f>
        <v>#VALUE!</v>
      </c>
      <c r="BL41" t="e">
        <f>AND('UP133'!AK2,"AAAAAG+/vT8=")</f>
        <v>#VALUE!</v>
      </c>
      <c r="BM41" t="e">
        <f>AND('UP133'!AL2,"AAAAAG+/vUA=")</f>
        <v>#VALUE!</v>
      </c>
      <c r="BN41" t="e">
        <f>AND('UP133'!AM2,"AAAAAG+/vUE=")</f>
        <v>#VALUE!</v>
      </c>
      <c r="BO41" t="e">
        <f>AND('UP133'!AN2,"AAAAAG+/vUI=")</f>
        <v>#VALUE!</v>
      </c>
      <c r="BP41" t="e">
        <f>AND('UP133'!AO2,"AAAAAG+/vUM=")</f>
        <v>#VALUE!</v>
      </c>
      <c r="BQ41" t="e">
        <f>AND('UP133'!AP2,"AAAAAG+/vUQ=")</f>
        <v>#VALUE!</v>
      </c>
      <c r="BR41" t="e">
        <f>AND('UP133'!AQ2,"AAAAAG+/vUU=")</f>
        <v>#VALUE!</v>
      </c>
      <c r="BS41" t="e">
        <f>AND('UP133'!AR2,"AAAAAG+/vUY=")</f>
        <v>#VALUE!</v>
      </c>
      <c r="BT41" t="e">
        <f>AND('UP133'!AS2,"AAAAAG+/vUc=")</f>
        <v>#VALUE!</v>
      </c>
      <c r="BU41" t="e">
        <f>AND('UP133'!AT2,"AAAAAG+/vUg=")</f>
        <v>#VALUE!</v>
      </c>
      <c r="BV41" t="e">
        <f>AND('UP133'!AU2,"AAAAAG+/vUk=")</f>
        <v>#VALUE!</v>
      </c>
      <c r="BW41" t="e">
        <f>AND('UP133'!AV2,"AAAAAG+/vUo=")</f>
        <v>#VALUE!</v>
      </c>
      <c r="BX41" t="e">
        <f>AND('UP133'!AW2,"AAAAAG+/vUs=")</f>
        <v>#VALUE!</v>
      </c>
      <c r="BY41" t="e">
        <f>AND('UP133'!AX2,"AAAAAG+/vUw=")</f>
        <v>#VALUE!</v>
      </c>
      <c r="BZ41" t="e">
        <f>AND('UP133'!AY2,"AAAAAG+/vU0=")</f>
        <v>#VALUE!</v>
      </c>
      <c r="CA41" t="e">
        <f>AND('UP133'!AZ2,"AAAAAG+/vU4=")</f>
        <v>#VALUE!</v>
      </c>
      <c r="CB41" t="e">
        <f>AND('UP133'!BA2,"AAAAAG+/vU8=")</f>
        <v>#VALUE!</v>
      </c>
      <c r="CC41" t="e">
        <f>AND('UP133'!BB2,"AAAAAG+/vVA=")</f>
        <v>#VALUE!</v>
      </c>
      <c r="CD41" t="e">
        <f>AND('UP133'!BC2,"AAAAAG+/vVE=")</f>
        <v>#VALUE!</v>
      </c>
      <c r="CE41" t="e">
        <f>AND('UP133'!BD2,"AAAAAG+/vVI=")</f>
        <v>#VALUE!</v>
      </c>
      <c r="CF41" t="e">
        <f>AND('UP133'!BE2,"AAAAAG+/vVM=")</f>
        <v>#VALUE!</v>
      </c>
      <c r="CG41" t="e">
        <f>AND('UP133'!BF2,"AAAAAG+/vVQ=")</f>
        <v>#VALUE!</v>
      </c>
      <c r="CH41" t="e">
        <f>AND('UP133'!BG2,"AAAAAG+/vVU=")</f>
        <v>#VALUE!</v>
      </c>
      <c r="CI41" t="e">
        <f>AND('UP133'!BH2,"AAAAAG+/vVY=")</f>
        <v>#VALUE!</v>
      </c>
      <c r="CJ41" t="e">
        <f>AND('UP133'!BI2,"AAAAAG+/vVc=")</f>
        <v>#VALUE!</v>
      </c>
      <c r="CK41" t="e">
        <f>AND('UP133'!BJ2,"AAAAAG+/vVg=")</f>
        <v>#VALUE!</v>
      </c>
      <c r="CL41" t="e">
        <f>AND('UP133'!BK2,"AAAAAG+/vVk=")</f>
        <v>#VALUE!</v>
      </c>
      <c r="CM41" t="e">
        <f>AND('UP133'!BL2,"AAAAAG+/vVo=")</f>
        <v>#VALUE!</v>
      </c>
      <c r="CN41" t="e">
        <f>AND('UP133'!BM2,"AAAAAG+/vVs=")</f>
        <v>#VALUE!</v>
      </c>
      <c r="CO41" t="e">
        <f>AND('UP133'!BN2,"AAAAAG+/vVw=")</f>
        <v>#VALUE!</v>
      </c>
      <c r="CP41" t="e">
        <f>AND('UP133'!BO2,"AAAAAG+/vV0=")</f>
        <v>#VALUE!</v>
      </c>
      <c r="CQ41" t="e">
        <f>AND('UP133'!BP2,"AAAAAG+/vV4=")</f>
        <v>#VALUE!</v>
      </c>
      <c r="CR41" t="e">
        <f>AND('UP133'!BQ2,"AAAAAG+/vV8=")</f>
        <v>#VALUE!</v>
      </c>
      <c r="CS41" t="e">
        <f>AND('UP133'!BR2,"AAAAAG+/vWA=")</f>
        <v>#VALUE!</v>
      </c>
      <c r="CT41" t="e">
        <f>AND('UP133'!BS2,"AAAAAG+/vWE=")</f>
        <v>#VALUE!</v>
      </c>
      <c r="CU41" t="e">
        <f>AND('UP133'!BT2,"AAAAAG+/vWI=")</f>
        <v>#VALUE!</v>
      </c>
      <c r="CV41" t="e">
        <f>AND('UP133'!BU2,"AAAAAG+/vWM=")</f>
        <v>#VALUE!</v>
      </c>
      <c r="CW41" t="e">
        <f>AND('UP133'!BV2,"AAAAAG+/vWQ=")</f>
        <v>#VALUE!</v>
      </c>
      <c r="CX41" t="e">
        <f>AND('UP133'!BW2,"AAAAAG+/vWU=")</f>
        <v>#VALUE!</v>
      </c>
      <c r="CY41" t="e">
        <f>AND('UP133'!BX2,"AAAAAG+/vWY=")</f>
        <v>#VALUE!</v>
      </c>
      <c r="CZ41" t="e">
        <f>AND('UP133'!BY2,"AAAAAG+/vWc=")</f>
        <v>#VALUE!</v>
      </c>
      <c r="DA41" t="e">
        <f>AND('UP133'!BZ2,"AAAAAG+/vWg=")</f>
        <v>#VALUE!</v>
      </c>
      <c r="DB41" t="e">
        <f>AND('UP133'!CA2,"AAAAAG+/vWk=")</f>
        <v>#VALUE!</v>
      </c>
      <c r="DC41" t="e">
        <f>AND('UP133'!CB2,"AAAAAG+/vWo=")</f>
        <v>#VALUE!</v>
      </c>
      <c r="DD41" t="e">
        <f>AND('UP133'!CC2,"AAAAAG+/vWs=")</f>
        <v>#VALUE!</v>
      </c>
      <c r="DE41" t="e">
        <f>AND('UP133'!CD2,"AAAAAG+/vWw=")</f>
        <v>#VALUE!</v>
      </c>
      <c r="DF41" t="e">
        <f>AND('UP133'!CE2,"AAAAAG+/vW0=")</f>
        <v>#VALUE!</v>
      </c>
      <c r="DG41" t="e">
        <f>AND('UP133'!CF2,"AAAAAG+/vW4=")</f>
        <v>#VALUE!</v>
      </c>
      <c r="DH41" t="e">
        <f>AND('UP133'!CG2,"AAAAAG+/vW8=")</f>
        <v>#VALUE!</v>
      </c>
      <c r="DI41" t="e">
        <f>AND('UP133'!CH2,"AAAAAG+/vXA=")</f>
        <v>#VALUE!</v>
      </c>
      <c r="DJ41" t="e">
        <f>AND('UP133'!CI2,"AAAAAG+/vXE=")</f>
        <v>#VALUE!</v>
      </c>
      <c r="DK41" t="e">
        <f>AND('UP133'!CJ2,"AAAAAG+/vXI=")</f>
        <v>#VALUE!</v>
      </c>
      <c r="DL41" t="e">
        <f>AND('UP133'!CK2,"AAAAAG+/vXM=")</f>
        <v>#VALUE!</v>
      </c>
      <c r="DM41" t="e">
        <f>AND('UP133'!CL2,"AAAAAG+/vXQ=")</f>
        <v>#VALUE!</v>
      </c>
      <c r="DN41" t="e">
        <f>AND('UP133'!CM2,"AAAAAG+/vXU=")</f>
        <v>#VALUE!</v>
      </c>
      <c r="DO41" t="e">
        <f>AND('UP133'!CN2,"AAAAAG+/vXY=")</f>
        <v>#VALUE!</v>
      </c>
      <c r="DP41" t="e">
        <f>AND('UP133'!CO2,"AAAAAG+/vXc=")</f>
        <v>#VALUE!</v>
      </c>
      <c r="DQ41" t="e">
        <f>AND('UP133'!CP2,"AAAAAG+/vXg=")</f>
        <v>#VALUE!</v>
      </c>
      <c r="DR41" t="e">
        <f>AND('UP133'!CQ2,"AAAAAG+/vXk=")</f>
        <v>#VALUE!</v>
      </c>
      <c r="DS41" t="e">
        <f>AND('UP133'!CR2,"AAAAAG+/vXo=")</f>
        <v>#VALUE!</v>
      </c>
      <c r="DT41" t="e">
        <f>AND('UP133'!CS2,"AAAAAG+/vXs=")</f>
        <v>#VALUE!</v>
      </c>
      <c r="DU41" t="e">
        <f>AND('UP133'!CT2,"AAAAAG+/vXw=")</f>
        <v>#VALUE!</v>
      </c>
      <c r="DV41" t="e">
        <f>AND('UP133'!CU2,"AAAAAG+/vX0=")</f>
        <v>#VALUE!</v>
      </c>
      <c r="DW41" t="e">
        <f>AND('UP133'!CV2,"AAAAAG+/vX4=")</f>
        <v>#VALUE!</v>
      </c>
      <c r="DX41" t="e">
        <f>AND('UP133'!CW2,"AAAAAG+/vX8=")</f>
        <v>#VALUE!</v>
      </c>
      <c r="DY41" t="e">
        <f>AND('UP133'!CX2,"AAAAAG+/vYA=")</f>
        <v>#VALUE!</v>
      </c>
      <c r="DZ41" t="e">
        <f>AND('UP133'!CY2,"AAAAAG+/vYE=")</f>
        <v>#VALUE!</v>
      </c>
      <c r="EA41" t="e">
        <f>AND('UP133'!CZ2,"AAAAAG+/vYI=")</f>
        <v>#VALUE!</v>
      </c>
      <c r="EB41" t="e">
        <f>AND('UP133'!DA2,"AAAAAG+/vYM=")</f>
        <v>#VALUE!</v>
      </c>
      <c r="EC41" t="e">
        <f>AND('UP133'!DB2,"AAAAAG+/vYQ=")</f>
        <v>#VALUE!</v>
      </c>
      <c r="ED41" t="e">
        <f>AND('UP133'!DC2,"AAAAAG+/vYU=")</f>
        <v>#VALUE!</v>
      </c>
      <c r="EE41" t="e">
        <f>AND('UP133'!DD2,"AAAAAG+/vYY=")</f>
        <v>#VALUE!</v>
      </c>
      <c r="EF41" t="e">
        <f>AND('UP133'!DE2,"AAAAAG+/vYc=")</f>
        <v>#VALUE!</v>
      </c>
      <c r="EG41" t="e">
        <f>AND('UP133'!DF2,"AAAAAG+/vYg=")</f>
        <v>#VALUE!</v>
      </c>
      <c r="EH41" t="e">
        <f>AND('UP133'!DG2,"AAAAAG+/vYk=")</f>
        <v>#VALUE!</v>
      </c>
      <c r="EI41" t="e">
        <f>AND('UP133'!DH2,"AAAAAG+/vYo=")</f>
        <v>#VALUE!</v>
      </c>
      <c r="EJ41" t="e">
        <f>AND('UP133'!DI2,"AAAAAG+/vYs=")</f>
        <v>#VALUE!</v>
      </c>
      <c r="EK41" t="e">
        <f>AND('UP133'!DJ2,"AAAAAG+/vYw=")</f>
        <v>#VALUE!</v>
      </c>
      <c r="EL41" t="e">
        <f>AND('UP133'!DK2,"AAAAAG+/vY0=")</f>
        <v>#VALUE!</v>
      </c>
      <c r="EM41" t="e">
        <f>AND('UP133'!DL2,"AAAAAG+/vY4=")</f>
        <v>#VALUE!</v>
      </c>
      <c r="EN41" t="e">
        <f>AND('UP133'!DM2,"AAAAAG+/vY8=")</f>
        <v>#VALUE!</v>
      </c>
      <c r="EO41" t="e">
        <f>AND('UP133'!DN2,"AAAAAG+/vZA=")</f>
        <v>#VALUE!</v>
      </c>
      <c r="EP41" t="e">
        <f>AND('UP133'!DO2,"AAAAAG+/vZE=")</f>
        <v>#VALUE!</v>
      </c>
      <c r="EQ41" t="e">
        <f>AND('UP133'!DP2,"AAAAAG+/vZI=")</f>
        <v>#VALUE!</v>
      </c>
      <c r="ER41" t="e">
        <f>AND('UP133'!DQ2,"AAAAAG+/vZM=")</f>
        <v>#VALUE!</v>
      </c>
      <c r="ES41" t="e">
        <f>AND('UP133'!DR2,"AAAAAG+/vZQ=")</f>
        <v>#VALUE!</v>
      </c>
      <c r="ET41" t="e">
        <f>AND('UP133'!DS2,"AAAAAG+/vZU=")</f>
        <v>#VALUE!</v>
      </c>
      <c r="EU41" t="e">
        <f>AND('UP133'!DT2,"AAAAAG+/vZY=")</f>
        <v>#VALUE!</v>
      </c>
      <c r="EV41" t="e">
        <f>AND('UP133'!DU2,"AAAAAG+/vZc=")</f>
        <v>#VALUE!</v>
      </c>
      <c r="EW41" t="e">
        <f>AND('UP133'!DV2,"AAAAAG+/vZg=")</f>
        <v>#VALUE!</v>
      </c>
      <c r="EX41" t="e">
        <f>AND('UP133'!DW2,"AAAAAG+/vZk=")</f>
        <v>#VALUE!</v>
      </c>
      <c r="EY41" t="e">
        <f>AND('UP133'!DX2,"AAAAAG+/vZo=")</f>
        <v>#VALUE!</v>
      </c>
      <c r="EZ41" t="e">
        <f>AND('UP133'!DY2,"AAAAAG+/vZs=")</f>
        <v>#VALUE!</v>
      </c>
      <c r="FA41" t="e">
        <f>AND('UP133'!DZ2,"AAAAAG+/vZw=")</f>
        <v>#VALUE!</v>
      </c>
      <c r="FB41" t="e">
        <f>AND('UP133'!EA2,"AAAAAG+/vZ0=")</f>
        <v>#VALUE!</v>
      </c>
      <c r="FC41" t="e">
        <f>AND('UP133'!EB2,"AAAAAG+/vZ4=")</f>
        <v>#VALUE!</v>
      </c>
      <c r="FD41" t="e">
        <f>AND('UP133'!EC2,"AAAAAG+/vZ8=")</f>
        <v>#VALUE!</v>
      </c>
      <c r="FE41" t="e">
        <f>AND('UP133'!ED2,"AAAAAG+/vaA=")</f>
        <v>#VALUE!</v>
      </c>
      <c r="FF41" t="e">
        <f>AND('UP133'!EE2,"AAAAAG+/vaE=")</f>
        <v>#VALUE!</v>
      </c>
      <c r="FG41" t="e">
        <f>AND('UP133'!EF2,"AAAAAG+/vaI=")</f>
        <v>#VALUE!</v>
      </c>
      <c r="FH41" t="e">
        <f>AND('UP133'!EG2,"AAAAAG+/vaM=")</f>
        <v>#VALUE!</v>
      </c>
      <c r="FI41" t="e">
        <f>AND('UP133'!EH2,"AAAAAG+/vaQ=")</f>
        <v>#VALUE!</v>
      </c>
      <c r="FJ41" t="e">
        <f>AND('UP133'!EI2,"AAAAAG+/vaU=")</f>
        <v>#VALUE!</v>
      </c>
      <c r="FK41" t="e">
        <f>AND('UP133'!EJ2,"AAAAAG+/vaY=")</f>
        <v>#VALUE!</v>
      </c>
      <c r="FL41" t="e">
        <f>AND('UP133'!EK2,"AAAAAG+/vac=")</f>
        <v>#VALUE!</v>
      </c>
      <c r="FM41" t="e">
        <f>AND('UP133'!EL2,"AAAAAG+/vag=")</f>
        <v>#VALUE!</v>
      </c>
      <c r="FN41" t="e">
        <f>AND('UP133'!EM2,"AAAAAG+/vak=")</f>
        <v>#VALUE!</v>
      </c>
      <c r="FO41" t="e">
        <f>AND('UP133'!EN2,"AAAAAG+/vao=")</f>
        <v>#VALUE!</v>
      </c>
      <c r="FP41" t="e">
        <f>AND('UP133'!EO2,"AAAAAG+/vas=")</f>
        <v>#VALUE!</v>
      </c>
      <c r="FQ41" t="e">
        <f>AND('UP133'!EP2,"AAAAAG+/vaw=")</f>
        <v>#VALUE!</v>
      </c>
      <c r="FR41" t="e">
        <f>AND('UP133'!EQ2,"AAAAAG+/va0=")</f>
        <v>#VALUE!</v>
      </c>
      <c r="FS41" t="e">
        <f>AND('UP133'!ER2,"AAAAAG+/va4=")</f>
        <v>#VALUE!</v>
      </c>
      <c r="FT41" t="e">
        <f>AND('UP133'!ES2,"AAAAAG+/va8=")</f>
        <v>#VALUE!</v>
      </c>
      <c r="FU41" t="e">
        <f>AND('UP133'!ET2,"AAAAAG+/vbA=")</f>
        <v>#VALUE!</v>
      </c>
      <c r="FV41" t="e">
        <f>AND('UP133'!EU2,"AAAAAG+/vbE=")</f>
        <v>#VALUE!</v>
      </c>
      <c r="FW41" t="e">
        <f>AND('UP133'!EV2,"AAAAAG+/vbI=")</f>
        <v>#VALUE!</v>
      </c>
      <c r="FX41" t="e">
        <f>AND('UP133'!EW2,"AAAAAG+/vbM=")</f>
        <v>#VALUE!</v>
      </c>
      <c r="FY41" t="e">
        <f>AND('UP133'!EX2,"AAAAAG+/vbQ=")</f>
        <v>#VALUE!</v>
      </c>
      <c r="FZ41" t="e">
        <f>AND('UP133'!EY2,"AAAAAG+/vbU=")</f>
        <v>#VALUE!</v>
      </c>
      <c r="GA41" t="e">
        <f>AND('UP133'!EZ2,"AAAAAG+/vbY=")</f>
        <v>#VALUE!</v>
      </c>
      <c r="GB41" t="e">
        <f>AND('UP133'!FA2,"AAAAAG+/vbc=")</f>
        <v>#VALUE!</v>
      </c>
      <c r="GC41" t="e">
        <f>AND('UP133'!FB2,"AAAAAG+/vbg=")</f>
        <v>#VALUE!</v>
      </c>
      <c r="GD41" t="e">
        <f>AND('UP133'!FC2,"AAAAAG+/vbk=")</f>
        <v>#VALUE!</v>
      </c>
      <c r="GE41" t="e">
        <f>AND('UP133'!FD2,"AAAAAG+/vbo=")</f>
        <v>#VALUE!</v>
      </c>
      <c r="GF41" t="e">
        <f>AND('UP133'!FE2,"AAAAAG+/vbs=")</f>
        <v>#VALUE!</v>
      </c>
      <c r="GG41" t="e">
        <f>AND('UP133'!FF2,"AAAAAG+/vbw=")</f>
        <v>#VALUE!</v>
      </c>
      <c r="GH41" t="e">
        <f>AND('UP133'!FG2,"AAAAAG+/vb0=")</f>
        <v>#VALUE!</v>
      </c>
      <c r="GI41" t="e">
        <f>AND('UP133'!FH2,"AAAAAG+/vb4=")</f>
        <v>#VALUE!</v>
      </c>
      <c r="GJ41" t="e">
        <f>AND('UP133'!FI2,"AAAAAG+/vb8=")</f>
        <v>#VALUE!</v>
      </c>
      <c r="GK41" t="e">
        <f>AND('UP133'!FJ2,"AAAAAG+/vcA=")</f>
        <v>#VALUE!</v>
      </c>
      <c r="GL41" t="e">
        <f>AND('UP133'!FK2,"AAAAAG+/vcE=")</f>
        <v>#VALUE!</v>
      </c>
      <c r="GM41" t="e">
        <f>AND('UP133'!FL2,"AAAAAG+/vcI=")</f>
        <v>#VALUE!</v>
      </c>
      <c r="GN41" t="e">
        <f>AND('UP133'!FM2,"AAAAAG+/vcM=")</f>
        <v>#VALUE!</v>
      </c>
      <c r="GO41" t="e">
        <f>AND('UP133'!FN2,"AAAAAG+/vcQ=")</f>
        <v>#VALUE!</v>
      </c>
      <c r="GP41" t="e">
        <f>AND('UP133'!FO2,"AAAAAG+/vcU=")</f>
        <v>#VALUE!</v>
      </c>
      <c r="GQ41" t="e">
        <f>AND('UP133'!FP2,"AAAAAG+/vcY=")</f>
        <v>#VALUE!</v>
      </c>
      <c r="GR41" t="e">
        <f>AND('UP133'!FQ2,"AAAAAG+/vcc=")</f>
        <v>#VALUE!</v>
      </c>
      <c r="GS41" t="e">
        <f>AND('UP133'!FR2,"AAAAAG+/vcg=")</f>
        <v>#VALUE!</v>
      </c>
      <c r="GT41" t="e">
        <f>AND('UP133'!FS2,"AAAAAG+/vck=")</f>
        <v>#VALUE!</v>
      </c>
      <c r="GU41" t="e">
        <f>AND('UP133'!FT2,"AAAAAG+/vco=")</f>
        <v>#VALUE!</v>
      </c>
      <c r="GV41" t="e">
        <f>AND('UP133'!FU2,"AAAAAG+/vcs=")</f>
        <v>#VALUE!</v>
      </c>
      <c r="GW41" t="e">
        <f>AND('UP133'!FV2,"AAAAAG+/vcw=")</f>
        <v>#VALUE!</v>
      </c>
      <c r="GX41" t="e">
        <f>AND('UP133'!FW2,"AAAAAG+/vc0=")</f>
        <v>#VALUE!</v>
      </c>
      <c r="GY41" t="e">
        <f>AND('UP133'!FX2,"AAAAAG+/vc4=")</f>
        <v>#VALUE!</v>
      </c>
      <c r="GZ41" t="e">
        <f>AND('UP133'!FY2,"AAAAAG+/vc8=")</f>
        <v>#VALUE!</v>
      </c>
      <c r="HA41" t="e">
        <f>AND('UP133'!FZ2,"AAAAAG+/vdA=")</f>
        <v>#VALUE!</v>
      </c>
      <c r="HB41" t="e">
        <f>AND('UP133'!GA2,"AAAAAG+/vdE=")</f>
        <v>#VALUE!</v>
      </c>
      <c r="HC41" t="e">
        <f>AND('UP133'!GB2,"AAAAAG+/vdI=")</f>
        <v>#VALUE!</v>
      </c>
      <c r="HD41" t="e">
        <f>AND('UP133'!GC2,"AAAAAG+/vdM=")</f>
        <v>#VALUE!</v>
      </c>
      <c r="HE41" t="e">
        <f>AND('UP133'!GD2,"AAAAAG+/vdQ=")</f>
        <v>#VALUE!</v>
      </c>
      <c r="HF41" t="e">
        <f>AND('UP133'!GE2,"AAAAAG+/vdU=")</f>
        <v>#VALUE!</v>
      </c>
      <c r="HG41" t="e">
        <f>AND('UP133'!GF2,"AAAAAG+/vdY=")</f>
        <v>#VALUE!</v>
      </c>
      <c r="HH41" t="e">
        <f>AND('UP133'!GG2,"AAAAAG+/vdc=")</f>
        <v>#VALUE!</v>
      </c>
      <c r="HI41" t="e">
        <f>AND('UP133'!GH2,"AAAAAG+/vdg=")</f>
        <v>#VALUE!</v>
      </c>
      <c r="HJ41" t="e">
        <f>AND('UP133'!GI2,"AAAAAG+/vdk=")</f>
        <v>#VALUE!</v>
      </c>
      <c r="HK41" t="e">
        <f>AND('UP133'!GJ2,"AAAAAG+/vdo=")</f>
        <v>#VALUE!</v>
      </c>
      <c r="HL41" t="e">
        <f>AND('UP133'!GK2,"AAAAAG+/vds=")</f>
        <v>#VALUE!</v>
      </c>
      <c r="HM41" t="e">
        <f>AND('UP133'!GL2,"AAAAAG+/vdw=")</f>
        <v>#VALUE!</v>
      </c>
      <c r="HN41" t="e">
        <f>AND('UP133'!GM2,"AAAAAG+/vd0=")</f>
        <v>#VALUE!</v>
      </c>
      <c r="HO41" t="e">
        <f>AND('UP133'!GN2,"AAAAAG+/vd4=")</f>
        <v>#VALUE!</v>
      </c>
      <c r="HP41" t="e">
        <f>AND('UP133'!GO2,"AAAAAG+/vd8=")</f>
        <v>#VALUE!</v>
      </c>
      <c r="HQ41" t="e">
        <f>AND('UP133'!GP2,"AAAAAG+/veA=")</f>
        <v>#VALUE!</v>
      </c>
      <c r="HR41" t="e">
        <f>AND('UP133'!GQ2,"AAAAAG+/veE=")</f>
        <v>#VALUE!</v>
      </c>
      <c r="HS41" t="e">
        <f>AND('UP133'!GR2,"AAAAAG+/veI=")</f>
        <v>#VALUE!</v>
      </c>
      <c r="HT41" t="e">
        <f>AND('UP133'!GS2,"AAAAAG+/veM=")</f>
        <v>#VALUE!</v>
      </c>
      <c r="HU41" t="e">
        <f>AND('UP133'!GT2,"AAAAAG+/veQ=")</f>
        <v>#VALUE!</v>
      </c>
      <c r="HV41" t="e">
        <f>AND('UP133'!GU2,"AAAAAG+/veU=")</f>
        <v>#VALUE!</v>
      </c>
      <c r="HW41" t="e">
        <f>AND('UP133'!GV2,"AAAAAG+/veY=")</f>
        <v>#VALUE!</v>
      </c>
      <c r="HX41" t="e">
        <f>AND('UP133'!GW2,"AAAAAG+/vec=")</f>
        <v>#VALUE!</v>
      </c>
      <c r="HY41" t="e">
        <f>AND('UP133'!GX2,"AAAAAG+/veg=")</f>
        <v>#VALUE!</v>
      </c>
      <c r="HZ41" t="e">
        <f>AND('UP133'!GY2,"AAAAAG+/vek=")</f>
        <v>#VALUE!</v>
      </c>
      <c r="IA41" t="e">
        <f>AND('UP133'!GZ2,"AAAAAG+/veo=")</f>
        <v>#VALUE!</v>
      </c>
      <c r="IB41" t="e">
        <f>AND('UP133'!HA2,"AAAAAG+/ves=")</f>
        <v>#VALUE!</v>
      </c>
      <c r="IC41" t="e">
        <f>AND('UP133'!HB2,"AAAAAG+/vew=")</f>
        <v>#VALUE!</v>
      </c>
      <c r="ID41" t="e">
        <f>AND('UP133'!HC2,"AAAAAG+/ve0=")</f>
        <v>#VALUE!</v>
      </c>
      <c r="IE41" t="e">
        <f>AND('UP133'!HD2,"AAAAAG+/ve4=")</f>
        <v>#VALUE!</v>
      </c>
      <c r="IF41" t="e">
        <f>AND('UP133'!HE2,"AAAAAG+/ve8=")</f>
        <v>#VALUE!</v>
      </c>
      <c r="IG41" t="e">
        <f>AND('UP133'!HF2,"AAAAAG+/vfA=")</f>
        <v>#VALUE!</v>
      </c>
      <c r="IH41" t="e">
        <f>AND('UP133'!HG2,"AAAAAG+/vfE=")</f>
        <v>#VALUE!</v>
      </c>
      <c r="II41" t="e">
        <f>AND('UP133'!HH2,"AAAAAG+/vfI=")</f>
        <v>#VALUE!</v>
      </c>
      <c r="IJ41" t="e">
        <f>AND('UP133'!HI2,"AAAAAG+/vfM=")</f>
        <v>#VALUE!</v>
      </c>
      <c r="IK41" t="e">
        <f>AND('UP133'!HJ2,"AAAAAG+/vfQ=")</f>
        <v>#VALUE!</v>
      </c>
      <c r="IL41" t="e">
        <f>AND('UP133'!HK2,"AAAAAG+/vfU=")</f>
        <v>#VALUE!</v>
      </c>
      <c r="IM41" t="e">
        <f>AND('UP133'!HL2,"AAAAAG+/vfY=")</f>
        <v>#VALUE!</v>
      </c>
      <c r="IN41" t="e">
        <f>AND('UP133'!HM2,"AAAAAG+/vfc=")</f>
        <v>#VALUE!</v>
      </c>
      <c r="IO41" t="e">
        <f>AND('UP133'!HN2,"AAAAAG+/vfg=")</f>
        <v>#VALUE!</v>
      </c>
      <c r="IP41" t="e">
        <f>AND('UP133'!HO2,"AAAAAG+/vfk=")</f>
        <v>#VALUE!</v>
      </c>
      <c r="IQ41" t="e">
        <f>AND('UP133'!HP2,"AAAAAG+/vfo=")</f>
        <v>#VALUE!</v>
      </c>
      <c r="IR41" t="e">
        <f>AND('UP133'!HQ2,"AAAAAG+/vfs=")</f>
        <v>#VALUE!</v>
      </c>
      <c r="IS41" t="e">
        <f>AND('UP133'!HR2,"AAAAAG+/vfw=")</f>
        <v>#VALUE!</v>
      </c>
      <c r="IT41" t="e">
        <f>AND('UP133'!HS2,"AAAAAG+/vf0=")</f>
        <v>#VALUE!</v>
      </c>
      <c r="IU41" t="e">
        <f>AND('UP133'!HT2,"AAAAAG+/vf4=")</f>
        <v>#VALUE!</v>
      </c>
      <c r="IV41" t="e">
        <f>AND('UP133'!HU2,"AAAAAG+/vf8=")</f>
        <v>#VALUE!</v>
      </c>
    </row>
    <row r="42" spans="1:256">
      <c r="A42" t="e">
        <f>AND('UP133'!HV2,"AAAAADq//wA=")</f>
        <v>#VALUE!</v>
      </c>
      <c r="B42" t="e">
        <f>AND('UP133'!HW2,"AAAAADq//wE=")</f>
        <v>#VALUE!</v>
      </c>
      <c r="C42" t="e">
        <f>AND('UP133'!HX2,"AAAAADq//wI=")</f>
        <v>#VALUE!</v>
      </c>
      <c r="D42" t="e">
        <f>AND('UP133'!HY2,"AAAAADq//wM=")</f>
        <v>#VALUE!</v>
      </c>
      <c r="E42" t="e">
        <f>AND('UP133'!HZ2,"AAAAADq//wQ=")</f>
        <v>#VALUE!</v>
      </c>
      <c r="F42" t="e">
        <f>AND('UP133'!IA2,"AAAAADq//wU=")</f>
        <v>#VALUE!</v>
      </c>
      <c r="G42" t="e">
        <f>AND('UP133'!IB2,"AAAAADq//wY=")</f>
        <v>#VALUE!</v>
      </c>
      <c r="H42" t="e">
        <f>AND('UP133'!IC2,"AAAAADq//wc=")</f>
        <v>#VALUE!</v>
      </c>
      <c r="I42" t="e">
        <f>AND('UP133'!ID2,"AAAAADq//wg=")</f>
        <v>#VALUE!</v>
      </c>
      <c r="J42" t="e">
        <f>AND('UP133'!IE2,"AAAAADq//wk=")</f>
        <v>#VALUE!</v>
      </c>
      <c r="K42" t="e">
        <f>AND('UP133'!IF2,"AAAAADq//wo=")</f>
        <v>#VALUE!</v>
      </c>
      <c r="L42" t="e">
        <f>AND('UP133'!IG2,"AAAAADq//ws=")</f>
        <v>#VALUE!</v>
      </c>
      <c r="M42" t="e">
        <f>AND('UP133'!IH2,"AAAAADq//ww=")</f>
        <v>#VALUE!</v>
      </c>
      <c r="N42" t="e">
        <f>AND('UP133'!II2,"AAAAADq//w0=")</f>
        <v>#VALUE!</v>
      </c>
      <c r="O42" t="e">
        <f>AND('UP133'!IJ2,"AAAAADq//w4=")</f>
        <v>#VALUE!</v>
      </c>
      <c r="P42" t="e">
        <f>AND('UP133'!IK2,"AAAAADq//w8=")</f>
        <v>#VALUE!</v>
      </c>
      <c r="Q42" t="e">
        <f>AND('UP133'!IL2,"AAAAADq//xA=")</f>
        <v>#VALUE!</v>
      </c>
      <c r="R42" t="e">
        <f>AND('UP133'!IM2,"AAAAADq//xE=")</f>
        <v>#VALUE!</v>
      </c>
      <c r="S42" t="e">
        <f>AND('UP133'!IN2,"AAAAADq//xI=")</f>
        <v>#VALUE!</v>
      </c>
      <c r="T42" t="e">
        <f>AND('UP133'!IO2,"AAAAADq//xM=")</f>
        <v>#VALUE!</v>
      </c>
      <c r="U42" t="e">
        <f>AND('UP133'!IP2,"AAAAADq//xQ=")</f>
        <v>#VALUE!</v>
      </c>
      <c r="V42" t="e">
        <f>AND('UP133'!IQ2,"AAAAADq//xU=")</f>
        <v>#VALUE!</v>
      </c>
      <c r="W42">
        <f>IF('UP133'!3:3,"AAAAADq//xY=",0)</f>
        <v>0</v>
      </c>
      <c r="X42" t="e">
        <f>AND('UP133'!A3,"AAAAADq//xc=")</f>
        <v>#VALUE!</v>
      </c>
      <c r="Y42" t="e">
        <f>AND('UP133'!B3,"AAAAADq//xg=")</f>
        <v>#VALUE!</v>
      </c>
      <c r="Z42" t="e">
        <f>AND('UP133'!C3,"AAAAADq//xk=")</f>
        <v>#VALUE!</v>
      </c>
      <c r="AA42" t="e">
        <f>AND('UP133'!D3,"AAAAADq//xo=")</f>
        <v>#VALUE!</v>
      </c>
      <c r="AB42" t="e">
        <f>AND('UP133'!E3,"AAAAADq//xs=")</f>
        <v>#VALUE!</v>
      </c>
      <c r="AC42" t="e">
        <f>AND('UP133'!F3,"AAAAADq//xw=")</f>
        <v>#VALUE!</v>
      </c>
      <c r="AD42" t="e">
        <f>AND('UP133'!G3,"AAAAADq//x0=")</f>
        <v>#VALUE!</v>
      </c>
      <c r="AE42" t="e">
        <f>AND('UP133'!H3,"AAAAADq//x4=")</f>
        <v>#VALUE!</v>
      </c>
      <c r="AF42" t="e">
        <f>AND('UP133'!I3,"AAAAADq//x8=")</f>
        <v>#VALUE!</v>
      </c>
      <c r="AG42" t="e">
        <f>AND('UP133'!J3,"AAAAADq//yA=")</f>
        <v>#VALUE!</v>
      </c>
      <c r="AH42" t="e">
        <f>AND('UP133'!K3,"AAAAADq//yE=")</f>
        <v>#VALUE!</v>
      </c>
      <c r="AI42" t="e">
        <f>AND('UP133'!L3,"AAAAADq//yI=")</f>
        <v>#VALUE!</v>
      </c>
      <c r="AJ42" t="e">
        <f>AND('UP133'!M3,"AAAAADq//yM=")</f>
        <v>#VALUE!</v>
      </c>
      <c r="AK42" t="e">
        <f>AND('UP133'!N3,"AAAAADq//yQ=")</f>
        <v>#VALUE!</v>
      </c>
      <c r="AL42" t="e">
        <f>AND('UP133'!O3,"AAAAADq//yU=")</f>
        <v>#VALUE!</v>
      </c>
      <c r="AM42" t="e">
        <f>AND('UP133'!P3,"AAAAADq//yY=")</f>
        <v>#VALUE!</v>
      </c>
      <c r="AN42" t="e">
        <f>AND('UP133'!Q3,"AAAAADq//yc=")</f>
        <v>#VALUE!</v>
      </c>
      <c r="AO42" t="e">
        <f>AND('UP133'!R3,"AAAAADq//yg=")</f>
        <v>#VALUE!</v>
      </c>
      <c r="AP42" t="e">
        <f>AND('UP133'!S3,"AAAAADq//yk=")</f>
        <v>#VALUE!</v>
      </c>
      <c r="AQ42" t="e">
        <f>AND('UP133'!T3,"AAAAADq//yo=")</f>
        <v>#VALUE!</v>
      </c>
      <c r="AR42" t="e">
        <f>AND('UP133'!U3,"AAAAADq//ys=")</f>
        <v>#VALUE!</v>
      </c>
      <c r="AS42" t="e">
        <f>AND('UP133'!V3,"AAAAADq//yw=")</f>
        <v>#VALUE!</v>
      </c>
      <c r="AT42" t="e">
        <f>AND('UP133'!W3,"AAAAADq//y0=")</f>
        <v>#VALUE!</v>
      </c>
      <c r="AU42" t="e">
        <f>AND('UP133'!X3,"AAAAADq//y4=")</f>
        <v>#VALUE!</v>
      </c>
      <c r="AV42" t="e">
        <f>AND('UP133'!Y3,"AAAAADq//y8=")</f>
        <v>#VALUE!</v>
      </c>
      <c r="AW42" t="e">
        <f>AND('UP133'!Z3,"AAAAADq//zA=")</f>
        <v>#VALUE!</v>
      </c>
      <c r="AX42" t="e">
        <f>AND('UP133'!AA3,"AAAAADq//zE=")</f>
        <v>#VALUE!</v>
      </c>
      <c r="AY42" t="e">
        <f>AND('UP133'!AB3,"AAAAADq//zI=")</f>
        <v>#VALUE!</v>
      </c>
      <c r="AZ42" t="e">
        <f>AND('UP133'!AC3,"AAAAADq//zM=")</f>
        <v>#VALUE!</v>
      </c>
      <c r="BA42" t="e">
        <f>AND('UP133'!AD3,"AAAAADq//zQ=")</f>
        <v>#VALUE!</v>
      </c>
      <c r="BB42" t="e">
        <f>AND('UP133'!AE3,"AAAAADq//zU=")</f>
        <v>#VALUE!</v>
      </c>
      <c r="BC42" t="e">
        <f>AND('UP133'!AF3,"AAAAADq//zY=")</f>
        <v>#VALUE!</v>
      </c>
      <c r="BD42" t="e">
        <f>AND('UP133'!AG3,"AAAAADq//zc=")</f>
        <v>#VALUE!</v>
      </c>
      <c r="BE42" t="e">
        <f>AND('UP133'!AH3,"AAAAADq//zg=")</f>
        <v>#VALUE!</v>
      </c>
      <c r="BF42" t="e">
        <f>AND('UP133'!AI3,"AAAAADq//zk=")</f>
        <v>#VALUE!</v>
      </c>
      <c r="BG42" t="e">
        <f>AND('UP133'!AJ3,"AAAAADq//zo=")</f>
        <v>#VALUE!</v>
      </c>
      <c r="BH42" t="e">
        <f>AND('UP133'!AK3,"AAAAADq//zs=")</f>
        <v>#VALUE!</v>
      </c>
      <c r="BI42" t="e">
        <f>AND('UP133'!AL3,"AAAAADq//zw=")</f>
        <v>#VALUE!</v>
      </c>
      <c r="BJ42" t="e">
        <f>AND('UP133'!AM3,"AAAAADq//z0=")</f>
        <v>#VALUE!</v>
      </c>
      <c r="BK42" t="e">
        <f>AND('UP133'!AN3,"AAAAADq//z4=")</f>
        <v>#VALUE!</v>
      </c>
      <c r="BL42" t="e">
        <f>AND('UP133'!AO3,"AAAAADq//z8=")</f>
        <v>#VALUE!</v>
      </c>
      <c r="BM42" t="e">
        <f>AND('UP133'!AP3,"AAAAADq//0A=")</f>
        <v>#VALUE!</v>
      </c>
      <c r="BN42" t="e">
        <f>AND('UP133'!AQ3,"AAAAADq//0E=")</f>
        <v>#VALUE!</v>
      </c>
      <c r="BO42" t="e">
        <f>AND('UP133'!AR3,"AAAAADq//0I=")</f>
        <v>#VALUE!</v>
      </c>
      <c r="BP42" t="e">
        <f>AND('UP133'!AS3,"AAAAADq//0M=")</f>
        <v>#VALUE!</v>
      </c>
      <c r="BQ42" t="e">
        <f>AND('UP133'!AT3,"AAAAADq//0Q=")</f>
        <v>#VALUE!</v>
      </c>
      <c r="BR42" t="e">
        <f>AND('UP133'!AU3,"AAAAADq//0U=")</f>
        <v>#VALUE!</v>
      </c>
      <c r="BS42" t="e">
        <f>AND('UP133'!AV3,"AAAAADq//0Y=")</f>
        <v>#VALUE!</v>
      </c>
      <c r="BT42" t="e">
        <f>AND('UP133'!AW3,"AAAAADq//0c=")</f>
        <v>#VALUE!</v>
      </c>
      <c r="BU42" t="e">
        <f>AND('UP133'!AX3,"AAAAADq//0g=")</f>
        <v>#VALUE!</v>
      </c>
      <c r="BV42" t="e">
        <f>AND('UP133'!AY3,"AAAAADq//0k=")</f>
        <v>#VALUE!</v>
      </c>
      <c r="BW42" t="e">
        <f>AND('UP133'!AZ3,"AAAAADq//0o=")</f>
        <v>#VALUE!</v>
      </c>
      <c r="BX42" t="e">
        <f>AND('UP133'!BA3,"AAAAADq//0s=")</f>
        <v>#VALUE!</v>
      </c>
      <c r="BY42" t="e">
        <f>AND('UP133'!BB3,"AAAAADq//0w=")</f>
        <v>#VALUE!</v>
      </c>
      <c r="BZ42" t="e">
        <f>AND('UP133'!BC3,"AAAAADq//00=")</f>
        <v>#VALUE!</v>
      </c>
      <c r="CA42" t="e">
        <f>AND('UP133'!BD3,"AAAAADq//04=")</f>
        <v>#VALUE!</v>
      </c>
      <c r="CB42" t="e">
        <f>AND('UP133'!BE3,"AAAAADq//08=")</f>
        <v>#VALUE!</v>
      </c>
      <c r="CC42" t="e">
        <f>AND('UP133'!BF3,"AAAAADq//1A=")</f>
        <v>#VALUE!</v>
      </c>
      <c r="CD42" t="e">
        <f>AND('UP133'!BG3,"AAAAADq//1E=")</f>
        <v>#VALUE!</v>
      </c>
      <c r="CE42" t="e">
        <f>AND('UP133'!BH3,"AAAAADq//1I=")</f>
        <v>#VALUE!</v>
      </c>
      <c r="CF42" t="e">
        <f>AND('UP133'!BI3,"AAAAADq//1M=")</f>
        <v>#VALUE!</v>
      </c>
      <c r="CG42" t="e">
        <f>AND('UP133'!BJ3,"AAAAADq//1Q=")</f>
        <v>#VALUE!</v>
      </c>
      <c r="CH42" t="e">
        <f>AND('UP133'!BK3,"AAAAADq//1U=")</f>
        <v>#VALUE!</v>
      </c>
      <c r="CI42" t="e">
        <f>AND('UP133'!BL3,"AAAAADq//1Y=")</f>
        <v>#VALUE!</v>
      </c>
      <c r="CJ42" t="e">
        <f>AND('UP133'!BM3,"AAAAADq//1c=")</f>
        <v>#VALUE!</v>
      </c>
      <c r="CK42" t="e">
        <f>AND('UP133'!BN3,"AAAAADq//1g=")</f>
        <v>#VALUE!</v>
      </c>
      <c r="CL42" t="e">
        <f>AND('UP133'!BO3,"AAAAADq//1k=")</f>
        <v>#VALUE!</v>
      </c>
      <c r="CM42" t="e">
        <f>AND('UP133'!BP3,"AAAAADq//1o=")</f>
        <v>#VALUE!</v>
      </c>
      <c r="CN42" t="e">
        <f>AND('UP133'!BQ3,"AAAAADq//1s=")</f>
        <v>#VALUE!</v>
      </c>
      <c r="CO42" t="e">
        <f>AND('UP133'!BR3,"AAAAADq//1w=")</f>
        <v>#VALUE!</v>
      </c>
      <c r="CP42" t="e">
        <f>AND('UP133'!BS3,"AAAAADq//10=")</f>
        <v>#VALUE!</v>
      </c>
      <c r="CQ42" t="e">
        <f>AND('UP133'!BT3,"AAAAADq//14=")</f>
        <v>#VALUE!</v>
      </c>
      <c r="CR42" t="e">
        <f>AND('UP133'!BU3,"AAAAADq//18=")</f>
        <v>#VALUE!</v>
      </c>
      <c r="CS42" t="e">
        <f>AND('UP133'!BV3,"AAAAADq//2A=")</f>
        <v>#VALUE!</v>
      </c>
      <c r="CT42" t="e">
        <f>AND('UP133'!BW3,"AAAAADq//2E=")</f>
        <v>#VALUE!</v>
      </c>
      <c r="CU42" t="e">
        <f>AND('UP133'!BX3,"AAAAADq//2I=")</f>
        <v>#VALUE!</v>
      </c>
      <c r="CV42" t="e">
        <f>AND('UP133'!BY3,"AAAAADq//2M=")</f>
        <v>#VALUE!</v>
      </c>
      <c r="CW42" t="e">
        <f>AND('UP133'!BZ3,"AAAAADq//2Q=")</f>
        <v>#VALUE!</v>
      </c>
      <c r="CX42" t="e">
        <f>AND('UP133'!CA3,"AAAAADq//2U=")</f>
        <v>#VALUE!</v>
      </c>
      <c r="CY42" t="e">
        <f>AND('UP133'!CB3,"AAAAADq//2Y=")</f>
        <v>#VALUE!</v>
      </c>
      <c r="CZ42" t="e">
        <f>AND('UP133'!CC3,"AAAAADq//2c=")</f>
        <v>#VALUE!</v>
      </c>
      <c r="DA42" t="e">
        <f>AND('UP133'!CD3,"AAAAADq//2g=")</f>
        <v>#VALUE!</v>
      </c>
      <c r="DB42" t="e">
        <f>AND('UP133'!CE3,"AAAAADq//2k=")</f>
        <v>#VALUE!</v>
      </c>
      <c r="DC42" t="e">
        <f>AND('UP133'!CF3,"AAAAADq//2o=")</f>
        <v>#VALUE!</v>
      </c>
      <c r="DD42" t="e">
        <f>AND('UP133'!CG3,"AAAAADq//2s=")</f>
        <v>#VALUE!</v>
      </c>
      <c r="DE42" t="e">
        <f>AND('UP133'!CH3,"AAAAADq//2w=")</f>
        <v>#VALUE!</v>
      </c>
      <c r="DF42" t="e">
        <f>AND('UP133'!CI3,"AAAAADq//20=")</f>
        <v>#VALUE!</v>
      </c>
      <c r="DG42" t="e">
        <f>AND('UP133'!CJ3,"AAAAADq//24=")</f>
        <v>#VALUE!</v>
      </c>
      <c r="DH42" t="e">
        <f>AND('UP133'!CK3,"AAAAADq//28=")</f>
        <v>#VALUE!</v>
      </c>
      <c r="DI42" t="e">
        <f>AND('UP133'!CL3,"AAAAADq//3A=")</f>
        <v>#VALUE!</v>
      </c>
      <c r="DJ42" t="e">
        <f>AND('UP133'!CM3,"AAAAADq//3E=")</f>
        <v>#VALUE!</v>
      </c>
      <c r="DK42" t="e">
        <f>AND('UP133'!CN3,"AAAAADq//3I=")</f>
        <v>#VALUE!</v>
      </c>
      <c r="DL42" t="e">
        <f>AND('UP133'!CO3,"AAAAADq//3M=")</f>
        <v>#VALUE!</v>
      </c>
      <c r="DM42" t="e">
        <f>AND('UP133'!CP3,"AAAAADq//3Q=")</f>
        <v>#VALUE!</v>
      </c>
      <c r="DN42" t="e">
        <f>AND('UP133'!CQ3,"AAAAADq//3U=")</f>
        <v>#VALUE!</v>
      </c>
      <c r="DO42" t="e">
        <f>AND('UP133'!CR3,"AAAAADq//3Y=")</f>
        <v>#VALUE!</v>
      </c>
      <c r="DP42" t="e">
        <f>AND('UP133'!CS3,"AAAAADq//3c=")</f>
        <v>#VALUE!</v>
      </c>
      <c r="DQ42" t="e">
        <f>AND('UP133'!CT3,"AAAAADq//3g=")</f>
        <v>#VALUE!</v>
      </c>
      <c r="DR42" t="e">
        <f>AND('UP133'!CU3,"AAAAADq//3k=")</f>
        <v>#VALUE!</v>
      </c>
      <c r="DS42" t="e">
        <f>AND('UP133'!CV3,"AAAAADq//3o=")</f>
        <v>#VALUE!</v>
      </c>
      <c r="DT42" t="e">
        <f>AND('UP133'!CW3,"AAAAADq//3s=")</f>
        <v>#VALUE!</v>
      </c>
      <c r="DU42" t="e">
        <f>AND('UP133'!CX3,"AAAAADq//3w=")</f>
        <v>#VALUE!</v>
      </c>
      <c r="DV42" t="e">
        <f>AND('UP133'!CY3,"AAAAADq//30=")</f>
        <v>#VALUE!</v>
      </c>
      <c r="DW42" t="e">
        <f>AND('UP133'!CZ3,"AAAAADq//34=")</f>
        <v>#VALUE!</v>
      </c>
      <c r="DX42" t="e">
        <f>AND('UP133'!DA3,"AAAAADq//38=")</f>
        <v>#VALUE!</v>
      </c>
      <c r="DY42" t="e">
        <f>AND('UP133'!DB3,"AAAAADq//4A=")</f>
        <v>#VALUE!</v>
      </c>
      <c r="DZ42" t="e">
        <f>AND('UP133'!DC3,"AAAAADq//4E=")</f>
        <v>#VALUE!</v>
      </c>
      <c r="EA42" t="e">
        <f>AND('UP133'!DD3,"AAAAADq//4I=")</f>
        <v>#VALUE!</v>
      </c>
      <c r="EB42" t="e">
        <f>AND('UP133'!DE3,"AAAAADq//4M=")</f>
        <v>#VALUE!</v>
      </c>
      <c r="EC42" t="e">
        <f>AND('UP133'!DF3,"AAAAADq//4Q=")</f>
        <v>#VALUE!</v>
      </c>
      <c r="ED42" t="e">
        <f>AND('UP133'!DG3,"AAAAADq//4U=")</f>
        <v>#VALUE!</v>
      </c>
      <c r="EE42" t="e">
        <f>AND('UP133'!DH3,"AAAAADq//4Y=")</f>
        <v>#VALUE!</v>
      </c>
      <c r="EF42" t="e">
        <f>AND('UP133'!DI3,"AAAAADq//4c=")</f>
        <v>#VALUE!</v>
      </c>
      <c r="EG42" t="e">
        <f>AND('UP133'!DJ3,"AAAAADq//4g=")</f>
        <v>#VALUE!</v>
      </c>
      <c r="EH42" t="e">
        <f>AND('UP133'!DK3,"AAAAADq//4k=")</f>
        <v>#VALUE!</v>
      </c>
      <c r="EI42" t="e">
        <f>AND('UP133'!DL3,"AAAAADq//4o=")</f>
        <v>#VALUE!</v>
      </c>
      <c r="EJ42" t="e">
        <f>AND('UP133'!DM3,"AAAAADq//4s=")</f>
        <v>#VALUE!</v>
      </c>
      <c r="EK42" t="e">
        <f>AND('UP133'!DN3,"AAAAADq//4w=")</f>
        <v>#VALUE!</v>
      </c>
      <c r="EL42" t="e">
        <f>AND('UP133'!DO3,"AAAAADq//40=")</f>
        <v>#VALUE!</v>
      </c>
      <c r="EM42" t="e">
        <f>AND('UP133'!DP3,"AAAAADq//44=")</f>
        <v>#VALUE!</v>
      </c>
      <c r="EN42" t="e">
        <f>AND('UP133'!DQ3,"AAAAADq//48=")</f>
        <v>#VALUE!</v>
      </c>
      <c r="EO42" t="e">
        <f>AND('UP133'!DR3,"AAAAADq//5A=")</f>
        <v>#VALUE!</v>
      </c>
      <c r="EP42" t="e">
        <f>AND('UP133'!DS3,"AAAAADq//5E=")</f>
        <v>#VALUE!</v>
      </c>
      <c r="EQ42" t="e">
        <f>AND('UP133'!DT3,"AAAAADq//5I=")</f>
        <v>#VALUE!</v>
      </c>
      <c r="ER42" t="e">
        <f>AND('UP133'!DU3,"AAAAADq//5M=")</f>
        <v>#VALUE!</v>
      </c>
      <c r="ES42" t="e">
        <f>AND('UP133'!DV3,"AAAAADq//5Q=")</f>
        <v>#VALUE!</v>
      </c>
      <c r="ET42" t="e">
        <f>AND('UP133'!DW3,"AAAAADq//5U=")</f>
        <v>#VALUE!</v>
      </c>
      <c r="EU42" t="e">
        <f>AND('UP133'!DX3,"AAAAADq//5Y=")</f>
        <v>#VALUE!</v>
      </c>
      <c r="EV42" t="e">
        <f>AND('UP133'!DY3,"AAAAADq//5c=")</f>
        <v>#VALUE!</v>
      </c>
      <c r="EW42" t="e">
        <f>AND('UP133'!DZ3,"AAAAADq//5g=")</f>
        <v>#VALUE!</v>
      </c>
      <c r="EX42" t="e">
        <f>AND('UP133'!EA3,"AAAAADq//5k=")</f>
        <v>#VALUE!</v>
      </c>
      <c r="EY42" t="e">
        <f>AND('UP133'!EB3,"AAAAADq//5o=")</f>
        <v>#VALUE!</v>
      </c>
      <c r="EZ42" t="e">
        <f>AND('UP133'!EC3,"AAAAADq//5s=")</f>
        <v>#VALUE!</v>
      </c>
      <c r="FA42" t="e">
        <f>AND('UP133'!ED3,"AAAAADq//5w=")</f>
        <v>#VALUE!</v>
      </c>
      <c r="FB42" t="e">
        <f>AND('UP133'!EE3,"AAAAADq//50=")</f>
        <v>#VALUE!</v>
      </c>
      <c r="FC42" t="e">
        <f>AND('UP133'!EF3,"AAAAADq//54=")</f>
        <v>#VALUE!</v>
      </c>
      <c r="FD42" t="e">
        <f>AND('UP133'!EG3,"AAAAADq//58=")</f>
        <v>#VALUE!</v>
      </c>
      <c r="FE42" t="e">
        <f>AND('UP133'!EH3,"AAAAADq//6A=")</f>
        <v>#VALUE!</v>
      </c>
      <c r="FF42" t="e">
        <f>AND('UP133'!EI3,"AAAAADq//6E=")</f>
        <v>#VALUE!</v>
      </c>
      <c r="FG42" t="e">
        <f>AND('UP133'!EJ3,"AAAAADq//6I=")</f>
        <v>#VALUE!</v>
      </c>
      <c r="FH42" t="e">
        <f>AND('UP133'!EK3,"AAAAADq//6M=")</f>
        <v>#VALUE!</v>
      </c>
      <c r="FI42" t="e">
        <f>AND('UP133'!EL3,"AAAAADq//6Q=")</f>
        <v>#VALUE!</v>
      </c>
      <c r="FJ42" t="e">
        <f>AND('UP133'!EM3,"AAAAADq//6U=")</f>
        <v>#VALUE!</v>
      </c>
      <c r="FK42" t="e">
        <f>AND('UP133'!EN3,"AAAAADq//6Y=")</f>
        <v>#VALUE!</v>
      </c>
      <c r="FL42" t="e">
        <f>AND('UP133'!EO3,"AAAAADq//6c=")</f>
        <v>#VALUE!</v>
      </c>
      <c r="FM42" t="e">
        <f>AND('UP133'!EP3,"AAAAADq//6g=")</f>
        <v>#VALUE!</v>
      </c>
      <c r="FN42" t="e">
        <f>AND('UP133'!EQ3,"AAAAADq//6k=")</f>
        <v>#VALUE!</v>
      </c>
      <c r="FO42" t="e">
        <f>AND('UP133'!ER3,"AAAAADq//6o=")</f>
        <v>#VALUE!</v>
      </c>
      <c r="FP42" t="e">
        <f>AND('UP133'!ES3,"AAAAADq//6s=")</f>
        <v>#VALUE!</v>
      </c>
      <c r="FQ42" t="e">
        <f>AND('UP133'!ET3,"AAAAADq//6w=")</f>
        <v>#VALUE!</v>
      </c>
      <c r="FR42" t="e">
        <f>AND('UP133'!EU3,"AAAAADq//60=")</f>
        <v>#VALUE!</v>
      </c>
      <c r="FS42" t="e">
        <f>AND('UP133'!EV3,"AAAAADq//64=")</f>
        <v>#VALUE!</v>
      </c>
      <c r="FT42" t="e">
        <f>AND('UP133'!EW3,"AAAAADq//68=")</f>
        <v>#VALUE!</v>
      </c>
      <c r="FU42" t="e">
        <f>AND('UP133'!EX3,"AAAAADq//7A=")</f>
        <v>#VALUE!</v>
      </c>
      <c r="FV42" t="e">
        <f>AND('UP133'!EY3,"AAAAADq//7E=")</f>
        <v>#VALUE!</v>
      </c>
      <c r="FW42" t="e">
        <f>AND('UP133'!EZ3,"AAAAADq//7I=")</f>
        <v>#VALUE!</v>
      </c>
      <c r="FX42" t="e">
        <f>AND('UP133'!FA3,"AAAAADq//7M=")</f>
        <v>#VALUE!</v>
      </c>
      <c r="FY42" t="e">
        <f>AND('UP133'!FB3,"AAAAADq//7Q=")</f>
        <v>#VALUE!</v>
      </c>
      <c r="FZ42" t="e">
        <f>AND('UP133'!FC3,"AAAAADq//7U=")</f>
        <v>#VALUE!</v>
      </c>
      <c r="GA42" t="e">
        <f>AND('UP133'!FD3,"AAAAADq//7Y=")</f>
        <v>#VALUE!</v>
      </c>
      <c r="GB42" t="e">
        <f>AND('UP133'!FE3,"AAAAADq//7c=")</f>
        <v>#VALUE!</v>
      </c>
      <c r="GC42" t="e">
        <f>AND('UP133'!FF3,"AAAAADq//7g=")</f>
        <v>#VALUE!</v>
      </c>
      <c r="GD42" t="e">
        <f>AND('UP133'!FG3,"AAAAADq//7k=")</f>
        <v>#VALUE!</v>
      </c>
      <c r="GE42" t="e">
        <f>AND('UP133'!FH3,"AAAAADq//7o=")</f>
        <v>#VALUE!</v>
      </c>
      <c r="GF42" t="e">
        <f>AND('UP133'!FI3,"AAAAADq//7s=")</f>
        <v>#VALUE!</v>
      </c>
      <c r="GG42" t="e">
        <f>AND('UP133'!FJ3,"AAAAADq//7w=")</f>
        <v>#VALUE!</v>
      </c>
      <c r="GH42" t="e">
        <f>AND('UP133'!FK3,"AAAAADq//70=")</f>
        <v>#VALUE!</v>
      </c>
      <c r="GI42" t="e">
        <f>AND('UP133'!FL3,"AAAAADq//74=")</f>
        <v>#VALUE!</v>
      </c>
      <c r="GJ42" t="e">
        <f>AND('UP133'!FM3,"AAAAADq//78=")</f>
        <v>#VALUE!</v>
      </c>
      <c r="GK42" t="e">
        <f>AND('UP133'!FN3,"AAAAADq//8A=")</f>
        <v>#VALUE!</v>
      </c>
      <c r="GL42" t="e">
        <f>AND('UP133'!FO3,"AAAAADq//8E=")</f>
        <v>#VALUE!</v>
      </c>
      <c r="GM42" t="e">
        <f>AND('UP133'!FP3,"AAAAADq//8I=")</f>
        <v>#VALUE!</v>
      </c>
      <c r="GN42" t="e">
        <f>AND('UP133'!FQ3,"AAAAADq//8M=")</f>
        <v>#VALUE!</v>
      </c>
      <c r="GO42" t="e">
        <f>AND('UP133'!FR3,"AAAAADq//8Q=")</f>
        <v>#VALUE!</v>
      </c>
      <c r="GP42" t="e">
        <f>AND('UP133'!FS3,"AAAAADq//8U=")</f>
        <v>#VALUE!</v>
      </c>
      <c r="GQ42" t="e">
        <f>AND('UP133'!FT3,"AAAAADq//8Y=")</f>
        <v>#VALUE!</v>
      </c>
      <c r="GR42" t="e">
        <f>AND('UP133'!FU3,"AAAAADq//8c=")</f>
        <v>#VALUE!</v>
      </c>
      <c r="GS42" t="e">
        <f>AND('UP133'!FV3,"AAAAADq//8g=")</f>
        <v>#VALUE!</v>
      </c>
      <c r="GT42" t="e">
        <f>AND('UP133'!FW3,"AAAAADq//8k=")</f>
        <v>#VALUE!</v>
      </c>
      <c r="GU42" t="e">
        <f>AND('UP133'!FX3,"AAAAADq//8o=")</f>
        <v>#VALUE!</v>
      </c>
      <c r="GV42" t="e">
        <f>AND('UP133'!FY3,"AAAAADq//8s=")</f>
        <v>#VALUE!</v>
      </c>
      <c r="GW42" t="e">
        <f>AND('UP133'!FZ3,"AAAAADq//8w=")</f>
        <v>#VALUE!</v>
      </c>
      <c r="GX42" t="e">
        <f>AND('UP133'!GA3,"AAAAADq//80=")</f>
        <v>#VALUE!</v>
      </c>
      <c r="GY42" t="e">
        <f>AND('UP133'!GB3,"AAAAADq//84=")</f>
        <v>#VALUE!</v>
      </c>
      <c r="GZ42" t="e">
        <f>AND('UP133'!GC3,"AAAAADq//88=")</f>
        <v>#VALUE!</v>
      </c>
      <c r="HA42" t="e">
        <f>AND('UP133'!GD3,"AAAAADq//9A=")</f>
        <v>#VALUE!</v>
      </c>
      <c r="HB42" t="e">
        <f>AND('UP133'!GE3,"AAAAADq//9E=")</f>
        <v>#VALUE!</v>
      </c>
      <c r="HC42" t="e">
        <f>AND('UP133'!GF3,"AAAAADq//9I=")</f>
        <v>#VALUE!</v>
      </c>
      <c r="HD42" t="e">
        <f>AND('UP133'!GG3,"AAAAADq//9M=")</f>
        <v>#VALUE!</v>
      </c>
      <c r="HE42" t="e">
        <f>AND('UP133'!GH3,"AAAAADq//9Q=")</f>
        <v>#VALUE!</v>
      </c>
      <c r="HF42" t="e">
        <f>AND('UP133'!GI3,"AAAAADq//9U=")</f>
        <v>#VALUE!</v>
      </c>
      <c r="HG42" t="e">
        <f>AND('UP133'!GJ3,"AAAAADq//9Y=")</f>
        <v>#VALUE!</v>
      </c>
      <c r="HH42" t="e">
        <f>AND('UP133'!GK3,"AAAAADq//9c=")</f>
        <v>#VALUE!</v>
      </c>
      <c r="HI42" t="e">
        <f>AND('UP133'!GL3,"AAAAADq//9g=")</f>
        <v>#VALUE!</v>
      </c>
      <c r="HJ42" t="e">
        <f>AND('UP133'!GM3,"AAAAADq//9k=")</f>
        <v>#VALUE!</v>
      </c>
      <c r="HK42" t="e">
        <f>AND('UP133'!GN3,"AAAAADq//9o=")</f>
        <v>#VALUE!</v>
      </c>
      <c r="HL42" t="e">
        <f>AND('UP133'!GO3,"AAAAADq//9s=")</f>
        <v>#VALUE!</v>
      </c>
      <c r="HM42" t="e">
        <f>AND('UP133'!GP3,"AAAAADq//9w=")</f>
        <v>#VALUE!</v>
      </c>
      <c r="HN42" t="e">
        <f>AND('UP133'!GQ3,"AAAAADq//90=")</f>
        <v>#VALUE!</v>
      </c>
      <c r="HO42" t="e">
        <f>AND('UP133'!GR3,"AAAAADq//94=")</f>
        <v>#VALUE!</v>
      </c>
      <c r="HP42" t="e">
        <f>AND('UP133'!GS3,"AAAAADq//98=")</f>
        <v>#VALUE!</v>
      </c>
      <c r="HQ42" t="e">
        <f>AND('UP133'!GT3,"AAAAADq//+A=")</f>
        <v>#VALUE!</v>
      </c>
      <c r="HR42" t="e">
        <f>AND('UP133'!GU3,"AAAAADq//+E=")</f>
        <v>#VALUE!</v>
      </c>
      <c r="HS42" t="e">
        <f>AND('UP133'!GV3,"AAAAADq//+I=")</f>
        <v>#VALUE!</v>
      </c>
      <c r="HT42" t="e">
        <f>AND('UP133'!GW3,"AAAAADq//+M=")</f>
        <v>#VALUE!</v>
      </c>
      <c r="HU42" t="e">
        <f>AND('UP133'!GX3,"AAAAADq//+Q=")</f>
        <v>#VALUE!</v>
      </c>
      <c r="HV42" t="e">
        <f>AND('UP133'!GY3,"AAAAADq//+U=")</f>
        <v>#VALUE!</v>
      </c>
      <c r="HW42" t="e">
        <f>AND('UP133'!GZ3,"AAAAADq//+Y=")</f>
        <v>#VALUE!</v>
      </c>
      <c r="HX42" t="e">
        <f>AND('UP133'!HA3,"AAAAADq//+c=")</f>
        <v>#VALUE!</v>
      </c>
      <c r="HY42" t="e">
        <f>AND('UP133'!HB3,"AAAAADq//+g=")</f>
        <v>#VALUE!</v>
      </c>
      <c r="HZ42" t="e">
        <f>AND('UP133'!HC3,"AAAAADq//+k=")</f>
        <v>#VALUE!</v>
      </c>
      <c r="IA42" t="e">
        <f>AND('UP133'!HD3,"AAAAADq//+o=")</f>
        <v>#VALUE!</v>
      </c>
      <c r="IB42" t="e">
        <f>AND('UP133'!HE3,"AAAAADq//+s=")</f>
        <v>#VALUE!</v>
      </c>
      <c r="IC42" t="e">
        <f>AND('UP133'!HF3,"AAAAADq//+w=")</f>
        <v>#VALUE!</v>
      </c>
      <c r="ID42" t="e">
        <f>AND('UP133'!HG3,"AAAAADq//+0=")</f>
        <v>#VALUE!</v>
      </c>
      <c r="IE42" t="e">
        <f>AND('UP133'!HH3,"AAAAADq//+4=")</f>
        <v>#VALUE!</v>
      </c>
      <c r="IF42" t="e">
        <f>AND('UP133'!HI3,"AAAAADq//+8=")</f>
        <v>#VALUE!</v>
      </c>
      <c r="IG42" t="e">
        <f>AND('UP133'!HJ3,"AAAAADq///A=")</f>
        <v>#VALUE!</v>
      </c>
      <c r="IH42" t="e">
        <f>AND('UP133'!HK3,"AAAAADq///E=")</f>
        <v>#VALUE!</v>
      </c>
      <c r="II42" t="e">
        <f>AND('UP133'!HL3,"AAAAADq///I=")</f>
        <v>#VALUE!</v>
      </c>
      <c r="IJ42" t="e">
        <f>AND('UP133'!HM3,"AAAAADq///M=")</f>
        <v>#VALUE!</v>
      </c>
      <c r="IK42" t="e">
        <f>AND('UP133'!HN3,"AAAAADq///Q=")</f>
        <v>#VALUE!</v>
      </c>
      <c r="IL42" t="e">
        <f>AND('UP133'!HO3,"AAAAADq///U=")</f>
        <v>#VALUE!</v>
      </c>
      <c r="IM42" t="e">
        <f>AND('UP133'!HP3,"AAAAADq///Y=")</f>
        <v>#VALUE!</v>
      </c>
      <c r="IN42" t="e">
        <f>AND('UP133'!HQ3,"AAAAADq///c=")</f>
        <v>#VALUE!</v>
      </c>
      <c r="IO42" t="e">
        <f>AND('UP133'!HR3,"AAAAADq///g=")</f>
        <v>#VALUE!</v>
      </c>
      <c r="IP42" t="e">
        <f>AND('UP133'!HS3,"AAAAADq///k=")</f>
        <v>#VALUE!</v>
      </c>
      <c r="IQ42" t="e">
        <f>AND('UP133'!HT3,"AAAAADq///o=")</f>
        <v>#VALUE!</v>
      </c>
      <c r="IR42" t="e">
        <f>AND('UP133'!HU3,"AAAAADq///s=")</f>
        <v>#VALUE!</v>
      </c>
      <c r="IS42" t="e">
        <f>AND('UP133'!HV3,"AAAAADq///w=")</f>
        <v>#VALUE!</v>
      </c>
      <c r="IT42" t="e">
        <f>AND('UP133'!HW3,"AAAAADq///0=")</f>
        <v>#VALUE!</v>
      </c>
      <c r="IU42" t="e">
        <f>AND('UP133'!HX3,"AAAAADq///4=")</f>
        <v>#VALUE!</v>
      </c>
      <c r="IV42" t="e">
        <f>AND('UP133'!HY3,"AAAAADq///8=")</f>
        <v>#VALUE!</v>
      </c>
    </row>
    <row r="43" spans="1:256">
      <c r="A43" t="e">
        <f>AND('UP133'!HZ3,"AAAAAH7/hQA=")</f>
        <v>#VALUE!</v>
      </c>
      <c r="B43" t="e">
        <f>AND('UP133'!IA3,"AAAAAH7/hQE=")</f>
        <v>#VALUE!</v>
      </c>
      <c r="C43" t="e">
        <f>AND('UP133'!IB3,"AAAAAH7/hQI=")</f>
        <v>#VALUE!</v>
      </c>
      <c r="D43" t="e">
        <f>AND('UP133'!IC3,"AAAAAH7/hQM=")</f>
        <v>#VALUE!</v>
      </c>
      <c r="E43" t="e">
        <f>AND('UP133'!ID3,"AAAAAH7/hQQ=")</f>
        <v>#VALUE!</v>
      </c>
      <c r="F43" t="e">
        <f>AND('UP133'!IE3,"AAAAAH7/hQU=")</f>
        <v>#VALUE!</v>
      </c>
      <c r="G43" t="e">
        <f>AND('UP133'!IF3,"AAAAAH7/hQY=")</f>
        <v>#VALUE!</v>
      </c>
      <c r="H43" t="e">
        <f>AND('UP133'!IG3,"AAAAAH7/hQc=")</f>
        <v>#VALUE!</v>
      </c>
      <c r="I43" t="e">
        <f>AND('UP133'!IH3,"AAAAAH7/hQg=")</f>
        <v>#VALUE!</v>
      </c>
      <c r="J43" t="e">
        <f>AND('UP133'!II3,"AAAAAH7/hQk=")</f>
        <v>#VALUE!</v>
      </c>
      <c r="K43" t="e">
        <f>AND('UP133'!IJ3,"AAAAAH7/hQo=")</f>
        <v>#VALUE!</v>
      </c>
      <c r="L43" t="e">
        <f>AND('UP133'!IK3,"AAAAAH7/hQs=")</f>
        <v>#VALUE!</v>
      </c>
      <c r="M43" t="e">
        <f>AND('UP133'!IL3,"AAAAAH7/hQw=")</f>
        <v>#VALUE!</v>
      </c>
      <c r="N43" t="e">
        <f>AND('UP133'!IM3,"AAAAAH7/hQ0=")</f>
        <v>#VALUE!</v>
      </c>
      <c r="O43" t="e">
        <f>AND('UP133'!IN3,"AAAAAH7/hQ4=")</f>
        <v>#VALUE!</v>
      </c>
      <c r="P43" t="e">
        <f>AND('UP133'!IO3,"AAAAAH7/hQ8=")</f>
        <v>#VALUE!</v>
      </c>
      <c r="Q43" t="e">
        <f>AND('UP133'!IP3,"AAAAAH7/hRA=")</f>
        <v>#VALUE!</v>
      </c>
      <c r="R43" t="e">
        <f>AND('UP133'!IQ3,"AAAAAH7/hRE=")</f>
        <v>#VALUE!</v>
      </c>
      <c r="S43">
        <f>IF('UP133'!4:4,"AAAAAH7/hRI=",0)</f>
        <v>0</v>
      </c>
      <c r="T43" t="e">
        <f>AND('UP133'!A4,"AAAAAH7/hRM=")</f>
        <v>#VALUE!</v>
      </c>
      <c r="U43" t="e">
        <f>AND('UP133'!B4,"AAAAAH7/hRQ=")</f>
        <v>#VALUE!</v>
      </c>
      <c r="V43" t="e">
        <f>AND('UP133'!C4,"AAAAAH7/hRU=")</f>
        <v>#VALUE!</v>
      </c>
      <c r="W43" t="e">
        <f>AND('UP133'!D4,"AAAAAH7/hRY=")</f>
        <v>#VALUE!</v>
      </c>
      <c r="X43" t="e">
        <f>AND('UP133'!E4,"AAAAAH7/hRc=")</f>
        <v>#VALUE!</v>
      </c>
      <c r="Y43" t="e">
        <f>AND('UP133'!F4,"AAAAAH7/hRg=")</f>
        <v>#VALUE!</v>
      </c>
      <c r="Z43" t="e">
        <f>AND('UP133'!G4,"AAAAAH7/hRk=")</f>
        <v>#VALUE!</v>
      </c>
      <c r="AA43" t="e">
        <f>AND('UP133'!H4,"AAAAAH7/hRo=")</f>
        <v>#VALUE!</v>
      </c>
      <c r="AB43" t="e">
        <f>AND('UP133'!I4,"AAAAAH7/hRs=")</f>
        <v>#VALUE!</v>
      </c>
      <c r="AC43" t="e">
        <f>AND('UP133'!J4,"AAAAAH7/hRw=")</f>
        <v>#VALUE!</v>
      </c>
      <c r="AD43" t="e">
        <f>AND('UP133'!K4,"AAAAAH7/hR0=")</f>
        <v>#VALUE!</v>
      </c>
      <c r="AE43" t="e">
        <f>AND('UP133'!L4,"AAAAAH7/hR4=")</f>
        <v>#VALUE!</v>
      </c>
      <c r="AF43" t="e">
        <f>AND('UP133'!M4,"AAAAAH7/hR8=")</f>
        <v>#VALUE!</v>
      </c>
      <c r="AG43" t="e">
        <f>AND('UP133'!N4,"AAAAAH7/hSA=")</f>
        <v>#VALUE!</v>
      </c>
      <c r="AH43" t="e">
        <f>AND('UP133'!O4,"AAAAAH7/hSE=")</f>
        <v>#VALUE!</v>
      </c>
      <c r="AI43" t="e">
        <f>AND('UP133'!P4,"AAAAAH7/hSI=")</f>
        <v>#VALUE!</v>
      </c>
      <c r="AJ43" t="e">
        <f>AND('UP133'!Q4,"AAAAAH7/hSM=")</f>
        <v>#VALUE!</v>
      </c>
      <c r="AK43" t="e">
        <f>AND('UP133'!R4,"AAAAAH7/hSQ=")</f>
        <v>#VALUE!</v>
      </c>
      <c r="AL43" t="e">
        <f>AND('UP133'!S4,"AAAAAH7/hSU=")</f>
        <v>#VALUE!</v>
      </c>
      <c r="AM43" t="e">
        <f>AND('UP133'!T4,"AAAAAH7/hSY=")</f>
        <v>#VALUE!</v>
      </c>
      <c r="AN43" t="e">
        <f>AND('UP133'!U4,"AAAAAH7/hSc=")</f>
        <v>#VALUE!</v>
      </c>
      <c r="AO43" t="e">
        <f>AND('UP133'!V4,"AAAAAH7/hSg=")</f>
        <v>#VALUE!</v>
      </c>
      <c r="AP43" t="e">
        <f>AND('UP133'!W4,"AAAAAH7/hSk=")</f>
        <v>#VALUE!</v>
      </c>
      <c r="AQ43" t="e">
        <f>AND('UP133'!X4,"AAAAAH7/hSo=")</f>
        <v>#VALUE!</v>
      </c>
      <c r="AR43" t="e">
        <f>AND('UP133'!Y4,"AAAAAH7/hSs=")</f>
        <v>#VALUE!</v>
      </c>
      <c r="AS43" t="e">
        <f>AND('UP133'!Z4,"AAAAAH7/hSw=")</f>
        <v>#VALUE!</v>
      </c>
      <c r="AT43" t="e">
        <f>AND('UP133'!AA4,"AAAAAH7/hS0=")</f>
        <v>#VALUE!</v>
      </c>
      <c r="AU43" t="e">
        <f>AND('UP133'!AB4,"AAAAAH7/hS4=")</f>
        <v>#VALUE!</v>
      </c>
      <c r="AV43" t="e">
        <f>AND('UP133'!AC4,"AAAAAH7/hS8=")</f>
        <v>#VALUE!</v>
      </c>
      <c r="AW43" t="e">
        <f>AND('UP133'!AD4,"AAAAAH7/hTA=")</f>
        <v>#VALUE!</v>
      </c>
      <c r="AX43" t="e">
        <f>AND('UP133'!AE4,"AAAAAH7/hTE=")</f>
        <v>#VALUE!</v>
      </c>
      <c r="AY43" t="e">
        <f>AND('UP133'!AF4,"AAAAAH7/hTI=")</f>
        <v>#VALUE!</v>
      </c>
      <c r="AZ43" t="e">
        <f>AND('UP133'!AG4,"AAAAAH7/hTM=")</f>
        <v>#VALUE!</v>
      </c>
      <c r="BA43" t="e">
        <f>AND('UP133'!AH4,"AAAAAH7/hTQ=")</f>
        <v>#VALUE!</v>
      </c>
      <c r="BB43" t="e">
        <f>AND('UP133'!AI4,"AAAAAH7/hTU=")</f>
        <v>#VALUE!</v>
      </c>
      <c r="BC43" t="e">
        <f>AND('UP133'!AJ4,"AAAAAH7/hTY=")</f>
        <v>#VALUE!</v>
      </c>
      <c r="BD43" t="e">
        <f>AND('UP133'!AK4,"AAAAAH7/hTc=")</f>
        <v>#VALUE!</v>
      </c>
      <c r="BE43" t="e">
        <f>AND('UP133'!AL4,"AAAAAH7/hTg=")</f>
        <v>#VALUE!</v>
      </c>
      <c r="BF43" t="e">
        <f>AND('UP133'!AM4,"AAAAAH7/hTk=")</f>
        <v>#VALUE!</v>
      </c>
      <c r="BG43" t="e">
        <f>AND('UP133'!AN4,"AAAAAH7/hTo=")</f>
        <v>#VALUE!</v>
      </c>
      <c r="BH43" t="e">
        <f>AND('UP133'!AO4,"AAAAAH7/hTs=")</f>
        <v>#VALUE!</v>
      </c>
      <c r="BI43" t="e">
        <f>AND('UP133'!AP4,"AAAAAH7/hTw=")</f>
        <v>#VALUE!</v>
      </c>
      <c r="BJ43" t="e">
        <f>AND('UP133'!AQ4,"AAAAAH7/hT0=")</f>
        <v>#VALUE!</v>
      </c>
      <c r="BK43" t="e">
        <f>AND('UP133'!AR4,"AAAAAH7/hT4=")</f>
        <v>#VALUE!</v>
      </c>
      <c r="BL43" t="e">
        <f>AND('UP133'!AS4,"AAAAAH7/hT8=")</f>
        <v>#VALUE!</v>
      </c>
      <c r="BM43" t="e">
        <f>AND('UP133'!AT4,"AAAAAH7/hUA=")</f>
        <v>#VALUE!</v>
      </c>
      <c r="BN43" t="e">
        <f>AND('UP133'!AU4,"AAAAAH7/hUE=")</f>
        <v>#VALUE!</v>
      </c>
      <c r="BO43" t="e">
        <f>AND('UP133'!AV4,"AAAAAH7/hUI=")</f>
        <v>#VALUE!</v>
      </c>
      <c r="BP43" t="e">
        <f>AND('UP133'!AW4,"AAAAAH7/hUM=")</f>
        <v>#VALUE!</v>
      </c>
      <c r="BQ43" t="e">
        <f>AND('UP133'!AX4,"AAAAAH7/hUQ=")</f>
        <v>#VALUE!</v>
      </c>
      <c r="BR43" t="e">
        <f>AND('UP133'!AY4,"AAAAAH7/hUU=")</f>
        <v>#VALUE!</v>
      </c>
      <c r="BS43" t="e">
        <f>AND('UP133'!AZ4,"AAAAAH7/hUY=")</f>
        <v>#VALUE!</v>
      </c>
      <c r="BT43" t="e">
        <f>AND('UP133'!BA4,"AAAAAH7/hUc=")</f>
        <v>#VALUE!</v>
      </c>
      <c r="BU43" t="e">
        <f>AND('UP133'!BB4,"AAAAAH7/hUg=")</f>
        <v>#VALUE!</v>
      </c>
      <c r="BV43" t="e">
        <f>AND('UP133'!BC4,"AAAAAH7/hUk=")</f>
        <v>#VALUE!</v>
      </c>
      <c r="BW43" t="e">
        <f>AND('UP133'!BD4,"AAAAAH7/hUo=")</f>
        <v>#VALUE!</v>
      </c>
      <c r="BX43" t="e">
        <f>AND('UP133'!BE4,"AAAAAH7/hUs=")</f>
        <v>#VALUE!</v>
      </c>
      <c r="BY43" t="e">
        <f>AND('UP133'!BF4,"AAAAAH7/hUw=")</f>
        <v>#VALUE!</v>
      </c>
      <c r="BZ43" t="e">
        <f>AND('UP133'!BG4,"AAAAAH7/hU0=")</f>
        <v>#VALUE!</v>
      </c>
      <c r="CA43" t="e">
        <f>AND('UP133'!BH4,"AAAAAH7/hU4=")</f>
        <v>#VALUE!</v>
      </c>
      <c r="CB43" t="e">
        <f>AND('UP133'!BI4,"AAAAAH7/hU8=")</f>
        <v>#VALUE!</v>
      </c>
      <c r="CC43" t="e">
        <f>AND('UP133'!BJ4,"AAAAAH7/hVA=")</f>
        <v>#VALUE!</v>
      </c>
      <c r="CD43" t="e">
        <f>AND('UP133'!BK4,"AAAAAH7/hVE=")</f>
        <v>#VALUE!</v>
      </c>
      <c r="CE43" t="e">
        <f>AND('UP133'!BL4,"AAAAAH7/hVI=")</f>
        <v>#VALUE!</v>
      </c>
      <c r="CF43" t="e">
        <f>AND('UP133'!BM4,"AAAAAH7/hVM=")</f>
        <v>#VALUE!</v>
      </c>
      <c r="CG43" t="e">
        <f>AND('UP133'!BN4,"AAAAAH7/hVQ=")</f>
        <v>#VALUE!</v>
      </c>
      <c r="CH43" t="e">
        <f>AND('UP133'!BO4,"AAAAAH7/hVU=")</f>
        <v>#VALUE!</v>
      </c>
      <c r="CI43" t="e">
        <f>AND('UP133'!BP4,"AAAAAH7/hVY=")</f>
        <v>#VALUE!</v>
      </c>
      <c r="CJ43" t="e">
        <f>AND('UP133'!BQ4,"AAAAAH7/hVc=")</f>
        <v>#VALUE!</v>
      </c>
      <c r="CK43" t="e">
        <f>AND('UP133'!BR4,"AAAAAH7/hVg=")</f>
        <v>#VALUE!</v>
      </c>
      <c r="CL43" t="e">
        <f>AND('UP133'!BS4,"AAAAAH7/hVk=")</f>
        <v>#VALUE!</v>
      </c>
      <c r="CM43" t="e">
        <f>AND('UP133'!BT4,"AAAAAH7/hVo=")</f>
        <v>#VALUE!</v>
      </c>
      <c r="CN43" t="e">
        <f>AND('UP133'!BU4,"AAAAAH7/hVs=")</f>
        <v>#VALUE!</v>
      </c>
      <c r="CO43" t="e">
        <f>AND('UP133'!BV4,"AAAAAH7/hVw=")</f>
        <v>#VALUE!</v>
      </c>
      <c r="CP43" t="e">
        <f>AND('UP133'!BW4,"AAAAAH7/hV0=")</f>
        <v>#VALUE!</v>
      </c>
      <c r="CQ43" t="e">
        <f>AND('UP133'!BX4,"AAAAAH7/hV4=")</f>
        <v>#VALUE!</v>
      </c>
      <c r="CR43" t="e">
        <f>AND('UP133'!BY4,"AAAAAH7/hV8=")</f>
        <v>#VALUE!</v>
      </c>
      <c r="CS43" t="e">
        <f>AND('UP133'!BZ4,"AAAAAH7/hWA=")</f>
        <v>#VALUE!</v>
      </c>
      <c r="CT43" t="e">
        <f>AND('UP133'!CA4,"AAAAAH7/hWE=")</f>
        <v>#VALUE!</v>
      </c>
      <c r="CU43" t="e">
        <f>AND('UP133'!CB4,"AAAAAH7/hWI=")</f>
        <v>#VALUE!</v>
      </c>
      <c r="CV43" t="e">
        <f>AND('UP133'!CC4,"AAAAAH7/hWM=")</f>
        <v>#VALUE!</v>
      </c>
      <c r="CW43" t="e">
        <f>AND('UP133'!CD4,"AAAAAH7/hWQ=")</f>
        <v>#VALUE!</v>
      </c>
      <c r="CX43" t="e">
        <f>AND('UP133'!CE4,"AAAAAH7/hWU=")</f>
        <v>#VALUE!</v>
      </c>
      <c r="CY43" t="e">
        <f>AND('UP133'!CF4,"AAAAAH7/hWY=")</f>
        <v>#VALUE!</v>
      </c>
      <c r="CZ43" t="e">
        <f>AND('UP133'!CG4,"AAAAAH7/hWc=")</f>
        <v>#VALUE!</v>
      </c>
      <c r="DA43" t="e">
        <f>AND('UP133'!CH4,"AAAAAH7/hWg=")</f>
        <v>#VALUE!</v>
      </c>
      <c r="DB43" t="e">
        <f>AND('UP133'!CI4,"AAAAAH7/hWk=")</f>
        <v>#VALUE!</v>
      </c>
      <c r="DC43" t="e">
        <f>AND('UP133'!CJ4,"AAAAAH7/hWo=")</f>
        <v>#VALUE!</v>
      </c>
      <c r="DD43" t="e">
        <f>AND('UP133'!CK4,"AAAAAH7/hWs=")</f>
        <v>#VALUE!</v>
      </c>
      <c r="DE43" t="e">
        <f>AND('UP133'!CL4,"AAAAAH7/hWw=")</f>
        <v>#VALUE!</v>
      </c>
      <c r="DF43" t="e">
        <f>AND('UP133'!CM4,"AAAAAH7/hW0=")</f>
        <v>#VALUE!</v>
      </c>
      <c r="DG43" t="e">
        <f>AND('UP133'!CN4,"AAAAAH7/hW4=")</f>
        <v>#VALUE!</v>
      </c>
      <c r="DH43" t="e">
        <f>AND('UP133'!CO4,"AAAAAH7/hW8=")</f>
        <v>#VALUE!</v>
      </c>
      <c r="DI43" t="e">
        <f>AND('UP133'!CP4,"AAAAAH7/hXA=")</f>
        <v>#VALUE!</v>
      </c>
      <c r="DJ43" t="e">
        <f>AND('UP133'!CQ4,"AAAAAH7/hXE=")</f>
        <v>#VALUE!</v>
      </c>
      <c r="DK43" t="e">
        <f>AND('UP133'!CR4,"AAAAAH7/hXI=")</f>
        <v>#VALUE!</v>
      </c>
      <c r="DL43" t="e">
        <f>AND('UP133'!CS4,"AAAAAH7/hXM=")</f>
        <v>#VALUE!</v>
      </c>
      <c r="DM43" t="e">
        <f>AND('UP133'!CT4,"AAAAAH7/hXQ=")</f>
        <v>#VALUE!</v>
      </c>
      <c r="DN43" t="e">
        <f>AND('UP133'!CU4,"AAAAAH7/hXU=")</f>
        <v>#VALUE!</v>
      </c>
      <c r="DO43" t="e">
        <f>AND('UP133'!CV4,"AAAAAH7/hXY=")</f>
        <v>#VALUE!</v>
      </c>
      <c r="DP43" t="e">
        <f>AND('UP133'!CW4,"AAAAAH7/hXc=")</f>
        <v>#VALUE!</v>
      </c>
      <c r="DQ43" t="e">
        <f>AND('UP133'!CX4,"AAAAAH7/hXg=")</f>
        <v>#VALUE!</v>
      </c>
      <c r="DR43" t="e">
        <f>AND('UP133'!CY4,"AAAAAH7/hXk=")</f>
        <v>#VALUE!</v>
      </c>
      <c r="DS43" t="e">
        <f>AND('UP133'!CZ4,"AAAAAH7/hXo=")</f>
        <v>#VALUE!</v>
      </c>
      <c r="DT43" t="e">
        <f>AND('UP133'!DA4,"AAAAAH7/hXs=")</f>
        <v>#VALUE!</v>
      </c>
      <c r="DU43" t="e">
        <f>AND('UP133'!DB4,"AAAAAH7/hXw=")</f>
        <v>#VALUE!</v>
      </c>
      <c r="DV43" t="e">
        <f>AND('UP133'!DC4,"AAAAAH7/hX0=")</f>
        <v>#VALUE!</v>
      </c>
      <c r="DW43" t="e">
        <f>AND('UP133'!DD4,"AAAAAH7/hX4=")</f>
        <v>#VALUE!</v>
      </c>
      <c r="DX43" t="e">
        <f>AND('UP133'!DE4,"AAAAAH7/hX8=")</f>
        <v>#VALUE!</v>
      </c>
      <c r="DY43" t="e">
        <f>AND('UP133'!DF4,"AAAAAH7/hYA=")</f>
        <v>#VALUE!</v>
      </c>
      <c r="DZ43" t="e">
        <f>AND('UP133'!DG4,"AAAAAH7/hYE=")</f>
        <v>#VALUE!</v>
      </c>
      <c r="EA43" t="e">
        <f>AND('UP133'!DH4,"AAAAAH7/hYI=")</f>
        <v>#VALUE!</v>
      </c>
      <c r="EB43" t="e">
        <f>AND('UP133'!DI4,"AAAAAH7/hYM=")</f>
        <v>#VALUE!</v>
      </c>
      <c r="EC43" t="e">
        <f>AND('UP133'!DJ4,"AAAAAH7/hYQ=")</f>
        <v>#VALUE!</v>
      </c>
      <c r="ED43" t="e">
        <f>AND('UP133'!DK4,"AAAAAH7/hYU=")</f>
        <v>#VALUE!</v>
      </c>
      <c r="EE43" t="e">
        <f>AND('UP133'!DL4,"AAAAAH7/hYY=")</f>
        <v>#VALUE!</v>
      </c>
      <c r="EF43" t="e">
        <f>AND('UP133'!DM4,"AAAAAH7/hYc=")</f>
        <v>#VALUE!</v>
      </c>
      <c r="EG43" t="e">
        <f>AND('UP133'!DN4,"AAAAAH7/hYg=")</f>
        <v>#VALUE!</v>
      </c>
      <c r="EH43" t="e">
        <f>AND('UP133'!DO4,"AAAAAH7/hYk=")</f>
        <v>#VALUE!</v>
      </c>
      <c r="EI43" t="e">
        <f>AND('UP133'!DP4,"AAAAAH7/hYo=")</f>
        <v>#VALUE!</v>
      </c>
      <c r="EJ43" t="e">
        <f>AND('UP133'!DQ4,"AAAAAH7/hYs=")</f>
        <v>#VALUE!</v>
      </c>
      <c r="EK43" t="e">
        <f>AND('UP133'!DR4,"AAAAAH7/hYw=")</f>
        <v>#VALUE!</v>
      </c>
      <c r="EL43" t="e">
        <f>AND('UP133'!DS4,"AAAAAH7/hY0=")</f>
        <v>#VALUE!</v>
      </c>
      <c r="EM43" t="e">
        <f>AND('UP133'!DT4,"AAAAAH7/hY4=")</f>
        <v>#VALUE!</v>
      </c>
      <c r="EN43" t="e">
        <f>AND('UP133'!DU4,"AAAAAH7/hY8=")</f>
        <v>#VALUE!</v>
      </c>
      <c r="EO43" t="e">
        <f>AND('UP133'!DV4,"AAAAAH7/hZA=")</f>
        <v>#VALUE!</v>
      </c>
      <c r="EP43" t="e">
        <f>AND('UP133'!DW4,"AAAAAH7/hZE=")</f>
        <v>#VALUE!</v>
      </c>
      <c r="EQ43" t="e">
        <f>AND('UP133'!DX4,"AAAAAH7/hZI=")</f>
        <v>#VALUE!</v>
      </c>
      <c r="ER43" t="e">
        <f>AND('UP133'!DY4,"AAAAAH7/hZM=")</f>
        <v>#VALUE!</v>
      </c>
      <c r="ES43" t="e">
        <f>AND('UP133'!DZ4,"AAAAAH7/hZQ=")</f>
        <v>#VALUE!</v>
      </c>
      <c r="ET43" t="e">
        <f>AND('UP133'!EA4,"AAAAAH7/hZU=")</f>
        <v>#VALUE!</v>
      </c>
      <c r="EU43" t="e">
        <f>AND('UP133'!EB4,"AAAAAH7/hZY=")</f>
        <v>#VALUE!</v>
      </c>
      <c r="EV43" t="e">
        <f>AND('UP133'!EC4,"AAAAAH7/hZc=")</f>
        <v>#VALUE!</v>
      </c>
      <c r="EW43" t="e">
        <f>AND('UP133'!ED4,"AAAAAH7/hZg=")</f>
        <v>#VALUE!</v>
      </c>
      <c r="EX43" t="e">
        <f>AND('UP133'!EE4,"AAAAAH7/hZk=")</f>
        <v>#VALUE!</v>
      </c>
      <c r="EY43" t="e">
        <f>AND('UP133'!EF4,"AAAAAH7/hZo=")</f>
        <v>#VALUE!</v>
      </c>
      <c r="EZ43" t="e">
        <f>AND('UP133'!EG4,"AAAAAH7/hZs=")</f>
        <v>#VALUE!</v>
      </c>
      <c r="FA43" t="e">
        <f>AND('UP133'!EH4,"AAAAAH7/hZw=")</f>
        <v>#VALUE!</v>
      </c>
      <c r="FB43" t="e">
        <f>AND('UP133'!EI4,"AAAAAH7/hZ0=")</f>
        <v>#VALUE!</v>
      </c>
      <c r="FC43" t="e">
        <f>AND('UP133'!EJ4,"AAAAAH7/hZ4=")</f>
        <v>#VALUE!</v>
      </c>
      <c r="FD43" t="e">
        <f>AND('UP133'!EK4,"AAAAAH7/hZ8=")</f>
        <v>#VALUE!</v>
      </c>
      <c r="FE43" t="e">
        <f>AND('UP133'!EL4,"AAAAAH7/haA=")</f>
        <v>#VALUE!</v>
      </c>
      <c r="FF43" t="e">
        <f>AND('UP133'!EM4,"AAAAAH7/haE=")</f>
        <v>#VALUE!</v>
      </c>
      <c r="FG43" t="e">
        <f>AND('UP133'!EN4,"AAAAAH7/haI=")</f>
        <v>#VALUE!</v>
      </c>
      <c r="FH43" t="e">
        <f>AND('UP133'!EO4,"AAAAAH7/haM=")</f>
        <v>#VALUE!</v>
      </c>
      <c r="FI43" t="e">
        <f>AND('UP133'!EP4,"AAAAAH7/haQ=")</f>
        <v>#VALUE!</v>
      </c>
      <c r="FJ43" t="e">
        <f>AND('UP133'!EQ4,"AAAAAH7/haU=")</f>
        <v>#VALUE!</v>
      </c>
      <c r="FK43" t="e">
        <f>AND('UP133'!ER4,"AAAAAH7/haY=")</f>
        <v>#VALUE!</v>
      </c>
      <c r="FL43" t="e">
        <f>AND('UP133'!ES4,"AAAAAH7/hac=")</f>
        <v>#VALUE!</v>
      </c>
      <c r="FM43" t="e">
        <f>AND('UP133'!ET4,"AAAAAH7/hag=")</f>
        <v>#VALUE!</v>
      </c>
      <c r="FN43" t="e">
        <f>AND('UP133'!EU4,"AAAAAH7/hak=")</f>
        <v>#VALUE!</v>
      </c>
      <c r="FO43" t="e">
        <f>AND('UP133'!EV4,"AAAAAH7/hao=")</f>
        <v>#VALUE!</v>
      </c>
      <c r="FP43" t="e">
        <f>AND('UP133'!EW4,"AAAAAH7/has=")</f>
        <v>#VALUE!</v>
      </c>
      <c r="FQ43" t="e">
        <f>AND('UP133'!EX4,"AAAAAH7/haw=")</f>
        <v>#VALUE!</v>
      </c>
      <c r="FR43" t="e">
        <f>AND('UP133'!EY4,"AAAAAH7/ha0=")</f>
        <v>#VALUE!</v>
      </c>
      <c r="FS43" t="e">
        <f>AND('UP133'!EZ4,"AAAAAH7/ha4=")</f>
        <v>#VALUE!</v>
      </c>
      <c r="FT43" t="e">
        <f>AND('UP133'!FA4,"AAAAAH7/ha8=")</f>
        <v>#VALUE!</v>
      </c>
      <c r="FU43" t="e">
        <f>AND('UP133'!FB4,"AAAAAH7/hbA=")</f>
        <v>#VALUE!</v>
      </c>
      <c r="FV43" t="e">
        <f>AND('UP133'!FC4,"AAAAAH7/hbE=")</f>
        <v>#VALUE!</v>
      </c>
      <c r="FW43" t="e">
        <f>AND('UP133'!FD4,"AAAAAH7/hbI=")</f>
        <v>#VALUE!</v>
      </c>
      <c r="FX43" t="e">
        <f>AND('UP133'!FE4,"AAAAAH7/hbM=")</f>
        <v>#VALUE!</v>
      </c>
      <c r="FY43" t="e">
        <f>AND('UP133'!FF4,"AAAAAH7/hbQ=")</f>
        <v>#VALUE!</v>
      </c>
      <c r="FZ43" t="e">
        <f>AND('UP133'!FG4,"AAAAAH7/hbU=")</f>
        <v>#VALUE!</v>
      </c>
      <c r="GA43" t="e">
        <f>AND('UP133'!FH4,"AAAAAH7/hbY=")</f>
        <v>#VALUE!</v>
      </c>
      <c r="GB43" t="e">
        <f>AND('UP133'!FI4,"AAAAAH7/hbc=")</f>
        <v>#VALUE!</v>
      </c>
      <c r="GC43" t="e">
        <f>AND('UP133'!FJ4,"AAAAAH7/hbg=")</f>
        <v>#VALUE!</v>
      </c>
      <c r="GD43" t="e">
        <f>AND('UP133'!FK4,"AAAAAH7/hbk=")</f>
        <v>#VALUE!</v>
      </c>
      <c r="GE43" t="e">
        <f>AND('UP133'!FL4,"AAAAAH7/hbo=")</f>
        <v>#VALUE!</v>
      </c>
      <c r="GF43" t="e">
        <f>AND('UP133'!FM4,"AAAAAH7/hbs=")</f>
        <v>#VALUE!</v>
      </c>
      <c r="GG43" t="e">
        <f>AND('UP133'!FN4,"AAAAAH7/hbw=")</f>
        <v>#VALUE!</v>
      </c>
      <c r="GH43" t="e">
        <f>AND('UP133'!FO4,"AAAAAH7/hb0=")</f>
        <v>#VALUE!</v>
      </c>
      <c r="GI43" t="e">
        <f>AND('UP133'!FP4,"AAAAAH7/hb4=")</f>
        <v>#VALUE!</v>
      </c>
      <c r="GJ43" t="e">
        <f>AND('UP133'!FQ4,"AAAAAH7/hb8=")</f>
        <v>#VALUE!</v>
      </c>
      <c r="GK43" t="e">
        <f>AND('UP133'!FR4,"AAAAAH7/hcA=")</f>
        <v>#VALUE!</v>
      </c>
      <c r="GL43" t="e">
        <f>AND('UP133'!FS4,"AAAAAH7/hcE=")</f>
        <v>#VALUE!</v>
      </c>
      <c r="GM43" t="e">
        <f>AND('UP133'!FT4,"AAAAAH7/hcI=")</f>
        <v>#VALUE!</v>
      </c>
      <c r="GN43" t="e">
        <f>AND('UP133'!FU4,"AAAAAH7/hcM=")</f>
        <v>#VALUE!</v>
      </c>
      <c r="GO43" t="e">
        <f>AND('UP133'!FV4,"AAAAAH7/hcQ=")</f>
        <v>#VALUE!</v>
      </c>
      <c r="GP43" t="e">
        <f>AND('UP133'!FW4,"AAAAAH7/hcU=")</f>
        <v>#VALUE!</v>
      </c>
      <c r="GQ43" t="e">
        <f>AND('UP133'!FX4,"AAAAAH7/hcY=")</f>
        <v>#VALUE!</v>
      </c>
      <c r="GR43" t="e">
        <f>AND('UP133'!FY4,"AAAAAH7/hcc=")</f>
        <v>#VALUE!</v>
      </c>
      <c r="GS43" t="e">
        <f>AND('UP133'!FZ4,"AAAAAH7/hcg=")</f>
        <v>#VALUE!</v>
      </c>
      <c r="GT43" t="e">
        <f>AND('UP133'!GA4,"AAAAAH7/hck=")</f>
        <v>#VALUE!</v>
      </c>
      <c r="GU43" t="e">
        <f>AND('UP133'!GB4,"AAAAAH7/hco=")</f>
        <v>#VALUE!</v>
      </c>
      <c r="GV43" t="e">
        <f>AND('UP133'!GC4,"AAAAAH7/hcs=")</f>
        <v>#VALUE!</v>
      </c>
      <c r="GW43" t="e">
        <f>AND('UP133'!GD4,"AAAAAH7/hcw=")</f>
        <v>#VALUE!</v>
      </c>
      <c r="GX43" t="e">
        <f>AND('UP133'!GE4,"AAAAAH7/hc0=")</f>
        <v>#VALUE!</v>
      </c>
      <c r="GY43" t="e">
        <f>AND('UP133'!GF4,"AAAAAH7/hc4=")</f>
        <v>#VALUE!</v>
      </c>
      <c r="GZ43" t="e">
        <f>AND('UP133'!GG4,"AAAAAH7/hc8=")</f>
        <v>#VALUE!</v>
      </c>
      <c r="HA43" t="e">
        <f>AND('UP133'!GH4,"AAAAAH7/hdA=")</f>
        <v>#VALUE!</v>
      </c>
      <c r="HB43" t="e">
        <f>AND('UP133'!GI4,"AAAAAH7/hdE=")</f>
        <v>#VALUE!</v>
      </c>
      <c r="HC43" t="e">
        <f>AND('UP133'!GJ4,"AAAAAH7/hdI=")</f>
        <v>#VALUE!</v>
      </c>
      <c r="HD43" t="e">
        <f>AND('UP133'!GK4,"AAAAAH7/hdM=")</f>
        <v>#VALUE!</v>
      </c>
      <c r="HE43" t="e">
        <f>AND('UP133'!GL4,"AAAAAH7/hdQ=")</f>
        <v>#VALUE!</v>
      </c>
      <c r="HF43" t="e">
        <f>AND('UP133'!GM4,"AAAAAH7/hdU=")</f>
        <v>#VALUE!</v>
      </c>
      <c r="HG43" t="e">
        <f>AND('UP133'!GN4,"AAAAAH7/hdY=")</f>
        <v>#VALUE!</v>
      </c>
      <c r="HH43" t="e">
        <f>AND('UP133'!GO4,"AAAAAH7/hdc=")</f>
        <v>#VALUE!</v>
      </c>
      <c r="HI43" t="e">
        <f>AND('UP133'!GP4,"AAAAAH7/hdg=")</f>
        <v>#VALUE!</v>
      </c>
      <c r="HJ43" t="e">
        <f>AND('UP133'!GQ4,"AAAAAH7/hdk=")</f>
        <v>#VALUE!</v>
      </c>
      <c r="HK43" t="e">
        <f>AND('UP133'!GR4,"AAAAAH7/hdo=")</f>
        <v>#VALUE!</v>
      </c>
      <c r="HL43" t="e">
        <f>AND('UP133'!GS4,"AAAAAH7/hds=")</f>
        <v>#VALUE!</v>
      </c>
      <c r="HM43" t="e">
        <f>AND('UP133'!GT4,"AAAAAH7/hdw=")</f>
        <v>#VALUE!</v>
      </c>
      <c r="HN43" t="e">
        <f>AND('UP133'!GU4,"AAAAAH7/hd0=")</f>
        <v>#VALUE!</v>
      </c>
      <c r="HO43" t="e">
        <f>AND('UP133'!GV4,"AAAAAH7/hd4=")</f>
        <v>#VALUE!</v>
      </c>
      <c r="HP43" t="e">
        <f>AND('UP133'!GW4,"AAAAAH7/hd8=")</f>
        <v>#VALUE!</v>
      </c>
      <c r="HQ43" t="e">
        <f>AND('UP133'!GX4,"AAAAAH7/heA=")</f>
        <v>#VALUE!</v>
      </c>
      <c r="HR43" t="e">
        <f>AND('UP133'!GY4,"AAAAAH7/heE=")</f>
        <v>#VALUE!</v>
      </c>
      <c r="HS43" t="e">
        <f>AND('UP133'!GZ4,"AAAAAH7/heI=")</f>
        <v>#VALUE!</v>
      </c>
      <c r="HT43" t="e">
        <f>AND('UP133'!HA4,"AAAAAH7/heM=")</f>
        <v>#VALUE!</v>
      </c>
      <c r="HU43" t="e">
        <f>AND('UP133'!HB4,"AAAAAH7/heQ=")</f>
        <v>#VALUE!</v>
      </c>
      <c r="HV43" t="e">
        <f>AND('UP133'!HC4,"AAAAAH7/heU=")</f>
        <v>#VALUE!</v>
      </c>
      <c r="HW43" t="e">
        <f>AND('UP133'!HD4,"AAAAAH7/heY=")</f>
        <v>#VALUE!</v>
      </c>
      <c r="HX43" t="e">
        <f>AND('UP133'!HE4,"AAAAAH7/hec=")</f>
        <v>#VALUE!</v>
      </c>
      <c r="HY43" t="e">
        <f>AND('UP133'!HF4,"AAAAAH7/heg=")</f>
        <v>#VALUE!</v>
      </c>
      <c r="HZ43" t="e">
        <f>AND('UP133'!HG4,"AAAAAH7/hek=")</f>
        <v>#VALUE!</v>
      </c>
      <c r="IA43" t="e">
        <f>AND('UP133'!HH4,"AAAAAH7/heo=")</f>
        <v>#VALUE!</v>
      </c>
      <c r="IB43" t="e">
        <f>AND('UP133'!HI4,"AAAAAH7/hes=")</f>
        <v>#VALUE!</v>
      </c>
      <c r="IC43" t="e">
        <f>AND('UP133'!HJ4,"AAAAAH7/hew=")</f>
        <v>#VALUE!</v>
      </c>
      <c r="ID43" t="e">
        <f>AND('UP133'!HK4,"AAAAAH7/he0=")</f>
        <v>#VALUE!</v>
      </c>
      <c r="IE43" t="e">
        <f>AND('UP133'!HL4,"AAAAAH7/he4=")</f>
        <v>#VALUE!</v>
      </c>
      <c r="IF43" t="e">
        <f>AND('UP133'!HM4,"AAAAAH7/he8=")</f>
        <v>#VALUE!</v>
      </c>
      <c r="IG43" t="e">
        <f>AND('UP133'!HN4,"AAAAAH7/hfA=")</f>
        <v>#VALUE!</v>
      </c>
      <c r="IH43" t="e">
        <f>AND('UP133'!HO4,"AAAAAH7/hfE=")</f>
        <v>#VALUE!</v>
      </c>
      <c r="II43" t="e">
        <f>AND('UP133'!HP4,"AAAAAH7/hfI=")</f>
        <v>#VALUE!</v>
      </c>
      <c r="IJ43" t="e">
        <f>AND('UP133'!HQ4,"AAAAAH7/hfM=")</f>
        <v>#VALUE!</v>
      </c>
      <c r="IK43" t="e">
        <f>AND('UP133'!HR4,"AAAAAH7/hfQ=")</f>
        <v>#VALUE!</v>
      </c>
      <c r="IL43" t="e">
        <f>AND('UP133'!HS4,"AAAAAH7/hfU=")</f>
        <v>#VALUE!</v>
      </c>
      <c r="IM43" t="e">
        <f>AND('UP133'!HT4,"AAAAAH7/hfY=")</f>
        <v>#VALUE!</v>
      </c>
      <c r="IN43" t="e">
        <f>AND('UP133'!HU4,"AAAAAH7/hfc=")</f>
        <v>#VALUE!</v>
      </c>
      <c r="IO43" t="e">
        <f>AND('UP133'!HV4,"AAAAAH7/hfg=")</f>
        <v>#VALUE!</v>
      </c>
      <c r="IP43" t="e">
        <f>AND('UP133'!HW4,"AAAAAH7/hfk=")</f>
        <v>#VALUE!</v>
      </c>
      <c r="IQ43" t="e">
        <f>AND('UP133'!HX4,"AAAAAH7/hfo=")</f>
        <v>#VALUE!</v>
      </c>
      <c r="IR43" t="e">
        <f>AND('UP133'!HY4,"AAAAAH7/hfs=")</f>
        <v>#VALUE!</v>
      </c>
      <c r="IS43" t="e">
        <f>AND('UP133'!HZ4,"AAAAAH7/hfw=")</f>
        <v>#VALUE!</v>
      </c>
      <c r="IT43" t="e">
        <f>AND('UP133'!IA4,"AAAAAH7/hf0=")</f>
        <v>#VALUE!</v>
      </c>
      <c r="IU43" t="e">
        <f>AND('UP133'!IB4,"AAAAAH7/hf4=")</f>
        <v>#VALUE!</v>
      </c>
      <c r="IV43" t="e">
        <f>AND('UP133'!IC4,"AAAAAH7/hf8=")</f>
        <v>#VALUE!</v>
      </c>
    </row>
    <row r="44" spans="1:256">
      <c r="A44" t="e">
        <f>AND('UP133'!ID4,"AAAAAF/86wA=")</f>
        <v>#VALUE!</v>
      </c>
      <c r="B44" t="e">
        <f>AND('UP133'!IE4,"AAAAAF/86wE=")</f>
        <v>#VALUE!</v>
      </c>
      <c r="C44" t="e">
        <f>AND('UP133'!IF4,"AAAAAF/86wI=")</f>
        <v>#VALUE!</v>
      </c>
      <c r="D44" t="e">
        <f>AND('UP133'!IG4,"AAAAAF/86wM=")</f>
        <v>#VALUE!</v>
      </c>
      <c r="E44" t="e">
        <f>AND('UP133'!IH4,"AAAAAF/86wQ=")</f>
        <v>#VALUE!</v>
      </c>
      <c r="F44" t="e">
        <f>AND('UP133'!II4,"AAAAAF/86wU=")</f>
        <v>#VALUE!</v>
      </c>
      <c r="G44" t="e">
        <f>AND('UP133'!IJ4,"AAAAAF/86wY=")</f>
        <v>#VALUE!</v>
      </c>
      <c r="H44" t="e">
        <f>AND('UP133'!IK4,"AAAAAF/86wc=")</f>
        <v>#VALUE!</v>
      </c>
      <c r="I44" t="e">
        <f>AND('UP133'!IL4,"AAAAAF/86wg=")</f>
        <v>#VALUE!</v>
      </c>
      <c r="J44" t="e">
        <f>AND('UP133'!IM4,"AAAAAF/86wk=")</f>
        <v>#VALUE!</v>
      </c>
      <c r="K44" t="e">
        <f>AND('UP133'!IN4,"AAAAAF/86wo=")</f>
        <v>#VALUE!</v>
      </c>
      <c r="L44" t="e">
        <f>AND('UP133'!IO4,"AAAAAF/86ws=")</f>
        <v>#VALUE!</v>
      </c>
      <c r="M44" t="e">
        <f>AND('UP133'!IP4,"AAAAAF/86ww=")</f>
        <v>#VALUE!</v>
      </c>
      <c r="N44" t="e">
        <f>AND('UP133'!IQ4,"AAAAAF/86w0=")</f>
        <v>#VALUE!</v>
      </c>
      <c r="O44" t="str">
        <f>IF('UP133'!5:5,"AAAAAF/86w4=",0)</f>
        <v>AAAAAF/86w4=</v>
      </c>
      <c r="P44" t="e">
        <f>AND('UP133'!A5,"AAAAAF/86w8=")</f>
        <v>#VALUE!</v>
      </c>
      <c r="Q44" t="e">
        <f>AND('UP133'!B5,"AAAAAF/86xA=")</f>
        <v>#VALUE!</v>
      </c>
      <c r="R44" t="e">
        <f>AND('UP133'!C5,"AAAAAF/86xE=")</f>
        <v>#VALUE!</v>
      </c>
      <c r="S44" t="e">
        <f>AND('UP133'!D5,"AAAAAF/86xI=")</f>
        <v>#VALUE!</v>
      </c>
      <c r="T44" t="e">
        <f>AND('UP133'!E5,"AAAAAF/86xM=")</f>
        <v>#VALUE!</v>
      </c>
      <c r="U44" t="e">
        <f>AND('UP133'!F5,"AAAAAF/86xQ=")</f>
        <v>#VALUE!</v>
      </c>
      <c r="V44" t="e">
        <f>AND('UP133'!G5,"AAAAAF/86xU=")</f>
        <v>#VALUE!</v>
      </c>
      <c r="W44" t="e">
        <f>AND('UP133'!H5,"AAAAAF/86xY=")</f>
        <v>#VALUE!</v>
      </c>
      <c r="X44" t="e">
        <f>AND('UP133'!I5,"AAAAAF/86xc=")</f>
        <v>#VALUE!</v>
      </c>
      <c r="Y44" t="e">
        <f>AND('UP133'!J5,"AAAAAF/86xg=")</f>
        <v>#VALUE!</v>
      </c>
      <c r="Z44" t="e">
        <f>AND('UP133'!K5,"AAAAAF/86xk=")</f>
        <v>#VALUE!</v>
      </c>
      <c r="AA44" t="e">
        <f>AND('UP133'!L5,"AAAAAF/86xo=")</f>
        <v>#VALUE!</v>
      </c>
      <c r="AB44" t="e">
        <f>AND('UP133'!M5,"AAAAAF/86xs=")</f>
        <v>#VALUE!</v>
      </c>
      <c r="AC44" t="e">
        <f>AND('UP133'!N5,"AAAAAF/86xw=")</f>
        <v>#VALUE!</v>
      </c>
      <c r="AD44" t="e">
        <f>AND('UP133'!O5,"AAAAAF/86x0=")</f>
        <v>#VALUE!</v>
      </c>
      <c r="AE44" t="e">
        <f>AND('UP133'!P5,"AAAAAF/86x4=")</f>
        <v>#VALUE!</v>
      </c>
      <c r="AF44" t="e">
        <f>AND('UP133'!Q5,"AAAAAF/86x8=")</f>
        <v>#VALUE!</v>
      </c>
      <c r="AG44" t="e">
        <f>AND('UP133'!R5,"AAAAAF/86yA=")</f>
        <v>#VALUE!</v>
      </c>
      <c r="AH44" t="e">
        <f>AND('UP133'!S5,"AAAAAF/86yE=")</f>
        <v>#VALUE!</v>
      </c>
      <c r="AI44" t="e">
        <f>AND('UP133'!T5,"AAAAAF/86yI=")</f>
        <v>#VALUE!</v>
      </c>
      <c r="AJ44" t="e">
        <f>AND('UP133'!U5,"AAAAAF/86yM=")</f>
        <v>#VALUE!</v>
      </c>
      <c r="AK44" t="e">
        <f>AND('UP133'!V5,"AAAAAF/86yQ=")</f>
        <v>#VALUE!</v>
      </c>
      <c r="AL44" t="e">
        <f>AND('UP133'!W5,"AAAAAF/86yU=")</f>
        <v>#VALUE!</v>
      </c>
      <c r="AM44" t="e">
        <f>AND('UP133'!X5,"AAAAAF/86yY=")</f>
        <v>#VALUE!</v>
      </c>
      <c r="AN44" t="e">
        <f>AND('UP133'!Y5,"AAAAAF/86yc=")</f>
        <v>#VALUE!</v>
      </c>
      <c r="AO44" t="e">
        <f>AND('UP133'!Z5,"AAAAAF/86yg=")</f>
        <v>#VALUE!</v>
      </c>
      <c r="AP44" t="e">
        <f>AND('UP133'!AA5,"AAAAAF/86yk=")</f>
        <v>#VALUE!</v>
      </c>
      <c r="AQ44" t="e">
        <f>AND('UP133'!AB5,"AAAAAF/86yo=")</f>
        <v>#VALUE!</v>
      </c>
      <c r="AR44" t="e">
        <f>AND('UP133'!AC5,"AAAAAF/86ys=")</f>
        <v>#VALUE!</v>
      </c>
      <c r="AS44" t="e">
        <f>AND('UP133'!AD5,"AAAAAF/86yw=")</f>
        <v>#VALUE!</v>
      </c>
      <c r="AT44" t="e">
        <f>AND('UP133'!AE5,"AAAAAF/86y0=")</f>
        <v>#VALUE!</v>
      </c>
      <c r="AU44" t="e">
        <f>AND('UP133'!AF5,"AAAAAF/86y4=")</f>
        <v>#VALUE!</v>
      </c>
      <c r="AV44" t="e">
        <f>AND('UP133'!AG5,"AAAAAF/86y8=")</f>
        <v>#VALUE!</v>
      </c>
      <c r="AW44" t="e">
        <f>AND('UP133'!AH5,"AAAAAF/86zA=")</f>
        <v>#VALUE!</v>
      </c>
      <c r="AX44" t="e">
        <f>AND('UP133'!AI5,"AAAAAF/86zE=")</f>
        <v>#VALUE!</v>
      </c>
      <c r="AY44" t="e">
        <f>AND('UP133'!AJ5,"AAAAAF/86zI=")</f>
        <v>#VALUE!</v>
      </c>
      <c r="AZ44" t="e">
        <f>AND('UP133'!AK5,"AAAAAF/86zM=")</f>
        <v>#VALUE!</v>
      </c>
      <c r="BA44" t="e">
        <f>AND('UP133'!AL5,"AAAAAF/86zQ=")</f>
        <v>#VALUE!</v>
      </c>
      <c r="BB44" t="e">
        <f>AND('UP133'!AM5,"AAAAAF/86zU=")</f>
        <v>#VALUE!</v>
      </c>
      <c r="BC44" t="e">
        <f>AND('UP133'!AN5,"AAAAAF/86zY=")</f>
        <v>#VALUE!</v>
      </c>
      <c r="BD44" t="e">
        <f>AND('UP133'!AO5,"AAAAAF/86zc=")</f>
        <v>#VALUE!</v>
      </c>
      <c r="BE44" t="e">
        <f>AND('UP133'!AP5,"AAAAAF/86zg=")</f>
        <v>#VALUE!</v>
      </c>
      <c r="BF44" t="e">
        <f>AND('UP133'!AQ5,"AAAAAF/86zk=")</f>
        <v>#VALUE!</v>
      </c>
      <c r="BG44" t="e">
        <f>AND('UP133'!AR5,"AAAAAF/86zo=")</f>
        <v>#VALUE!</v>
      </c>
      <c r="BH44" t="e">
        <f>AND('UP133'!AS5,"AAAAAF/86zs=")</f>
        <v>#VALUE!</v>
      </c>
      <c r="BI44" t="e">
        <f>AND('UP133'!AT5,"AAAAAF/86zw=")</f>
        <v>#VALUE!</v>
      </c>
      <c r="BJ44" t="e">
        <f>AND('UP133'!AU5,"AAAAAF/86z0=")</f>
        <v>#VALUE!</v>
      </c>
      <c r="BK44" t="e">
        <f>AND('UP133'!AV5,"AAAAAF/86z4=")</f>
        <v>#VALUE!</v>
      </c>
      <c r="BL44" t="e">
        <f>AND('UP133'!AW5,"AAAAAF/86z8=")</f>
        <v>#VALUE!</v>
      </c>
      <c r="BM44" t="e">
        <f>AND('UP133'!AX5,"AAAAAF/860A=")</f>
        <v>#VALUE!</v>
      </c>
      <c r="BN44" t="e">
        <f>AND('UP133'!AY5,"AAAAAF/860E=")</f>
        <v>#VALUE!</v>
      </c>
      <c r="BO44" t="e">
        <f>AND('UP133'!AZ5,"AAAAAF/860I=")</f>
        <v>#VALUE!</v>
      </c>
      <c r="BP44" t="e">
        <f>AND('UP133'!BA5,"AAAAAF/860M=")</f>
        <v>#VALUE!</v>
      </c>
      <c r="BQ44" t="e">
        <f>AND('UP133'!BB5,"AAAAAF/860Q=")</f>
        <v>#VALUE!</v>
      </c>
      <c r="BR44" t="e">
        <f>AND('UP133'!BC5,"AAAAAF/860U=")</f>
        <v>#VALUE!</v>
      </c>
      <c r="BS44" t="e">
        <f>AND('UP133'!BD5,"AAAAAF/860Y=")</f>
        <v>#VALUE!</v>
      </c>
      <c r="BT44" t="e">
        <f>AND('UP133'!BE5,"AAAAAF/860c=")</f>
        <v>#VALUE!</v>
      </c>
      <c r="BU44" t="e">
        <f>AND('UP133'!BF5,"AAAAAF/860g=")</f>
        <v>#VALUE!</v>
      </c>
      <c r="BV44" t="e">
        <f>AND('UP133'!BG5,"AAAAAF/860k=")</f>
        <v>#VALUE!</v>
      </c>
      <c r="BW44" t="e">
        <f>AND('UP133'!BH5,"AAAAAF/860o=")</f>
        <v>#VALUE!</v>
      </c>
      <c r="BX44" t="e">
        <f>AND('UP133'!BI5,"AAAAAF/860s=")</f>
        <v>#VALUE!</v>
      </c>
      <c r="BY44" t="e">
        <f>AND('UP133'!BJ5,"AAAAAF/860w=")</f>
        <v>#VALUE!</v>
      </c>
      <c r="BZ44" t="e">
        <f>AND('UP133'!BK5,"AAAAAF/8600=")</f>
        <v>#VALUE!</v>
      </c>
      <c r="CA44" t="e">
        <f>AND('UP133'!BL5,"AAAAAF/8604=")</f>
        <v>#VALUE!</v>
      </c>
      <c r="CB44" t="e">
        <f>AND('UP133'!BM5,"AAAAAF/8608=")</f>
        <v>#VALUE!</v>
      </c>
      <c r="CC44" t="e">
        <f>AND('UP133'!BN5,"AAAAAF/861A=")</f>
        <v>#VALUE!</v>
      </c>
      <c r="CD44" t="e">
        <f>AND('UP133'!BO5,"AAAAAF/861E=")</f>
        <v>#VALUE!</v>
      </c>
      <c r="CE44" t="e">
        <f>AND('UP133'!BP5,"AAAAAF/861I=")</f>
        <v>#VALUE!</v>
      </c>
      <c r="CF44" t="e">
        <f>AND('UP133'!BQ5,"AAAAAF/861M=")</f>
        <v>#VALUE!</v>
      </c>
      <c r="CG44" t="e">
        <f>AND('UP133'!BR5,"AAAAAF/861Q=")</f>
        <v>#VALUE!</v>
      </c>
      <c r="CH44" t="e">
        <f>AND('UP133'!BS5,"AAAAAF/861U=")</f>
        <v>#VALUE!</v>
      </c>
      <c r="CI44" t="e">
        <f>AND('UP133'!BT5,"AAAAAF/861Y=")</f>
        <v>#VALUE!</v>
      </c>
      <c r="CJ44" t="e">
        <f>AND('UP133'!BU5,"AAAAAF/861c=")</f>
        <v>#VALUE!</v>
      </c>
      <c r="CK44" t="e">
        <f>AND('UP133'!BV5,"AAAAAF/861g=")</f>
        <v>#VALUE!</v>
      </c>
      <c r="CL44" t="e">
        <f>AND('UP133'!BW5,"AAAAAF/861k=")</f>
        <v>#VALUE!</v>
      </c>
      <c r="CM44" t="e">
        <f>AND('UP133'!BX5,"AAAAAF/861o=")</f>
        <v>#VALUE!</v>
      </c>
      <c r="CN44" t="e">
        <f>AND('UP133'!BY5,"AAAAAF/861s=")</f>
        <v>#VALUE!</v>
      </c>
      <c r="CO44" t="e">
        <f>AND('UP133'!BZ5,"AAAAAF/861w=")</f>
        <v>#VALUE!</v>
      </c>
      <c r="CP44" t="e">
        <f>AND('UP133'!CA5,"AAAAAF/8610=")</f>
        <v>#VALUE!</v>
      </c>
      <c r="CQ44" t="e">
        <f>AND('UP133'!CB5,"AAAAAF/8614=")</f>
        <v>#VALUE!</v>
      </c>
      <c r="CR44" t="e">
        <f>AND('UP133'!CC5,"AAAAAF/8618=")</f>
        <v>#VALUE!</v>
      </c>
      <c r="CS44" t="e">
        <f>AND('UP133'!CD5,"AAAAAF/862A=")</f>
        <v>#VALUE!</v>
      </c>
      <c r="CT44" t="e">
        <f>AND('UP133'!CE5,"AAAAAF/862E=")</f>
        <v>#VALUE!</v>
      </c>
      <c r="CU44" t="e">
        <f>AND('UP133'!CF5,"AAAAAF/862I=")</f>
        <v>#VALUE!</v>
      </c>
      <c r="CV44" t="e">
        <f>AND('UP133'!CG5,"AAAAAF/862M=")</f>
        <v>#VALUE!</v>
      </c>
      <c r="CW44" t="e">
        <f>AND('UP133'!CH5,"AAAAAF/862Q=")</f>
        <v>#VALUE!</v>
      </c>
      <c r="CX44" t="e">
        <f>AND('UP133'!CI5,"AAAAAF/862U=")</f>
        <v>#VALUE!</v>
      </c>
      <c r="CY44" t="e">
        <f>AND('UP133'!CJ5,"AAAAAF/862Y=")</f>
        <v>#VALUE!</v>
      </c>
      <c r="CZ44" t="e">
        <f>AND('UP133'!CK5,"AAAAAF/862c=")</f>
        <v>#VALUE!</v>
      </c>
      <c r="DA44" t="e">
        <f>AND('UP133'!CL5,"AAAAAF/862g=")</f>
        <v>#VALUE!</v>
      </c>
      <c r="DB44" t="e">
        <f>AND('UP133'!CM5,"AAAAAF/862k=")</f>
        <v>#VALUE!</v>
      </c>
      <c r="DC44" t="e">
        <f>AND('UP133'!CN5,"AAAAAF/862o=")</f>
        <v>#VALUE!</v>
      </c>
      <c r="DD44" t="e">
        <f>AND('UP133'!CO5,"AAAAAF/862s=")</f>
        <v>#VALUE!</v>
      </c>
      <c r="DE44" t="e">
        <f>AND('UP133'!CP5,"AAAAAF/862w=")</f>
        <v>#VALUE!</v>
      </c>
      <c r="DF44" t="e">
        <f>AND('UP133'!CQ5,"AAAAAF/8620=")</f>
        <v>#VALUE!</v>
      </c>
      <c r="DG44" t="e">
        <f>AND('UP133'!CR5,"AAAAAF/8624=")</f>
        <v>#VALUE!</v>
      </c>
      <c r="DH44" t="e">
        <f>AND('UP133'!CS5,"AAAAAF/8628=")</f>
        <v>#VALUE!</v>
      </c>
      <c r="DI44" t="e">
        <f>AND('UP133'!CT5,"AAAAAF/863A=")</f>
        <v>#VALUE!</v>
      </c>
      <c r="DJ44" t="e">
        <f>AND('UP133'!CU5,"AAAAAF/863E=")</f>
        <v>#VALUE!</v>
      </c>
      <c r="DK44" t="e">
        <f>AND('UP133'!CV5,"AAAAAF/863I=")</f>
        <v>#VALUE!</v>
      </c>
      <c r="DL44" t="e">
        <f>AND('UP133'!CW5,"AAAAAF/863M=")</f>
        <v>#VALUE!</v>
      </c>
      <c r="DM44" t="e">
        <f>AND('UP133'!CX5,"AAAAAF/863Q=")</f>
        <v>#VALUE!</v>
      </c>
      <c r="DN44" t="e">
        <f>AND('UP133'!CY5,"AAAAAF/863U=")</f>
        <v>#VALUE!</v>
      </c>
      <c r="DO44" t="e">
        <f>AND('UP133'!CZ5,"AAAAAF/863Y=")</f>
        <v>#VALUE!</v>
      </c>
      <c r="DP44" t="e">
        <f>AND('UP133'!DA5,"AAAAAF/863c=")</f>
        <v>#VALUE!</v>
      </c>
      <c r="DQ44" t="e">
        <f>AND('UP133'!DB5,"AAAAAF/863g=")</f>
        <v>#VALUE!</v>
      </c>
      <c r="DR44" t="e">
        <f>AND('UP133'!DC5,"AAAAAF/863k=")</f>
        <v>#VALUE!</v>
      </c>
      <c r="DS44" t="e">
        <f>AND('UP133'!DD5,"AAAAAF/863o=")</f>
        <v>#VALUE!</v>
      </c>
      <c r="DT44" t="e">
        <f>AND('UP133'!DE5,"AAAAAF/863s=")</f>
        <v>#VALUE!</v>
      </c>
      <c r="DU44" t="e">
        <f>AND('UP133'!DF5,"AAAAAF/863w=")</f>
        <v>#VALUE!</v>
      </c>
      <c r="DV44" t="e">
        <f>AND('UP133'!DG5,"AAAAAF/8630=")</f>
        <v>#VALUE!</v>
      </c>
      <c r="DW44" t="e">
        <f>AND('UP133'!DH5,"AAAAAF/8634=")</f>
        <v>#VALUE!</v>
      </c>
      <c r="DX44" t="e">
        <f>AND('UP133'!DI5,"AAAAAF/8638=")</f>
        <v>#VALUE!</v>
      </c>
      <c r="DY44" t="e">
        <f>AND('UP133'!DJ5,"AAAAAF/864A=")</f>
        <v>#VALUE!</v>
      </c>
      <c r="DZ44" t="e">
        <f>AND('UP133'!DK5,"AAAAAF/864E=")</f>
        <v>#VALUE!</v>
      </c>
      <c r="EA44" t="e">
        <f>AND('UP133'!DL5,"AAAAAF/864I=")</f>
        <v>#VALUE!</v>
      </c>
      <c r="EB44" t="e">
        <f>AND('UP133'!DM5,"AAAAAF/864M=")</f>
        <v>#VALUE!</v>
      </c>
      <c r="EC44" t="e">
        <f>AND('UP133'!DN5,"AAAAAF/864Q=")</f>
        <v>#VALUE!</v>
      </c>
      <c r="ED44" t="e">
        <f>AND('UP133'!DO5,"AAAAAF/864U=")</f>
        <v>#VALUE!</v>
      </c>
      <c r="EE44" t="e">
        <f>AND('UP133'!DP5,"AAAAAF/864Y=")</f>
        <v>#VALUE!</v>
      </c>
      <c r="EF44" t="e">
        <f>AND('UP133'!DQ5,"AAAAAF/864c=")</f>
        <v>#VALUE!</v>
      </c>
      <c r="EG44" t="e">
        <f>AND('UP133'!DR5,"AAAAAF/864g=")</f>
        <v>#VALUE!</v>
      </c>
      <c r="EH44" t="e">
        <f>AND('UP133'!DS5,"AAAAAF/864k=")</f>
        <v>#VALUE!</v>
      </c>
      <c r="EI44" t="e">
        <f>AND('UP133'!DT5,"AAAAAF/864o=")</f>
        <v>#VALUE!</v>
      </c>
      <c r="EJ44" t="e">
        <f>AND('UP133'!DU5,"AAAAAF/864s=")</f>
        <v>#VALUE!</v>
      </c>
      <c r="EK44" t="e">
        <f>AND('UP133'!DV5,"AAAAAF/864w=")</f>
        <v>#VALUE!</v>
      </c>
      <c r="EL44" t="e">
        <f>AND('UP133'!DW5,"AAAAAF/8640=")</f>
        <v>#VALUE!</v>
      </c>
      <c r="EM44" t="e">
        <f>AND('UP133'!DX5,"AAAAAF/8644=")</f>
        <v>#VALUE!</v>
      </c>
      <c r="EN44" t="e">
        <f>AND('UP133'!DY5,"AAAAAF/8648=")</f>
        <v>#VALUE!</v>
      </c>
      <c r="EO44" t="e">
        <f>AND('UP133'!DZ5,"AAAAAF/865A=")</f>
        <v>#VALUE!</v>
      </c>
      <c r="EP44" t="e">
        <f>AND('UP133'!EA5,"AAAAAF/865E=")</f>
        <v>#VALUE!</v>
      </c>
      <c r="EQ44" t="e">
        <f>AND('UP133'!EB5,"AAAAAF/865I=")</f>
        <v>#VALUE!</v>
      </c>
      <c r="ER44" t="e">
        <f>AND('UP133'!EC5,"AAAAAF/865M=")</f>
        <v>#VALUE!</v>
      </c>
      <c r="ES44" t="e">
        <f>AND('UP133'!ED5,"AAAAAF/865Q=")</f>
        <v>#VALUE!</v>
      </c>
      <c r="ET44" t="e">
        <f>AND('UP133'!EE5,"AAAAAF/865U=")</f>
        <v>#VALUE!</v>
      </c>
      <c r="EU44" t="e">
        <f>AND('UP133'!EF5,"AAAAAF/865Y=")</f>
        <v>#VALUE!</v>
      </c>
      <c r="EV44" t="e">
        <f>AND('UP133'!EG5,"AAAAAF/865c=")</f>
        <v>#VALUE!</v>
      </c>
      <c r="EW44" t="e">
        <f>AND('UP133'!EH5,"AAAAAF/865g=")</f>
        <v>#VALUE!</v>
      </c>
      <c r="EX44" t="e">
        <f>AND('UP133'!EI5,"AAAAAF/865k=")</f>
        <v>#VALUE!</v>
      </c>
      <c r="EY44" t="e">
        <f>AND('UP133'!EJ5,"AAAAAF/865o=")</f>
        <v>#VALUE!</v>
      </c>
      <c r="EZ44" t="e">
        <f>AND('UP133'!EK5,"AAAAAF/865s=")</f>
        <v>#VALUE!</v>
      </c>
      <c r="FA44" t="e">
        <f>AND('UP133'!EL5,"AAAAAF/865w=")</f>
        <v>#VALUE!</v>
      </c>
      <c r="FB44" t="e">
        <f>AND('UP133'!EM5,"AAAAAF/8650=")</f>
        <v>#VALUE!</v>
      </c>
      <c r="FC44" t="e">
        <f>AND('UP133'!EN5,"AAAAAF/8654=")</f>
        <v>#VALUE!</v>
      </c>
      <c r="FD44" t="e">
        <f>AND('UP133'!EO5,"AAAAAF/8658=")</f>
        <v>#VALUE!</v>
      </c>
      <c r="FE44" t="e">
        <f>AND('UP133'!EP5,"AAAAAF/866A=")</f>
        <v>#VALUE!</v>
      </c>
      <c r="FF44" t="e">
        <f>AND('UP133'!EQ5,"AAAAAF/866E=")</f>
        <v>#VALUE!</v>
      </c>
      <c r="FG44" t="e">
        <f>AND('UP133'!ER5,"AAAAAF/866I=")</f>
        <v>#VALUE!</v>
      </c>
      <c r="FH44" t="e">
        <f>AND('UP133'!ES5,"AAAAAF/866M=")</f>
        <v>#VALUE!</v>
      </c>
      <c r="FI44" t="e">
        <f>AND('UP133'!ET5,"AAAAAF/866Q=")</f>
        <v>#VALUE!</v>
      </c>
      <c r="FJ44" t="e">
        <f>AND('UP133'!EU5,"AAAAAF/866U=")</f>
        <v>#VALUE!</v>
      </c>
      <c r="FK44" t="e">
        <f>AND('UP133'!EV5,"AAAAAF/866Y=")</f>
        <v>#VALUE!</v>
      </c>
      <c r="FL44" t="e">
        <f>AND('UP133'!EW5,"AAAAAF/866c=")</f>
        <v>#VALUE!</v>
      </c>
      <c r="FM44" t="e">
        <f>AND('UP133'!EX5,"AAAAAF/866g=")</f>
        <v>#VALUE!</v>
      </c>
      <c r="FN44" t="e">
        <f>AND('UP133'!EY5,"AAAAAF/866k=")</f>
        <v>#VALUE!</v>
      </c>
      <c r="FO44" t="e">
        <f>AND('UP133'!EZ5,"AAAAAF/866o=")</f>
        <v>#VALUE!</v>
      </c>
      <c r="FP44" t="e">
        <f>AND('UP133'!FA5,"AAAAAF/866s=")</f>
        <v>#VALUE!</v>
      </c>
      <c r="FQ44" t="e">
        <f>AND('UP133'!FB5,"AAAAAF/866w=")</f>
        <v>#VALUE!</v>
      </c>
      <c r="FR44" t="e">
        <f>AND('UP133'!FC5,"AAAAAF/8660=")</f>
        <v>#VALUE!</v>
      </c>
      <c r="FS44" t="e">
        <f>AND('UP133'!FD5,"AAAAAF/8664=")</f>
        <v>#VALUE!</v>
      </c>
      <c r="FT44" t="e">
        <f>AND('UP133'!FE5,"AAAAAF/8668=")</f>
        <v>#VALUE!</v>
      </c>
      <c r="FU44" t="e">
        <f>AND('UP133'!FF5,"AAAAAF/867A=")</f>
        <v>#VALUE!</v>
      </c>
      <c r="FV44" t="e">
        <f>AND('UP133'!FG5,"AAAAAF/867E=")</f>
        <v>#VALUE!</v>
      </c>
      <c r="FW44" t="e">
        <f>AND('UP133'!FH5,"AAAAAF/867I=")</f>
        <v>#VALUE!</v>
      </c>
      <c r="FX44" t="e">
        <f>AND('UP133'!FI5,"AAAAAF/867M=")</f>
        <v>#VALUE!</v>
      </c>
      <c r="FY44" t="e">
        <f>AND('UP133'!FJ5,"AAAAAF/867Q=")</f>
        <v>#VALUE!</v>
      </c>
      <c r="FZ44" t="e">
        <f>AND('UP133'!FK5,"AAAAAF/867U=")</f>
        <v>#VALUE!</v>
      </c>
      <c r="GA44" t="e">
        <f>AND('UP133'!FL5,"AAAAAF/867Y=")</f>
        <v>#VALUE!</v>
      </c>
      <c r="GB44" t="e">
        <f>AND('UP133'!FM5,"AAAAAF/867c=")</f>
        <v>#VALUE!</v>
      </c>
      <c r="GC44" t="e">
        <f>AND('UP133'!FN5,"AAAAAF/867g=")</f>
        <v>#VALUE!</v>
      </c>
      <c r="GD44" t="e">
        <f>AND('UP133'!FO5,"AAAAAF/867k=")</f>
        <v>#VALUE!</v>
      </c>
      <c r="GE44" t="e">
        <f>AND('UP133'!FP5,"AAAAAF/867o=")</f>
        <v>#VALUE!</v>
      </c>
      <c r="GF44" t="e">
        <f>AND('UP133'!FQ5,"AAAAAF/867s=")</f>
        <v>#VALUE!</v>
      </c>
      <c r="GG44" t="e">
        <f>AND('UP133'!FR5,"AAAAAF/867w=")</f>
        <v>#VALUE!</v>
      </c>
      <c r="GH44" t="e">
        <f>AND('UP133'!FS5,"AAAAAF/8670=")</f>
        <v>#VALUE!</v>
      </c>
      <c r="GI44" t="e">
        <f>AND('UP133'!FT5,"AAAAAF/8674=")</f>
        <v>#VALUE!</v>
      </c>
      <c r="GJ44" t="e">
        <f>AND('UP133'!FU5,"AAAAAF/8678=")</f>
        <v>#VALUE!</v>
      </c>
      <c r="GK44" t="e">
        <f>AND('UP133'!FV5,"AAAAAF/868A=")</f>
        <v>#VALUE!</v>
      </c>
      <c r="GL44" t="e">
        <f>AND('UP133'!FW5,"AAAAAF/868E=")</f>
        <v>#VALUE!</v>
      </c>
      <c r="GM44" t="e">
        <f>AND('UP133'!FX5,"AAAAAF/868I=")</f>
        <v>#VALUE!</v>
      </c>
      <c r="GN44" t="e">
        <f>AND('UP133'!FY5,"AAAAAF/868M=")</f>
        <v>#VALUE!</v>
      </c>
      <c r="GO44" t="e">
        <f>AND('UP133'!FZ5,"AAAAAF/868Q=")</f>
        <v>#VALUE!</v>
      </c>
      <c r="GP44" t="e">
        <f>AND('UP133'!GA5,"AAAAAF/868U=")</f>
        <v>#VALUE!</v>
      </c>
      <c r="GQ44" t="e">
        <f>AND('UP133'!GB5,"AAAAAF/868Y=")</f>
        <v>#VALUE!</v>
      </c>
      <c r="GR44" t="e">
        <f>AND('UP133'!GC5,"AAAAAF/868c=")</f>
        <v>#VALUE!</v>
      </c>
      <c r="GS44" t="e">
        <f>AND('UP133'!GD5,"AAAAAF/868g=")</f>
        <v>#VALUE!</v>
      </c>
      <c r="GT44" t="e">
        <f>AND('UP133'!GE5,"AAAAAF/868k=")</f>
        <v>#VALUE!</v>
      </c>
      <c r="GU44" t="e">
        <f>AND('UP133'!GF5,"AAAAAF/868o=")</f>
        <v>#VALUE!</v>
      </c>
      <c r="GV44" t="e">
        <f>AND('UP133'!GG5,"AAAAAF/868s=")</f>
        <v>#VALUE!</v>
      </c>
      <c r="GW44" t="e">
        <f>AND('UP133'!GH5,"AAAAAF/868w=")</f>
        <v>#VALUE!</v>
      </c>
      <c r="GX44" t="e">
        <f>AND('UP133'!GI5,"AAAAAF/8680=")</f>
        <v>#VALUE!</v>
      </c>
      <c r="GY44" t="e">
        <f>AND('UP133'!GJ5,"AAAAAF/8684=")</f>
        <v>#VALUE!</v>
      </c>
      <c r="GZ44" t="e">
        <f>AND('UP133'!GK5,"AAAAAF/8688=")</f>
        <v>#VALUE!</v>
      </c>
      <c r="HA44" t="e">
        <f>AND('UP133'!GL5,"AAAAAF/869A=")</f>
        <v>#VALUE!</v>
      </c>
      <c r="HB44" t="e">
        <f>AND('UP133'!GM5,"AAAAAF/869E=")</f>
        <v>#VALUE!</v>
      </c>
      <c r="HC44" t="e">
        <f>AND('UP133'!GN5,"AAAAAF/869I=")</f>
        <v>#VALUE!</v>
      </c>
      <c r="HD44" t="e">
        <f>AND('UP133'!GO5,"AAAAAF/869M=")</f>
        <v>#VALUE!</v>
      </c>
      <c r="HE44" t="e">
        <f>AND('UP133'!GP5,"AAAAAF/869Q=")</f>
        <v>#VALUE!</v>
      </c>
      <c r="HF44" t="e">
        <f>AND('UP133'!GQ5,"AAAAAF/869U=")</f>
        <v>#VALUE!</v>
      </c>
      <c r="HG44" t="e">
        <f>AND('UP133'!GR5,"AAAAAF/869Y=")</f>
        <v>#VALUE!</v>
      </c>
      <c r="HH44" t="e">
        <f>AND('UP133'!GS5,"AAAAAF/869c=")</f>
        <v>#VALUE!</v>
      </c>
      <c r="HI44" t="e">
        <f>AND('UP133'!GT5,"AAAAAF/869g=")</f>
        <v>#VALUE!</v>
      </c>
      <c r="HJ44" t="e">
        <f>AND('UP133'!GU5,"AAAAAF/869k=")</f>
        <v>#VALUE!</v>
      </c>
      <c r="HK44" t="e">
        <f>AND('UP133'!GV5,"AAAAAF/869o=")</f>
        <v>#VALUE!</v>
      </c>
      <c r="HL44" t="e">
        <f>AND('UP133'!GW5,"AAAAAF/869s=")</f>
        <v>#VALUE!</v>
      </c>
      <c r="HM44" t="e">
        <f>AND('UP133'!GX5,"AAAAAF/869w=")</f>
        <v>#VALUE!</v>
      </c>
      <c r="HN44" t="e">
        <f>AND('UP133'!GY5,"AAAAAF/8690=")</f>
        <v>#VALUE!</v>
      </c>
      <c r="HO44" t="e">
        <f>AND('UP133'!GZ5,"AAAAAF/8694=")</f>
        <v>#VALUE!</v>
      </c>
      <c r="HP44" t="e">
        <f>AND('UP133'!HA5,"AAAAAF/8698=")</f>
        <v>#VALUE!</v>
      </c>
      <c r="HQ44" t="e">
        <f>AND('UP133'!HB5,"AAAAAF/86+A=")</f>
        <v>#VALUE!</v>
      </c>
      <c r="HR44" t="e">
        <f>AND('UP133'!HC5,"AAAAAF/86+E=")</f>
        <v>#VALUE!</v>
      </c>
      <c r="HS44" t="e">
        <f>AND('UP133'!HD5,"AAAAAF/86+I=")</f>
        <v>#VALUE!</v>
      </c>
      <c r="HT44" t="e">
        <f>AND('UP133'!HE5,"AAAAAF/86+M=")</f>
        <v>#VALUE!</v>
      </c>
      <c r="HU44" t="e">
        <f>AND('UP133'!HF5,"AAAAAF/86+Q=")</f>
        <v>#VALUE!</v>
      </c>
      <c r="HV44" t="e">
        <f>AND('UP133'!HG5,"AAAAAF/86+U=")</f>
        <v>#VALUE!</v>
      </c>
      <c r="HW44" t="e">
        <f>AND('UP133'!HH5,"AAAAAF/86+Y=")</f>
        <v>#VALUE!</v>
      </c>
      <c r="HX44" t="e">
        <f>AND('UP133'!HI5,"AAAAAF/86+c=")</f>
        <v>#VALUE!</v>
      </c>
      <c r="HY44" t="e">
        <f>AND('UP133'!HJ5,"AAAAAF/86+g=")</f>
        <v>#VALUE!</v>
      </c>
      <c r="HZ44" t="e">
        <f>AND('UP133'!HK5,"AAAAAF/86+k=")</f>
        <v>#VALUE!</v>
      </c>
      <c r="IA44" t="e">
        <f>AND('UP133'!HL5,"AAAAAF/86+o=")</f>
        <v>#VALUE!</v>
      </c>
      <c r="IB44" t="e">
        <f>AND('UP133'!HM5,"AAAAAF/86+s=")</f>
        <v>#VALUE!</v>
      </c>
      <c r="IC44" t="e">
        <f>AND('UP133'!HN5,"AAAAAF/86+w=")</f>
        <v>#VALUE!</v>
      </c>
      <c r="ID44" t="e">
        <f>AND('UP133'!HO5,"AAAAAF/86+0=")</f>
        <v>#VALUE!</v>
      </c>
      <c r="IE44" t="e">
        <f>AND('UP133'!HP5,"AAAAAF/86+4=")</f>
        <v>#VALUE!</v>
      </c>
      <c r="IF44" t="e">
        <f>AND('UP133'!HQ5,"AAAAAF/86+8=")</f>
        <v>#VALUE!</v>
      </c>
      <c r="IG44" t="e">
        <f>AND('UP133'!HR5,"AAAAAF/86/A=")</f>
        <v>#VALUE!</v>
      </c>
      <c r="IH44" t="e">
        <f>AND('UP133'!HS5,"AAAAAF/86/E=")</f>
        <v>#VALUE!</v>
      </c>
      <c r="II44" t="e">
        <f>AND('UP133'!HT5,"AAAAAF/86/I=")</f>
        <v>#VALUE!</v>
      </c>
      <c r="IJ44" t="e">
        <f>AND('UP133'!HU5,"AAAAAF/86/M=")</f>
        <v>#VALUE!</v>
      </c>
      <c r="IK44" t="e">
        <f>AND('UP133'!HV5,"AAAAAF/86/Q=")</f>
        <v>#VALUE!</v>
      </c>
      <c r="IL44" t="e">
        <f>AND('UP133'!HW5,"AAAAAF/86/U=")</f>
        <v>#VALUE!</v>
      </c>
      <c r="IM44" t="e">
        <f>AND('UP133'!HX5,"AAAAAF/86/Y=")</f>
        <v>#VALUE!</v>
      </c>
      <c r="IN44" t="e">
        <f>AND('UP133'!HY5,"AAAAAF/86/c=")</f>
        <v>#VALUE!</v>
      </c>
      <c r="IO44" t="e">
        <f>AND('UP133'!HZ5,"AAAAAF/86/g=")</f>
        <v>#VALUE!</v>
      </c>
      <c r="IP44" t="e">
        <f>AND('UP133'!IA5,"AAAAAF/86/k=")</f>
        <v>#VALUE!</v>
      </c>
      <c r="IQ44" t="e">
        <f>AND('UP133'!IB5,"AAAAAF/86/o=")</f>
        <v>#VALUE!</v>
      </c>
      <c r="IR44" t="e">
        <f>AND('UP133'!IC5,"AAAAAF/86/s=")</f>
        <v>#VALUE!</v>
      </c>
      <c r="IS44" t="e">
        <f>AND('UP133'!ID5,"AAAAAF/86/w=")</f>
        <v>#VALUE!</v>
      </c>
      <c r="IT44" t="e">
        <f>AND('UP133'!IE5,"AAAAAF/86/0=")</f>
        <v>#VALUE!</v>
      </c>
      <c r="IU44" t="e">
        <f>AND('UP133'!IF5,"AAAAAF/86/4=")</f>
        <v>#VALUE!</v>
      </c>
      <c r="IV44" t="e">
        <f>AND('UP133'!IG5,"AAAAAF/86/8=")</f>
        <v>#VALUE!</v>
      </c>
    </row>
    <row r="45" spans="1:256">
      <c r="A45" t="e">
        <f>AND('UP133'!IH5,"AAAAAHXfvgA=")</f>
        <v>#VALUE!</v>
      </c>
      <c r="B45" t="e">
        <f>AND('UP133'!II5,"AAAAAHXfvgE=")</f>
        <v>#VALUE!</v>
      </c>
      <c r="C45" t="e">
        <f>AND('UP133'!IJ5,"AAAAAHXfvgI=")</f>
        <v>#VALUE!</v>
      </c>
      <c r="D45" t="e">
        <f>AND('UP133'!IK5,"AAAAAHXfvgM=")</f>
        <v>#VALUE!</v>
      </c>
      <c r="E45" t="e">
        <f>AND('UP133'!IL5,"AAAAAHXfvgQ=")</f>
        <v>#VALUE!</v>
      </c>
      <c r="F45" t="e">
        <f>AND('UP133'!IM5,"AAAAAHXfvgU=")</f>
        <v>#VALUE!</v>
      </c>
      <c r="G45" t="e">
        <f>AND('UP133'!IN5,"AAAAAHXfvgY=")</f>
        <v>#VALUE!</v>
      </c>
      <c r="H45" t="e">
        <f>AND('UP133'!IO5,"AAAAAHXfvgc=")</f>
        <v>#VALUE!</v>
      </c>
      <c r="I45" t="e">
        <f>AND('UP133'!IP5,"AAAAAHXfvgg=")</f>
        <v>#VALUE!</v>
      </c>
      <c r="J45" t="e">
        <f>AND('UP133'!IQ5,"AAAAAHXfvgk=")</f>
        <v>#VALUE!</v>
      </c>
      <c r="K45" t="str">
        <f>IF('UP133'!6:6,"AAAAAHXfvgo=",0)</f>
        <v>AAAAAHXfvgo=</v>
      </c>
      <c r="L45" t="e">
        <f>AND('UP133'!A6,"AAAAAHXfvgs=")</f>
        <v>#VALUE!</v>
      </c>
      <c r="M45" t="e">
        <f>AND('UP133'!B6,"AAAAAHXfvgw=")</f>
        <v>#VALUE!</v>
      </c>
      <c r="N45" t="e">
        <f>AND('UP133'!C6,"AAAAAHXfvg0=")</f>
        <v>#VALUE!</v>
      </c>
      <c r="O45" t="e">
        <f>AND('UP133'!D6,"AAAAAHXfvg4=")</f>
        <v>#VALUE!</v>
      </c>
      <c r="P45" t="e">
        <f>AND('UP133'!E6,"AAAAAHXfvg8=")</f>
        <v>#VALUE!</v>
      </c>
      <c r="Q45" t="e">
        <f>AND('UP133'!F6,"AAAAAHXfvhA=")</f>
        <v>#VALUE!</v>
      </c>
      <c r="R45" t="e">
        <f>AND('UP133'!G6,"AAAAAHXfvhE=")</f>
        <v>#VALUE!</v>
      </c>
      <c r="S45" t="e">
        <f>AND('UP133'!H6,"AAAAAHXfvhI=")</f>
        <v>#VALUE!</v>
      </c>
      <c r="T45" t="e">
        <f>AND('UP133'!I6,"AAAAAHXfvhM=")</f>
        <v>#VALUE!</v>
      </c>
      <c r="U45" t="e">
        <f>AND('UP133'!J6,"AAAAAHXfvhQ=")</f>
        <v>#VALUE!</v>
      </c>
      <c r="V45" t="e">
        <f>AND('UP133'!K6,"AAAAAHXfvhU=")</f>
        <v>#VALUE!</v>
      </c>
      <c r="W45" t="e">
        <f>AND('UP133'!L6,"AAAAAHXfvhY=")</f>
        <v>#VALUE!</v>
      </c>
      <c r="X45" t="e">
        <f>AND('UP133'!M6,"AAAAAHXfvhc=")</f>
        <v>#VALUE!</v>
      </c>
      <c r="Y45" t="e">
        <f>AND('UP133'!N6,"AAAAAHXfvhg=")</f>
        <v>#VALUE!</v>
      </c>
      <c r="Z45" t="e">
        <f>AND('UP133'!O6,"AAAAAHXfvhk=")</f>
        <v>#VALUE!</v>
      </c>
      <c r="AA45" t="e">
        <f>AND('UP133'!P6,"AAAAAHXfvho=")</f>
        <v>#VALUE!</v>
      </c>
      <c r="AB45" t="e">
        <f>AND('UP133'!Q6,"AAAAAHXfvhs=")</f>
        <v>#VALUE!</v>
      </c>
      <c r="AC45" t="e">
        <f>AND('UP133'!R6,"AAAAAHXfvhw=")</f>
        <v>#VALUE!</v>
      </c>
      <c r="AD45" t="e">
        <f>AND('UP133'!S6,"AAAAAHXfvh0=")</f>
        <v>#VALUE!</v>
      </c>
      <c r="AE45" t="e">
        <f>AND('UP133'!T6,"AAAAAHXfvh4=")</f>
        <v>#VALUE!</v>
      </c>
      <c r="AF45" t="e">
        <f>AND('UP133'!U6,"AAAAAHXfvh8=")</f>
        <v>#VALUE!</v>
      </c>
      <c r="AG45" t="e">
        <f>AND('UP133'!V6,"AAAAAHXfviA=")</f>
        <v>#VALUE!</v>
      </c>
      <c r="AH45" t="e">
        <f>AND('UP133'!W6,"AAAAAHXfviE=")</f>
        <v>#VALUE!</v>
      </c>
      <c r="AI45" t="e">
        <f>AND('UP133'!X6,"AAAAAHXfviI=")</f>
        <v>#VALUE!</v>
      </c>
      <c r="AJ45" t="e">
        <f>AND('UP133'!Y6,"AAAAAHXfviM=")</f>
        <v>#VALUE!</v>
      </c>
      <c r="AK45" t="e">
        <f>AND('UP133'!Z6,"AAAAAHXfviQ=")</f>
        <v>#VALUE!</v>
      </c>
      <c r="AL45" t="e">
        <f>AND('UP133'!AA6,"AAAAAHXfviU=")</f>
        <v>#VALUE!</v>
      </c>
      <c r="AM45" t="e">
        <f>AND('UP133'!AB6,"AAAAAHXfviY=")</f>
        <v>#VALUE!</v>
      </c>
      <c r="AN45" t="e">
        <f>AND('UP133'!AC6,"AAAAAHXfvic=")</f>
        <v>#VALUE!</v>
      </c>
      <c r="AO45" t="e">
        <f>AND('UP133'!AD6,"AAAAAHXfvig=")</f>
        <v>#VALUE!</v>
      </c>
      <c r="AP45" t="e">
        <f>AND('UP133'!AE6,"AAAAAHXfvik=")</f>
        <v>#VALUE!</v>
      </c>
      <c r="AQ45" t="e">
        <f>AND('UP133'!AF6,"AAAAAHXfvio=")</f>
        <v>#VALUE!</v>
      </c>
      <c r="AR45" t="e">
        <f>AND('UP133'!AG6,"AAAAAHXfvis=")</f>
        <v>#VALUE!</v>
      </c>
      <c r="AS45" t="e">
        <f>AND('UP133'!AH6,"AAAAAHXfviw=")</f>
        <v>#VALUE!</v>
      </c>
      <c r="AT45" t="e">
        <f>AND('UP133'!AI6,"AAAAAHXfvi0=")</f>
        <v>#VALUE!</v>
      </c>
      <c r="AU45" t="e">
        <f>AND('UP133'!AJ6,"AAAAAHXfvi4=")</f>
        <v>#VALUE!</v>
      </c>
      <c r="AV45" t="e">
        <f>AND('UP133'!AK6,"AAAAAHXfvi8=")</f>
        <v>#VALUE!</v>
      </c>
      <c r="AW45" t="e">
        <f>AND('UP133'!AL6,"AAAAAHXfvjA=")</f>
        <v>#VALUE!</v>
      </c>
      <c r="AX45" t="e">
        <f>AND('UP133'!AM6,"AAAAAHXfvjE=")</f>
        <v>#VALUE!</v>
      </c>
      <c r="AY45" t="e">
        <f>AND('UP133'!AN6,"AAAAAHXfvjI=")</f>
        <v>#VALUE!</v>
      </c>
      <c r="AZ45" t="e">
        <f>AND('UP133'!AO6,"AAAAAHXfvjM=")</f>
        <v>#VALUE!</v>
      </c>
      <c r="BA45" t="e">
        <f>AND('UP133'!AP6,"AAAAAHXfvjQ=")</f>
        <v>#VALUE!</v>
      </c>
      <c r="BB45" t="e">
        <f>AND('UP133'!AQ6,"AAAAAHXfvjU=")</f>
        <v>#VALUE!</v>
      </c>
      <c r="BC45" t="e">
        <f>AND('UP133'!AR6,"AAAAAHXfvjY=")</f>
        <v>#VALUE!</v>
      </c>
      <c r="BD45" t="e">
        <f>AND('UP133'!AS6,"AAAAAHXfvjc=")</f>
        <v>#VALUE!</v>
      </c>
      <c r="BE45" t="e">
        <f>AND('UP133'!AT6,"AAAAAHXfvjg=")</f>
        <v>#VALUE!</v>
      </c>
      <c r="BF45" t="e">
        <f>AND('UP133'!AU6,"AAAAAHXfvjk=")</f>
        <v>#VALUE!</v>
      </c>
      <c r="BG45" t="e">
        <f>AND('UP133'!AV6,"AAAAAHXfvjo=")</f>
        <v>#VALUE!</v>
      </c>
      <c r="BH45" t="e">
        <f>AND('UP133'!AW6,"AAAAAHXfvjs=")</f>
        <v>#VALUE!</v>
      </c>
      <c r="BI45" t="e">
        <f>AND('UP133'!AX6,"AAAAAHXfvjw=")</f>
        <v>#VALUE!</v>
      </c>
      <c r="BJ45" t="e">
        <f>AND('UP133'!AY6,"AAAAAHXfvj0=")</f>
        <v>#VALUE!</v>
      </c>
      <c r="BK45" t="e">
        <f>AND('UP133'!AZ6,"AAAAAHXfvj4=")</f>
        <v>#VALUE!</v>
      </c>
      <c r="BL45" t="e">
        <f>AND('UP133'!BA6,"AAAAAHXfvj8=")</f>
        <v>#VALUE!</v>
      </c>
      <c r="BM45" t="e">
        <f>AND('UP133'!BB6,"AAAAAHXfvkA=")</f>
        <v>#VALUE!</v>
      </c>
      <c r="BN45" t="e">
        <f>AND('UP133'!BC6,"AAAAAHXfvkE=")</f>
        <v>#VALUE!</v>
      </c>
      <c r="BO45" t="e">
        <f>AND('UP133'!BD6,"AAAAAHXfvkI=")</f>
        <v>#VALUE!</v>
      </c>
      <c r="BP45" t="e">
        <f>AND('UP133'!BE6,"AAAAAHXfvkM=")</f>
        <v>#VALUE!</v>
      </c>
      <c r="BQ45" t="e">
        <f>AND('UP133'!BF6,"AAAAAHXfvkQ=")</f>
        <v>#VALUE!</v>
      </c>
      <c r="BR45" t="e">
        <f>AND('UP133'!BG6,"AAAAAHXfvkU=")</f>
        <v>#VALUE!</v>
      </c>
      <c r="BS45" t="e">
        <f>AND('UP133'!BH6,"AAAAAHXfvkY=")</f>
        <v>#VALUE!</v>
      </c>
      <c r="BT45" t="e">
        <f>AND('UP133'!BI6,"AAAAAHXfvkc=")</f>
        <v>#VALUE!</v>
      </c>
      <c r="BU45" t="e">
        <f>AND('UP133'!BJ6,"AAAAAHXfvkg=")</f>
        <v>#VALUE!</v>
      </c>
      <c r="BV45" t="e">
        <f>AND('UP133'!BK6,"AAAAAHXfvkk=")</f>
        <v>#VALUE!</v>
      </c>
      <c r="BW45" t="e">
        <f>AND('UP133'!BL6,"AAAAAHXfvko=")</f>
        <v>#VALUE!</v>
      </c>
      <c r="BX45" t="e">
        <f>AND('UP133'!BM6,"AAAAAHXfvks=")</f>
        <v>#VALUE!</v>
      </c>
      <c r="BY45" t="e">
        <f>AND('UP133'!BN6,"AAAAAHXfvkw=")</f>
        <v>#VALUE!</v>
      </c>
      <c r="BZ45" t="e">
        <f>AND('UP133'!BO6,"AAAAAHXfvk0=")</f>
        <v>#VALUE!</v>
      </c>
      <c r="CA45" t="e">
        <f>AND('UP133'!BP6,"AAAAAHXfvk4=")</f>
        <v>#VALUE!</v>
      </c>
      <c r="CB45" t="e">
        <f>AND('UP133'!BQ6,"AAAAAHXfvk8=")</f>
        <v>#VALUE!</v>
      </c>
      <c r="CC45" t="e">
        <f>AND('UP133'!BR6,"AAAAAHXfvlA=")</f>
        <v>#VALUE!</v>
      </c>
      <c r="CD45" t="e">
        <f>AND('UP133'!BS6,"AAAAAHXfvlE=")</f>
        <v>#VALUE!</v>
      </c>
      <c r="CE45" t="e">
        <f>AND('UP133'!BT6,"AAAAAHXfvlI=")</f>
        <v>#VALUE!</v>
      </c>
      <c r="CF45" t="e">
        <f>AND('UP133'!BU6,"AAAAAHXfvlM=")</f>
        <v>#VALUE!</v>
      </c>
      <c r="CG45" t="e">
        <f>AND('UP133'!BV6,"AAAAAHXfvlQ=")</f>
        <v>#VALUE!</v>
      </c>
      <c r="CH45" t="e">
        <f>AND('UP133'!BW6,"AAAAAHXfvlU=")</f>
        <v>#VALUE!</v>
      </c>
      <c r="CI45" t="e">
        <f>AND('UP133'!BX6,"AAAAAHXfvlY=")</f>
        <v>#VALUE!</v>
      </c>
      <c r="CJ45" t="e">
        <f>AND('UP133'!BY6,"AAAAAHXfvlc=")</f>
        <v>#VALUE!</v>
      </c>
      <c r="CK45" t="e">
        <f>AND('UP133'!BZ6,"AAAAAHXfvlg=")</f>
        <v>#VALUE!</v>
      </c>
      <c r="CL45" t="e">
        <f>AND('UP133'!CA6,"AAAAAHXfvlk=")</f>
        <v>#VALUE!</v>
      </c>
      <c r="CM45" t="e">
        <f>AND('UP133'!CB6,"AAAAAHXfvlo=")</f>
        <v>#VALUE!</v>
      </c>
      <c r="CN45" t="e">
        <f>AND('UP133'!CC6,"AAAAAHXfvls=")</f>
        <v>#VALUE!</v>
      </c>
      <c r="CO45" t="e">
        <f>AND('UP133'!CD6,"AAAAAHXfvlw=")</f>
        <v>#VALUE!</v>
      </c>
      <c r="CP45" t="e">
        <f>AND('UP133'!CE6,"AAAAAHXfvl0=")</f>
        <v>#VALUE!</v>
      </c>
      <c r="CQ45" t="e">
        <f>AND('UP133'!CF6,"AAAAAHXfvl4=")</f>
        <v>#VALUE!</v>
      </c>
      <c r="CR45" t="e">
        <f>AND('UP133'!CG6,"AAAAAHXfvl8=")</f>
        <v>#VALUE!</v>
      </c>
      <c r="CS45" t="e">
        <f>AND('UP133'!CH6,"AAAAAHXfvmA=")</f>
        <v>#VALUE!</v>
      </c>
      <c r="CT45" t="e">
        <f>AND('UP133'!CI6,"AAAAAHXfvmE=")</f>
        <v>#VALUE!</v>
      </c>
      <c r="CU45" t="e">
        <f>AND('UP133'!CJ6,"AAAAAHXfvmI=")</f>
        <v>#VALUE!</v>
      </c>
      <c r="CV45" t="e">
        <f>AND('UP133'!CK6,"AAAAAHXfvmM=")</f>
        <v>#VALUE!</v>
      </c>
      <c r="CW45" t="e">
        <f>AND('UP133'!CL6,"AAAAAHXfvmQ=")</f>
        <v>#VALUE!</v>
      </c>
      <c r="CX45" t="e">
        <f>AND('UP133'!CM6,"AAAAAHXfvmU=")</f>
        <v>#VALUE!</v>
      </c>
      <c r="CY45" t="e">
        <f>AND('UP133'!CN6,"AAAAAHXfvmY=")</f>
        <v>#VALUE!</v>
      </c>
      <c r="CZ45" t="e">
        <f>AND('UP133'!CO6,"AAAAAHXfvmc=")</f>
        <v>#VALUE!</v>
      </c>
      <c r="DA45" t="e">
        <f>AND('UP133'!CP6,"AAAAAHXfvmg=")</f>
        <v>#VALUE!</v>
      </c>
      <c r="DB45" t="e">
        <f>AND('UP133'!CQ6,"AAAAAHXfvmk=")</f>
        <v>#VALUE!</v>
      </c>
      <c r="DC45" t="e">
        <f>AND('UP133'!CR6,"AAAAAHXfvmo=")</f>
        <v>#VALUE!</v>
      </c>
      <c r="DD45" t="e">
        <f>AND('UP133'!CS6,"AAAAAHXfvms=")</f>
        <v>#VALUE!</v>
      </c>
      <c r="DE45" t="e">
        <f>AND('UP133'!CT6,"AAAAAHXfvmw=")</f>
        <v>#VALUE!</v>
      </c>
      <c r="DF45" t="e">
        <f>AND('UP133'!CU6,"AAAAAHXfvm0=")</f>
        <v>#VALUE!</v>
      </c>
      <c r="DG45" t="e">
        <f>AND('UP133'!CV6,"AAAAAHXfvm4=")</f>
        <v>#VALUE!</v>
      </c>
      <c r="DH45" t="e">
        <f>AND('UP133'!CW6,"AAAAAHXfvm8=")</f>
        <v>#VALUE!</v>
      </c>
      <c r="DI45" t="e">
        <f>AND('UP133'!CX6,"AAAAAHXfvnA=")</f>
        <v>#VALUE!</v>
      </c>
      <c r="DJ45" t="e">
        <f>AND('UP133'!CY6,"AAAAAHXfvnE=")</f>
        <v>#VALUE!</v>
      </c>
      <c r="DK45" t="e">
        <f>AND('UP133'!CZ6,"AAAAAHXfvnI=")</f>
        <v>#VALUE!</v>
      </c>
      <c r="DL45" t="e">
        <f>AND('UP133'!DA6,"AAAAAHXfvnM=")</f>
        <v>#VALUE!</v>
      </c>
      <c r="DM45" t="e">
        <f>AND('UP133'!DB6,"AAAAAHXfvnQ=")</f>
        <v>#VALUE!</v>
      </c>
      <c r="DN45" t="e">
        <f>AND('UP133'!DC6,"AAAAAHXfvnU=")</f>
        <v>#VALUE!</v>
      </c>
      <c r="DO45" t="e">
        <f>AND('UP133'!DD6,"AAAAAHXfvnY=")</f>
        <v>#VALUE!</v>
      </c>
      <c r="DP45" t="e">
        <f>AND('UP133'!DE6,"AAAAAHXfvnc=")</f>
        <v>#VALUE!</v>
      </c>
      <c r="DQ45" t="e">
        <f>AND('UP133'!DF6,"AAAAAHXfvng=")</f>
        <v>#VALUE!</v>
      </c>
      <c r="DR45" t="e">
        <f>AND('UP133'!DG6,"AAAAAHXfvnk=")</f>
        <v>#VALUE!</v>
      </c>
      <c r="DS45" t="e">
        <f>AND('UP133'!DH6,"AAAAAHXfvno=")</f>
        <v>#VALUE!</v>
      </c>
      <c r="DT45" t="e">
        <f>AND('UP133'!DI6,"AAAAAHXfvns=")</f>
        <v>#VALUE!</v>
      </c>
      <c r="DU45" t="e">
        <f>AND('UP133'!DJ6,"AAAAAHXfvnw=")</f>
        <v>#VALUE!</v>
      </c>
      <c r="DV45" t="e">
        <f>AND('UP133'!DK6,"AAAAAHXfvn0=")</f>
        <v>#VALUE!</v>
      </c>
      <c r="DW45" t="e">
        <f>AND('UP133'!DL6,"AAAAAHXfvn4=")</f>
        <v>#VALUE!</v>
      </c>
      <c r="DX45" t="e">
        <f>AND('UP133'!DM6,"AAAAAHXfvn8=")</f>
        <v>#VALUE!</v>
      </c>
      <c r="DY45" t="e">
        <f>AND('UP133'!DN6,"AAAAAHXfvoA=")</f>
        <v>#VALUE!</v>
      </c>
      <c r="DZ45" t="e">
        <f>AND('UP133'!DO6,"AAAAAHXfvoE=")</f>
        <v>#VALUE!</v>
      </c>
      <c r="EA45" t="e">
        <f>AND('UP133'!DP6,"AAAAAHXfvoI=")</f>
        <v>#VALUE!</v>
      </c>
      <c r="EB45" t="e">
        <f>AND('UP133'!DQ6,"AAAAAHXfvoM=")</f>
        <v>#VALUE!</v>
      </c>
      <c r="EC45" t="e">
        <f>AND('UP133'!DR6,"AAAAAHXfvoQ=")</f>
        <v>#VALUE!</v>
      </c>
      <c r="ED45" t="e">
        <f>AND('UP133'!DS6,"AAAAAHXfvoU=")</f>
        <v>#VALUE!</v>
      </c>
      <c r="EE45" t="e">
        <f>AND('UP133'!DT6,"AAAAAHXfvoY=")</f>
        <v>#VALUE!</v>
      </c>
      <c r="EF45" t="e">
        <f>AND('UP133'!DU6,"AAAAAHXfvoc=")</f>
        <v>#VALUE!</v>
      </c>
      <c r="EG45" t="e">
        <f>AND('UP133'!DV6,"AAAAAHXfvog=")</f>
        <v>#VALUE!</v>
      </c>
      <c r="EH45" t="e">
        <f>AND('UP133'!DW6,"AAAAAHXfvok=")</f>
        <v>#VALUE!</v>
      </c>
      <c r="EI45" t="e">
        <f>AND('UP133'!DX6,"AAAAAHXfvoo=")</f>
        <v>#VALUE!</v>
      </c>
      <c r="EJ45" t="e">
        <f>AND('UP133'!DY6,"AAAAAHXfvos=")</f>
        <v>#VALUE!</v>
      </c>
      <c r="EK45" t="e">
        <f>AND('UP133'!DZ6,"AAAAAHXfvow=")</f>
        <v>#VALUE!</v>
      </c>
      <c r="EL45" t="e">
        <f>AND('UP133'!EA6,"AAAAAHXfvo0=")</f>
        <v>#VALUE!</v>
      </c>
      <c r="EM45" t="e">
        <f>AND('UP133'!EB6,"AAAAAHXfvo4=")</f>
        <v>#VALUE!</v>
      </c>
      <c r="EN45" t="e">
        <f>AND('UP133'!EC6,"AAAAAHXfvo8=")</f>
        <v>#VALUE!</v>
      </c>
      <c r="EO45" t="e">
        <f>AND('UP133'!ED6,"AAAAAHXfvpA=")</f>
        <v>#VALUE!</v>
      </c>
      <c r="EP45" t="e">
        <f>AND('UP133'!EE6,"AAAAAHXfvpE=")</f>
        <v>#VALUE!</v>
      </c>
      <c r="EQ45" t="e">
        <f>AND('UP133'!EF6,"AAAAAHXfvpI=")</f>
        <v>#VALUE!</v>
      </c>
      <c r="ER45" t="e">
        <f>AND('UP133'!EG6,"AAAAAHXfvpM=")</f>
        <v>#VALUE!</v>
      </c>
      <c r="ES45" t="e">
        <f>AND('UP133'!EH6,"AAAAAHXfvpQ=")</f>
        <v>#VALUE!</v>
      </c>
      <c r="ET45" t="e">
        <f>AND('UP133'!EI6,"AAAAAHXfvpU=")</f>
        <v>#VALUE!</v>
      </c>
      <c r="EU45" t="e">
        <f>AND('UP133'!EJ6,"AAAAAHXfvpY=")</f>
        <v>#VALUE!</v>
      </c>
      <c r="EV45" t="e">
        <f>AND('UP133'!EK6,"AAAAAHXfvpc=")</f>
        <v>#VALUE!</v>
      </c>
      <c r="EW45" t="e">
        <f>AND('UP133'!EL6,"AAAAAHXfvpg=")</f>
        <v>#VALUE!</v>
      </c>
      <c r="EX45" t="e">
        <f>AND('UP133'!EM6,"AAAAAHXfvpk=")</f>
        <v>#VALUE!</v>
      </c>
      <c r="EY45" t="e">
        <f>AND('UP133'!EN6,"AAAAAHXfvpo=")</f>
        <v>#VALUE!</v>
      </c>
      <c r="EZ45" t="e">
        <f>AND('UP133'!EO6,"AAAAAHXfvps=")</f>
        <v>#VALUE!</v>
      </c>
      <c r="FA45" t="e">
        <f>AND('UP133'!EP6,"AAAAAHXfvpw=")</f>
        <v>#VALUE!</v>
      </c>
      <c r="FB45" t="e">
        <f>AND('UP133'!EQ6,"AAAAAHXfvp0=")</f>
        <v>#VALUE!</v>
      </c>
      <c r="FC45" t="e">
        <f>AND('UP133'!ER6,"AAAAAHXfvp4=")</f>
        <v>#VALUE!</v>
      </c>
      <c r="FD45" t="e">
        <f>AND('UP133'!ES6,"AAAAAHXfvp8=")</f>
        <v>#VALUE!</v>
      </c>
      <c r="FE45" t="e">
        <f>AND('UP133'!ET6,"AAAAAHXfvqA=")</f>
        <v>#VALUE!</v>
      </c>
      <c r="FF45" t="e">
        <f>AND('UP133'!EU6,"AAAAAHXfvqE=")</f>
        <v>#VALUE!</v>
      </c>
      <c r="FG45" t="e">
        <f>AND('UP133'!EV6,"AAAAAHXfvqI=")</f>
        <v>#VALUE!</v>
      </c>
      <c r="FH45" t="e">
        <f>AND('UP133'!EW6,"AAAAAHXfvqM=")</f>
        <v>#VALUE!</v>
      </c>
      <c r="FI45" t="e">
        <f>AND('UP133'!EX6,"AAAAAHXfvqQ=")</f>
        <v>#VALUE!</v>
      </c>
      <c r="FJ45" t="e">
        <f>AND('UP133'!EY6,"AAAAAHXfvqU=")</f>
        <v>#VALUE!</v>
      </c>
      <c r="FK45" t="e">
        <f>AND('UP133'!EZ6,"AAAAAHXfvqY=")</f>
        <v>#VALUE!</v>
      </c>
      <c r="FL45" t="e">
        <f>AND('UP133'!FA6,"AAAAAHXfvqc=")</f>
        <v>#VALUE!</v>
      </c>
      <c r="FM45" t="e">
        <f>AND('UP133'!FB6,"AAAAAHXfvqg=")</f>
        <v>#VALUE!</v>
      </c>
      <c r="FN45" t="e">
        <f>AND('UP133'!FC6,"AAAAAHXfvqk=")</f>
        <v>#VALUE!</v>
      </c>
      <c r="FO45" t="e">
        <f>AND('UP133'!FD6,"AAAAAHXfvqo=")</f>
        <v>#VALUE!</v>
      </c>
      <c r="FP45" t="e">
        <f>AND('UP133'!FE6,"AAAAAHXfvqs=")</f>
        <v>#VALUE!</v>
      </c>
      <c r="FQ45" t="e">
        <f>AND('UP133'!FF6,"AAAAAHXfvqw=")</f>
        <v>#VALUE!</v>
      </c>
      <c r="FR45" t="e">
        <f>AND('UP133'!FG6,"AAAAAHXfvq0=")</f>
        <v>#VALUE!</v>
      </c>
      <c r="FS45" t="e">
        <f>AND('UP133'!FH6,"AAAAAHXfvq4=")</f>
        <v>#VALUE!</v>
      </c>
      <c r="FT45" t="e">
        <f>AND('UP133'!FI6,"AAAAAHXfvq8=")</f>
        <v>#VALUE!</v>
      </c>
      <c r="FU45" t="e">
        <f>AND('UP133'!FJ6,"AAAAAHXfvrA=")</f>
        <v>#VALUE!</v>
      </c>
      <c r="FV45" t="e">
        <f>AND('UP133'!FK6,"AAAAAHXfvrE=")</f>
        <v>#VALUE!</v>
      </c>
      <c r="FW45" t="e">
        <f>AND('UP133'!FL6,"AAAAAHXfvrI=")</f>
        <v>#VALUE!</v>
      </c>
      <c r="FX45" t="e">
        <f>AND('UP133'!FM6,"AAAAAHXfvrM=")</f>
        <v>#VALUE!</v>
      </c>
      <c r="FY45" t="e">
        <f>AND('UP133'!FN6,"AAAAAHXfvrQ=")</f>
        <v>#VALUE!</v>
      </c>
      <c r="FZ45" t="e">
        <f>AND('UP133'!FO6,"AAAAAHXfvrU=")</f>
        <v>#VALUE!</v>
      </c>
      <c r="GA45" t="e">
        <f>AND('UP133'!FP6,"AAAAAHXfvrY=")</f>
        <v>#VALUE!</v>
      </c>
      <c r="GB45" t="e">
        <f>AND('UP133'!FQ6,"AAAAAHXfvrc=")</f>
        <v>#VALUE!</v>
      </c>
      <c r="GC45" t="e">
        <f>AND('UP133'!FR6,"AAAAAHXfvrg=")</f>
        <v>#VALUE!</v>
      </c>
      <c r="GD45" t="e">
        <f>AND('UP133'!FS6,"AAAAAHXfvrk=")</f>
        <v>#VALUE!</v>
      </c>
      <c r="GE45" t="e">
        <f>AND('UP133'!FT6,"AAAAAHXfvro=")</f>
        <v>#VALUE!</v>
      </c>
      <c r="GF45" t="e">
        <f>AND('UP133'!FU6,"AAAAAHXfvrs=")</f>
        <v>#VALUE!</v>
      </c>
      <c r="GG45" t="e">
        <f>AND('UP133'!FV6,"AAAAAHXfvrw=")</f>
        <v>#VALUE!</v>
      </c>
      <c r="GH45" t="e">
        <f>AND('UP133'!FW6,"AAAAAHXfvr0=")</f>
        <v>#VALUE!</v>
      </c>
      <c r="GI45" t="e">
        <f>AND('UP133'!FX6,"AAAAAHXfvr4=")</f>
        <v>#VALUE!</v>
      </c>
      <c r="GJ45" t="e">
        <f>AND('UP133'!FY6,"AAAAAHXfvr8=")</f>
        <v>#VALUE!</v>
      </c>
      <c r="GK45" t="e">
        <f>AND('UP133'!FZ6,"AAAAAHXfvsA=")</f>
        <v>#VALUE!</v>
      </c>
      <c r="GL45" t="e">
        <f>AND('UP133'!GA6,"AAAAAHXfvsE=")</f>
        <v>#VALUE!</v>
      </c>
      <c r="GM45" t="e">
        <f>AND('UP133'!GB6,"AAAAAHXfvsI=")</f>
        <v>#VALUE!</v>
      </c>
      <c r="GN45" t="e">
        <f>AND('UP133'!GC6,"AAAAAHXfvsM=")</f>
        <v>#VALUE!</v>
      </c>
      <c r="GO45" t="e">
        <f>AND('UP133'!GD6,"AAAAAHXfvsQ=")</f>
        <v>#VALUE!</v>
      </c>
      <c r="GP45" t="e">
        <f>AND('UP133'!GE6,"AAAAAHXfvsU=")</f>
        <v>#VALUE!</v>
      </c>
      <c r="GQ45" t="e">
        <f>AND('UP133'!GF6,"AAAAAHXfvsY=")</f>
        <v>#VALUE!</v>
      </c>
      <c r="GR45" t="e">
        <f>AND('UP133'!GG6,"AAAAAHXfvsc=")</f>
        <v>#VALUE!</v>
      </c>
      <c r="GS45" t="e">
        <f>AND('UP133'!GH6,"AAAAAHXfvsg=")</f>
        <v>#VALUE!</v>
      </c>
      <c r="GT45" t="e">
        <f>AND('UP133'!GI6,"AAAAAHXfvsk=")</f>
        <v>#VALUE!</v>
      </c>
      <c r="GU45" t="e">
        <f>AND('UP133'!GJ6,"AAAAAHXfvso=")</f>
        <v>#VALUE!</v>
      </c>
      <c r="GV45" t="e">
        <f>AND('UP133'!GK6,"AAAAAHXfvss=")</f>
        <v>#VALUE!</v>
      </c>
      <c r="GW45" t="e">
        <f>AND('UP133'!GL6,"AAAAAHXfvsw=")</f>
        <v>#VALUE!</v>
      </c>
      <c r="GX45" t="e">
        <f>AND('UP133'!GM6,"AAAAAHXfvs0=")</f>
        <v>#VALUE!</v>
      </c>
      <c r="GY45" t="e">
        <f>AND('UP133'!GN6,"AAAAAHXfvs4=")</f>
        <v>#VALUE!</v>
      </c>
      <c r="GZ45" t="e">
        <f>AND('UP133'!GO6,"AAAAAHXfvs8=")</f>
        <v>#VALUE!</v>
      </c>
      <c r="HA45" t="e">
        <f>AND('UP133'!GP6,"AAAAAHXfvtA=")</f>
        <v>#VALUE!</v>
      </c>
      <c r="HB45" t="e">
        <f>AND('UP133'!GQ6,"AAAAAHXfvtE=")</f>
        <v>#VALUE!</v>
      </c>
      <c r="HC45" t="e">
        <f>AND('UP133'!GR6,"AAAAAHXfvtI=")</f>
        <v>#VALUE!</v>
      </c>
      <c r="HD45" t="e">
        <f>AND('UP133'!GS6,"AAAAAHXfvtM=")</f>
        <v>#VALUE!</v>
      </c>
      <c r="HE45" t="e">
        <f>AND('UP133'!GT6,"AAAAAHXfvtQ=")</f>
        <v>#VALUE!</v>
      </c>
      <c r="HF45" t="e">
        <f>AND('UP133'!GU6,"AAAAAHXfvtU=")</f>
        <v>#VALUE!</v>
      </c>
      <c r="HG45" t="e">
        <f>AND('UP133'!GV6,"AAAAAHXfvtY=")</f>
        <v>#VALUE!</v>
      </c>
      <c r="HH45" t="e">
        <f>AND('UP133'!GW6,"AAAAAHXfvtc=")</f>
        <v>#VALUE!</v>
      </c>
      <c r="HI45" t="e">
        <f>AND('UP133'!GX6,"AAAAAHXfvtg=")</f>
        <v>#VALUE!</v>
      </c>
      <c r="HJ45" t="e">
        <f>AND('UP133'!GY6,"AAAAAHXfvtk=")</f>
        <v>#VALUE!</v>
      </c>
      <c r="HK45" t="e">
        <f>AND('UP133'!GZ6,"AAAAAHXfvto=")</f>
        <v>#VALUE!</v>
      </c>
      <c r="HL45" t="e">
        <f>AND('UP133'!HA6,"AAAAAHXfvts=")</f>
        <v>#VALUE!</v>
      </c>
      <c r="HM45" t="e">
        <f>AND('UP133'!HB6,"AAAAAHXfvtw=")</f>
        <v>#VALUE!</v>
      </c>
      <c r="HN45" t="e">
        <f>AND('UP133'!HC6,"AAAAAHXfvt0=")</f>
        <v>#VALUE!</v>
      </c>
      <c r="HO45" t="e">
        <f>AND('UP133'!HD6,"AAAAAHXfvt4=")</f>
        <v>#VALUE!</v>
      </c>
      <c r="HP45" t="e">
        <f>AND('UP133'!HE6,"AAAAAHXfvt8=")</f>
        <v>#VALUE!</v>
      </c>
      <c r="HQ45" t="e">
        <f>AND('UP133'!HF6,"AAAAAHXfvuA=")</f>
        <v>#VALUE!</v>
      </c>
      <c r="HR45" t="e">
        <f>AND('UP133'!HG6,"AAAAAHXfvuE=")</f>
        <v>#VALUE!</v>
      </c>
      <c r="HS45" t="e">
        <f>AND('UP133'!HH6,"AAAAAHXfvuI=")</f>
        <v>#VALUE!</v>
      </c>
      <c r="HT45" t="e">
        <f>AND('UP133'!HI6,"AAAAAHXfvuM=")</f>
        <v>#VALUE!</v>
      </c>
      <c r="HU45" t="e">
        <f>AND('UP133'!HJ6,"AAAAAHXfvuQ=")</f>
        <v>#VALUE!</v>
      </c>
      <c r="HV45" t="e">
        <f>AND('UP133'!HK6,"AAAAAHXfvuU=")</f>
        <v>#VALUE!</v>
      </c>
      <c r="HW45" t="e">
        <f>AND('UP133'!HL6,"AAAAAHXfvuY=")</f>
        <v>#VALUE!</v>
      </c>
      <c r="HX45" t="e">
        <f>AND('UP133'!HM6,"AAAAAHXfvuc=")</f>
        <v>#VALUE!</v>
      </c>
      <c r="HY45" t="e">
        <f>AND('UP133'!HN6,"AAAAAHXfvug=")</f>
        <v>#VALUE!</v>
      </c>
      <c r="HZ45" t="e">
        <f>AND('UP133'!HO6,"AAAAAHXfvuk=")</f>
        <v>#VALUE!</v>
      </c>
      <c r="IA45" t="e">
        <f>AND('UP133'!HP6,"AAAAAHXfvuo=")</f>
        <v>#VALUE!</v>
      </c>
      <c r="IB45" t="e">
        <f>AND('UP133'!HQ6,"AAAAAHXfvus=")</f>
        <v>#VALUE!</v>
      </c>
      <c r="IC45" t="e">
        <f>AND('UP133'!HR6,"AAAAAHXfvuw=")</f>
        <v>#VALUE!</v>
      </c>
      <c r="ID45" t="e">
        <f>AND('UP133'!HS6,"AAAAAHXfvu0=")</f>
        <v>#VALUE!</v>
      </c>
      <c r="IE45" t="e">
        <f>AND('UP133'!HT6,"AAAAAHXfvu4=")</f>
        <v>#VALUE!</v>
      </c>
      <c r="IF45" t="e">
        <f>AND('UP133'!HU6,"AAAAAHXfvu8=")</f>
        <v>#VALUE!</v>
      </c>
      <c r="IG45" t="e">
        <f>AND('UP133'!HV6,"AAAAAHXfvvA=")</f>
        <v>#VALUE!</v>
      </c>
      <c r="IH45" t="e">
        <f>AND('UP133'!HW6,"AAAAAHXfvvE=")</f>
        <v>#VALUE!</v>
      </c>
      <c r="II45" t="e">
        <f>AND('UP133'!HX6,"AAAAAHXfvvI=")</f>
        <v>#VALUE!</v>
      </c>
      <c r="IJ45" t="e">
        <f>AND('UP133'!HY6,"AAAAAHXfvvM=")</f>
        <v>#VALUE!</v>
      </c>
      <c r="IK45" t="e">
        <f>AND('UP133'!HZ6,"AAAAAHXfvvQ=")</f>
        <v>#VALUE!</v>
      </c>
      <c r="IL45" t="e">
        <f>AND('UP133'!IA6,"AAAAAHXfvvU=")</f>
        <v>#VALUE!</v>
      </c>
      <c r="IM45" t="e">
        <f>AND('UP133'!IB6,"AAAAAHXfvvY=")</f>
        <v>#VALUE!</v>
      </c>
      <c r="IN45" t="e">
        <f>AND('UP133'!IC6,"AAAAAHXfvvc=")</f>
        <v>#VALUE!</v>
      </c>
      <c r="IO45" t="e">
        <f>AND('UP133'!ID6,"AAAAAHXfvvg=")</f>
        <v>#VALUE!</v>
      </c>
      <c r="IP45" t="e">
        <f>AND('UP133'!IE6,"AAAAAHXfvvk=")</f>
        <v>#VALUE!</v>
      </c>
      <c r="IQ45" t="e">
        <f>AND('UP133'!IF6,"AAAAAHXfvvo=")</f>
        <v>#VALUE!</v>
      </c>
      <c r="IR45" t="e">
        <f>AND('UP133'!IG6,"AAAAAHXfvvs=")</f>
        <v>#VALUE!</v>
      </c>
      <c r="IS45" t="e">
        <f>AND('UP133'!IH6,"AAAAAHXfvvw=")</f>
        <v>#VALUE!</v>
      </c>
      <c r="IT45" t="e">
        <f>AND('UP133'!II6,"AAAAAHXfvv0=")</f>
        <v>#VALUE!</v>
      </c>
      <c r="IU45" t="e">
        <f>AND('UP133'!IJ6,"AAAAAHXfvv4=")</f>
        <v>#VALUE!</v>
      </c>
      <c r="IV45" t="e">
        <f>AND('UP133'!IK6,"AAAAAHXfvv8=")</f>
        <v>#VALUE!</v>
      </c>
    </row>
    <row r="46" spans="1:256">
      <c r="A46" t="e">
        <f>AND('UP133'!IL6,"AAAAADt/3wA=")</f>
        <v>#VALUE!</v>
      </c>
      <c r="B46" t="e">
        <f>AND('UP133'!IM6,"AAAAADt/3wE=")</f>
        <v>#VALUE!</v>
      </c>
      <c r="C46" t="e">
        <f>AND('UP133'!IN6,"AAAAADt/3wI=")</f>
        <v>#VALUE!</v>
      </c>
      <c r="D46" t="e">
        <f>AND('UP133'!IO6,"AAAAADt/3wM=")</f>
        <v>#VALUE!</v>
      </c>
      <c r="E46" t="e">
        <f>AND('UP133'!IP6,"AAAAADt/3wQ=")</f>
        <v>#VALUE!</v>
      </c>
      <c r="F46" t="e">
        <f>AND('UP133'!IQ6,"AAAAADt/3wU=")</f>
        <v>#VALUE!</v>
      </c>
      <c r="G46" t="str">
        <f>IF('UP133'!7:7,"AAAAADt/3wY=",0)</f>
        <v>AAAAADt/3wY=</v>
      </c>
      <c r="H46" t="e">
        <f>AND('UP133'!A7,"AAAAADt/3wc=")</f>
        <v>#VALUE!</v>
      </c>
      <c r="I46" t="e">
        <f>AND('UP133'!B7,"AAAAADt/3wg=")</f>
        <v>#VALUE!</v>
      </c>
      <c r="J46" t="e">
        <f>AND('UP133'!C7,"AAAAADt/3wk=")</f>
        <v>#VALUE!</v>
      </c>
      <c r="K46" t="e">
        <f>AND('UP133'!D7,"AAAAADt/3wo=")</f>
        <v>#VALUE!</v>
      </c>
      <c r="L46" t="e">
        <f>AND('UP133'!E7,"AAAAADt/3ws=")</f>
        <v>#VALUE!</v>
      </c>
      <c r="M46" t="e">
        <f>AND('UP133'!F7,"AAAAADt/3ww=")</f>
        <v>#VALUE!</v>
      </c>
      <c r="N46" t="e">
        <f>AND('UP133'!G7,"AAAAADt/3w0=")</f>
        <v>#VALUE!</v>
      </c>
      <c r="O46" t="e">
        <f>AND('UP133'!H7,"AAAAADt/3w4=")</f>
        <v>#VALUE!</v>
      </c>
      <c r="P46" t="e">
        <f>AND('UP133'!I7,"AAAAADt/3w8=")</f>
        <v>#VALUE!</v>
      </c>
      <c r="Q46" t="e">
        <f>AND('UP133'!J7,"AAAAADt/3xA=")</f>
        <v>#VALUE!</v>
      </c>
      <c r="R46" t="e">
        <f>AND('UP133'!K7,"AAAAADt/3xE=")</f>
        <v>#VALUE!</v>
      </c>
      <c r="S46" t="e">
        <f>AND('UP133'!L7,"AAAAADt/3xI=")</f>
        <v>#VALUE!</v>
      </c>
      <c r="T46" t="e">
        <f>AND('UP133'!M7,"AAAAADt/3xM=")</f>
        <v>#VALUE!</v>
      </c>
      <c r="U46" t="e">
        <f>AND('UP133'!N7,"AAAAADt/3xQ=")</f>
        <v>#VALUE!</v>
      </c>
      <c r="V46" t="e">
        <f>AND('UP133'!O7,"AAAAADt/3xU=")</f>
        <v>#VALUE!</v>
      </c>
      <c r="W46" t="e">
        <f>AND('UP133'!P7,"AAAAADt/3xY=")</f>
        <v>#VALUE!</v>
      </c>
      <c r="X46" t="e">
        <f>AND('UP133'!Q7,"AAAAADt/3xc=")</f>
        <v>#VALUE!</v>
      </c>
      <c r="Y46" t="e">
        <f>AND('UP133'!R7,"AAAAADt/3xg=")</f>
        <v>#VALUE!</v>
      </c>
      <c r="Z46" t="e">
        <f>AND('UP133'!S7,"AAAAADt/3xk=")</f>
        <v>#VALUE!</v>
      </c>
      <c r="AA46" t="e">
        <f>AND('UP133'!T7,"AAAAADt/3xo=")</f>
        <v>#VALUE!</v>
      </c>
      <c r="AB46" t="e">
        <f>AND('UP133'!U7,"AAAAADt/3xs=")</f>
        <v>#VALUE!</v>
      </c>
      <c r="AC46" t="e">
        <f>AND('UP133'!V7,"AAAAADt/3xw=")</f>
        <v>#VALUE!</v>
      </c>
      <c r="AD46" t="e">
        <f>AND('UP133'!W7,"AAAAADt/3x0=")</f>
        <v>#VALUE!</v>
      </c>
      <c r="AE46" t="e">
        <f>AND('UP133'!X7,"AAAAADt/3x4=")</f>
        <v>#VALUE!</v>
      </c>
      <c r="AF46" t="e">
        <f>AND('UP133'!Y7,"AAAAADt/3x8=")</f>
        <v>#VALUE!</v>
      </c>
      <c r="AG46" t="e">
        <f>AND('UP133'!Z7,"AAAAADt/3yA=")</f>
        <v>#VALUE!</v>
      </c>
      <c r="AH46" t="e">
        <f>AND('UP133'!AA7,"AAAAADt/3yE=")</f>
        <v>#VALUE!</v>
      </c>
      <c r="AI46" t="e">
        <f>AND('UP133'!AB7,"AAAAADt/3yI=")</f>
        <v>#VALUE!</v>
      </c>
      <c r="AJ46" t="e">
        <f>AND('UP133'!AC7,"AAAAADt/3yM=")</f>
        <v>#VALUE!</v>
      </c>
      <c r="AK46" t="e">
        <f>AND('UP133'!AD7,"AAAAADt/3yQ=")</f>
        <v>#VALUE!</v>
      </c>
      <c r="AL46" t="e">
        <f>AND('UP133'!AE7,"AAAAADt/3yU=")</f>
        <v>#VALUE!</v>
      </c>
      <c r="AM46" t="e">
        <f>AND('UP133'!AF7,"AAAAADt/3yY=")</f>
        <v>#VALUE!</v>
      </c>
      <c r="AN46" t="e">
        <f>AND('UP133'!AG7,"AAAAADt/3yc=")</f>
        <v>#VALUE!</v>
      </c>
      <c r="AO46" t="e">
        <f>AND('UP133'!AH7,"AAAAADt/3yg=")</f>
        <v>#VALUE!</v>
      </c>
      <c r="AP46" t="e">
        <f>AND('UP133'!AI7,"AAAAADt/3yk=")</f>
        <v>#VALUE!</v>
      </c>
      <c r="AQ46" t="e">
        <f>AND('UP133'!AJ7,"AAAAADt/3yo=")</f>
        <v>#VALUE!</v>
      </c>
      <c r="AR46" t="e">
        <f>AND('UP133'!AK7,"AAAAADt/3ys=")</f>
        <v>#VALUE!</v>
      </c>
      <c r="AS46" t="e">
        <f>AND('UP133'!AL7,"AAAAADt/3yw=")</f>
        <v>#VALUE!</v>
      </c>
      <c r="AT46" t="e">
        <f>AND('UP133'!AM7,"AAAAADt/3y0=")</f>
        <v>#VALUE!</v>
      </c>
      <c r="AU46" t="e">
        <f>AND('UP133'!AN7,"AAAAADt/3y4=")</f>
        <v>#VALUE!</v>
      </c>
      <c r="AV46" t="e">
        <f>AND('UP133'!AO7,"AAAAADt/3y8=")</f>
        <v>#VALUE!</v>
      </c>
      <c r="AW46" t="e">
        <f>AND('UP133'!AP7,"AAAAADt/3zA=")</f>
        <v>#VALUE!</v>
      </c>
      <c r="AX46" t="e">
        <f>AND('UP133'!AQ7,"AAAAADt/3zE=")</f>
        <v>#VALUE!</v>
      </c>
      <c r="AY46" t="e">
        <f>AND('UP133'!AR7,"AAAAADt/3zI=")</f>
        <v>#VALUE!</v>
      </c>
      <c r="AZ46" t="e">
        <f>AND('UP133'!AS7,"AAAAADt/3zM=")</f>
        <v>#VALUE!</v>
      </c>
      <c r="BA46" t="e">
        <f>AND('UP133'!AT7,"AAAAADt/3zQ=")</f>
        <v>#VALUE!</v>
      </c>
      <c r="BB46" t="e">
        <f>AND('UP133'!AU7,"AAAAADt/3zU=")</f>
        <v>#VALUE!</v>
      </c>
      <c r="BC46" t="e">
        <f>AND('UP133'!AV7,"AAAAADt/3zY=")</f>
        <v>#VALUE!</v>
      </c>
      <c r="BD46" t="e">
        <f>AND('UP133'!AW7,"AAAAADt/3zc=")</f>
        <v>#VALUE!</v>
      </c>
      <c r="BE46" t="e">
        <f>AND('UP133'!AX7,"AAAAADt/3zg=")</f>
        <v>#VALUE!</v>
      </c>
      <c r="BF46" t="e">
        <f>AND('UP133'!AY7,"AAAAADt/3zk=")</f>
        <v>#VALUE!</v>
      </c>
      <c r="BG46" t="e">
        <f>AND('UP133'!AZ7,"AAAAADt/3zo=")</f>
        <v>#VALUE!</v>
      </c>
      <c r="BH46" t="e">
        <f>AND('UP133'!BA7,"AAAAADt/3zs=")</f>
        <v>#VALUE!</v>
      </c>
      <c r="BI46" t="e">
        <f>AND('UP133'!BB7,"AAAAADt/3zw=")</f>
        <v>#VALUE!</v>
      </c>
      <c r="BJ46" t="e">
        <f>AND('UP133'!BC7,"AAAAADt/3z0=")</f>
        <v>#VALUE!</v>
      </c>
      <c r="BK46" t="e">
        <f>AND('UP133'!BD7,"AAAAADt/3z4=")</f>
        <v>#VALUE!</v>
      </c>
      <c r="BL46" t="e">
        <f>AND('UP133'!BE7,"AAAAADt/3z8=")</f>
        <v>#VALUE!</v>
      </c>
      <c r="BM46" t="e">
        <f>AND('UP133'!BF7,"AAAAADt/30A=")</f>
        <v>#VALUE!</v>
      </c>
      <c r="BN46" t="e">
        <f>AND('UP133'!BG7,"AAAAADt/30E=")</f>
        <v>#VALUE!</v>
      </c>
      <c r="BO46" t="e">
        <f>AND('UP133'!BH7,"AAAAADt/30I=")</f>
        <v>#VALUE!</v>
      </c>
      <c r="BP46" t="e">
        <f>AND('UP133'!BI7,"AAAAADt/30M=")</f>
        <v>#VALUE!</v>
      </c>
      <c r="BQ46" t="e">
        <f>AND('UP133'!BJ7,"AAAAADt/30Q=")</f>
        <v>#VALUE!</v>
      </c>
      <c r="BR46" t="e">
        <f>AND('UP133'!BK7,"AAAAADt/30U=")</f>
        <v>#VALUE!</v>
      </c>
      <c r="BS46" t="e">
        <f>AND('UP133'!BL7,"AAAAADt/30Y=")</f>
        <v>#VALUE!</v>
      </c>
      <c r="BT46" t="e">
        <f>AND('UP133'!BM7,"AAAAADt/30c=")</f>
        <v>#VALUE!</v>
      </c>
      <c r="BU46" t="e">
        <f>AND('UP133'!BN7,"AAAAADt/30g=")</f>
        <v>#VALUE!</v>
      </c>
      <c r="BV46" t="e">
        <f>AND('UP133'!BO7,"AAAAADt/30k=")</f>
        <v>#VALUE!</v>
      </c>
      <c r="BW46" t="e">
        <f>AND('UP133'!BP7,"AAAAADt/30o=")</f>
        <v>#VALUE!</v>
      </c>
      <c r="BX46" t="e">
        <f>AND('UP133'!BQ7,"AAAAADt/30s=")</f>
        <v>#VALUE!</v>
      </c>
      <c r="BY46" t="e">
        <f>AND('UP133'!BR7,"AAAAADt/30w=")</f>
        <v>#VALUE!</v>
      </c>
      <c r="BZ46" t="e">
        <f>AND('UP133'!BS7,"AAAAADt/300=")</f>
        <v>#VALUE!</v>
      </c>
      <c r="CA46" t="e">
        <f>AND('UP133'!BT7,"AAAAADt/304=")</f>
        <v>#VALUE!</v>
      </c>
      <c r="CB46" t="e">
        <f>AND('UP133'!BU7,"AAAAADt/308=")</f>
        <v>#VALUE!</v>
      </c>
      <c r="CC46" t="e">
        <f>AND('UP133'!BV7,"AAAAADt/31A=")</f>
        <v>#VALUE!</v>
      </c>
      <c r="CD46" t="e">
        <f>AND('UP133'!BW7,"AAAAADt/31E=")</f>
        <v>#VALUE!</v>
      </c>
      <c r="CE46" t="e">
        <f>AND('UP133'!BX7,"AAAAADt/31I=")</f>
        <v>#VALUE!</v>
      </c>
      <c r="CF46" t="e">
        <f>AND('UP133'!BY7,"AAAAADt/31M=")</f>
        <v>#VALUE!</v>
      </c>
      <c r="CG46" t="e">
        <f>AND('UP133'!BZ7,"AAAAADt/31Q=")</f>
        <v>#VALUE!</v>
      </c>
      <c r="CH46" t="e">
        <f>AND('UP133'!CA7,"AAAAADt/31U=")</f>
        <v>#VALUE!</v>
      </c>
      <c r="CI46" t="e">
        <f>AND('UP133'!CB7,"AAAAADt/31Y=")</f>
        <v>#VALUE!</v>
      </c>
      <c r="CJ46" t="e">
        <f>AND('UP133'!CC7,"AAAAADt/31c=")</f>
        <v>#VALUE!</v>
      </c>
      <c r="CK46" t="e">
        <f>AND('UP133'!CD7,"AAAAADt/31g=")</f>
        <v>#VALUE!</v>
      </c>
      <c r="CL46" t="e">
        <f>AND('UP133'!CE7,"AAAAADt/31k=")</f>
        <v>#VALUE!</v>
      </c>
      <c r="CM46" t="e">
        <f>AND('UP133'!CF7,"AAAAADt/31o=")</f>
        <v>#VALUE!</v>
      </c>
      <c r="CN46" t="e">
        <f>AND('UP133'!CG7,"AAAAADt/31s=")</f>
        <v>#VALUE!</v>
      </c>
      <c r="CO46" t="e">
        <f>AND('UP133'!CH7,"AAAAADt/31w=")</f>
        <v>#VALUE!</v>
      </c>
      <c r="CP46" t="e">
        <f>AND('UP133'!CI7,"AAAAADt/310=")</f>
        <v>#VALUE!</v>
      </c>
      <c r="CQ46" t="e">
        <f>AND('UP133'!CJ7,"AAAAADt/314=")</f>
        <v>#VALUE!</v>
      </c>
      <c r="CR46" t="e">
        <f>AND('UP133'!CK7,"AAAAADt/318=")</f>
        <v>#VALUE!</v>
      </c>
      <c r="CS46" t="e">
        <f>AND('UP133'!CL7,"AAAAADt/32A=")</f>
        <v>#VALUE!</v>
      </c>
      <c r="CT46" t="e">
        <f>AND('UP133'!CM7,"AAAAADt/32E=")</f>
        <v>#VALUE!</v>
      </c>
      <c r="CU46" t="e">
        <f>AND('UP133'!CN7,"AAAAADt/32I=")</f>
        <v>#VALUE!</v>
      </c>
      <c r="CV46" t="e">
        <f>AND('UP133'!CO7,"AAAAADt/32M=")</f>
        <v>#VALUE!</v>
      </c>
      <c r="CW46" t="e">
        <f>AND('UP133'!CP7,"AAAAADt/32Q=")</f>
        <v>#VALUE!</v>
      </c>
      <c r="CX46" t="e">
        <f>AND('UP133'!CQ7,"AAAAADt/32U=")</f>
        <v>#VALUE!</v>
      </c>
      <c r="CY46" t="e">
        <f>AND('UP133'!CR7,"AAAAADt/32Y=")</f>
        <v>#VALUE!</v>
      </c>
      <c r="CZ46" t="e">
        <f>AND('UP133'!CS7,"AAAAADt/32c=")</f>
        <v>#VALUE!</v>
      </c>
      <c r="DA46" t="e">
        <f>AND('UP133'!CT7,"AAAAADt/32g=")</f>
        <v>#VALUE!</v>
      </c>
      <c r="DB46" t="e">
        <f>AND('UP133'!CU7,"AAAAADt/32k=")</f>
        <v>#VALUE!</v>
      </c>
      <c r="DC46" t="e">
        <f>AND('UP133'!CV7,"AAAAADt/32o=")</f>
        <v>#VALUE!</v>
      </c>
      <c r="DD46" t="e">
        <f>AND('UP133'!CW7,"AAAAADt/32s=")</f>
        <v>#VALUE!</v>
      </c>
      <c r="DE46" t="e">
        <f>AND('UP133'!CX7,"AAAAADt/32w=")</f>
        <v>#VALUE!</v>
      </c>
      <c r="DF46" t="e">
        <f>AND('UP133'!CY7,"AAAAADt/320=")</f>
        <v>#VALUE!</v>
      </c>
      <c r="DG46" t="e">
        <f>AND('UP133'!CZ7,"AAAAADt/324=")</f>
        <v>#VALUE!</v>
      </c>
      <c r="DH46" t="e">
        <f>AND('UP133'!DA7,"AAAAADt/328=")</f>
        <v>#VALUE!</v>
      </c>
      <c r="DI46" t="e">
        <f>AND('UP133'!DB7,"AAAAADt/33A=")</f>
        <v>#VALUE!</v>
      </c>
      <c r="DJ46" t="e">
        <f>AND('UP133'!DC7,"AAAAADt/33E=")</f>
        <v>#VALUE!</v>
      </c>
      <c r="DK46" t="e">
        <f>AND('UP133'!DD7,"AAAAADt/33I=")</f>
        <v>#VALUE!</v>
      </c>
      <c r="DL46" t="e">
        <f>AND('UP133'!DE7,"AAAAADt/33M=")</f>
        <v>#VALUE!</v>
      </c>
      <c r="DM46" t="e">
        <f>AND('UP133'!DF7,"AAAAADt/33Q=")</f>
        <v>#VALUE!</v>
      </c>
      <c r="DN46" t="e">
        <f>AND('UP133'!DG7,"AAAAADt/33U=")</f>
        <v>#VALUE!</v>
      </c>
      <c r="DO46" t="e">
        <f>AND('UP133'!DH7,"AAAAADt/33Y=")</f>
        <v>#VALUE!</v>
      </c>
      <c r="DP46" t="e">
        <f>AND('UP133'!DI7,"AAAAADt/33c=")</f>
        <v>#VALUE!</v>
      </c>
      <c r="DQ46" t="e">
        <f>AND('UP133'!DJ7,"AAAAADt/33g=")</f>
        <v>#VALUE!</v>
      </c>
      <c r="DR46" t="e">
        <f>AND('UP133'!DK7,"AAAAADt/33k=")</f>
        <v>#VALUE!</v>
      </c>
      <c r="DS46" t="e">
        <f>AND('UP133'!DL7,"AAAAADt/33o=")</f>
        <v>#VALUE!</v>
      </c>
      <c r="DT46" t="e">
        <f>AND('UP133'!DM7,"AAAAADt/33s=")</f>
        <v>#VALUE!</v>
      </c>
      <c r="DU46" t="e">
        <f>AND('UP133'!DN7,"AAAAADt/33w=")</f>
        <v>#VALUE!</v>
      </c>
      <c r="DV46" t="e">
        <f>AND('UP133'!DO7,"AAAAADt/330=")</f>
        <v>#VALUE!</v>
      </c>
      <c r="DW46" t="e">
        <f>AND('UP133'!DP7,"AAAAADt/334=")</f>
        <v>#VALUE!</v>
      </c>
      <c r="DX46" t="e">
        <f>AND('UP133'!DQ7,"AAAAADt/338=")</f>
        <v>#VALUE!</v>
      </c>
      <c r="DY46" t="e">
        <f>AND('UP133'!DR7,"AAAAADt/34A=")</f>
        <v>#VALUE!</v>
      </c>
      <c r="DZ46" t="e">
        <f>AND('UP133'!DS7,"AAAAADt/34E=")</f>
        <v>#VALUE!</v>
      </c>
      <c r="EA46" t="e">
        <f>AND('UP133'!DT7,"AAAAADt/34I=")</f>
        <v>#VALUE!</v>
      </c>
      <c r="EB46" t="e">
        <f>AND('UP133'!DU7,"AAAAADt/34M=")</f>
        <v>#VALUE!</v>
      </c>
      <c r="EC46" t="e">
        <f>AND('UP133'!DV7,"AAAAADt/34Q=")</f>
        <v>#VALUE!</v>
      </c>
      <c r="ED46" t="e">
        <f>AND('UP133'!DW7,"AAAAADt/34U=")</f>
        <v>#VALUE!</v>
      </c>
      <c r="EE46" t="e">
        <f>AND('UP133'!DX7,"AAAAADt/34Y=")</f>
        <v>#VALUE!</v>
      </c>
      <c r="EF46" t="e">
        <f>AND('UP133'!DY7,"AAAAADt/34c=")</f>
        <v>#VALUE!</v>
      </c>
      <c r="EG46" t="e">
        <f>AND('UP133'!DZ7,"AAAAADt/34g=")</f>
        <v>#VALUE!</v>
      </c>
      <c r="EH46" t="e">
        <f>AND('UP133'!EA7,"AAAAADt/34k=")</f>
        <v>#VALUE!</v>
      </c>
      <c r="EI46" t="e">
        <f>AND('UP133'!EB7,"AAAAADt/34o=")</f>
        <v>#VALUE!</v>
      </c>
      <c r="EJ46" t="e">
        <f>AND('UP133'!EC7,"AAAAADt/34s=")</f>
        <v>#VALUE!</v>
      </c>
      <c r="EK46" t="e">
        <f>AND('UP133'!ED7,"AAAAADt/34w=")</f>
        <v>#VALUE!</v>
      </c>
      <c r="EL46" t="e">
        <f>AND('UP133'!EE7,"AAAAADt/340=")</f>
        <v>#VALUE!</v>
      </c>
      <c r="EM46" t="e">
        <f>AND('UP133'!EF7,"AAAAADt/344=")</f>
        <v>#VALUE!</v>
      </c>
      <c r="EN46" t="e">
        <f>AND('UP133'!EG7,"AAAAADt/348=")</f>
        <v>#VALUE!</v>
      </c>
      <c r="EO46" t="e">
        <f>AND('UP133'!EH7,"AAAAADt/35A=")</f>
        <v>#VALUE!</v>
      </c>
      <c r="EP46" t="e">
        <f>AND('UP133'!EI7,"AAAAADt/35E=")</f>
        <v>#VALUE!</v>
      </c>
      <c r="EQ46" t="e">
        <f>AND('UP133'!EJ7,"AAAAADt/35I=")</f>
        <v>#VALUE!</v>
      </c>
      <c r="ER46" t="e">
        <f>AND('UP133'!EK7,"AAAAADt/35M=")</f>
        <v>#VALUE!</v>
      </c>
      <c r="ES46" t="e">
        <f>AND('UP133'!EL7,"AAAAADt/35Q=")</f>
        <v>#VALUE!</v>
      </c>
      <c r="ET46" t="e">
        <f>AND('UP133'!EM7,"AAAAADt/35U=")</f>
        <v>#VALUE!</v>
      </c>
      <c r="EU46" t="e">
        <f>AND('UP133'!EN7,"AAAAADt/35Y=")</f>
        <v>#VALUE!</v>
      </c>
      <c r="EV46" t="e">
        <f>AND('UP133'!EO7,"AAAAADt/35c=")</f>
        <v>#VALUE!</v>
      </c>
      <c r="EW46" t="e">
        <f>AND('UP133'!EP7,"AAAAADt/35g=")</f>
        <v>#VALUE!</v>
      </c>
      <c r="EX46" t="e">
        <f>AND('UP133'!EQ7,"AAAAADt/35k=")</f>
        <v>#VALUE!</v>
      </c>
      <c r="EY46" t="e">
        <f>AND('UP133'!ER7,"AAAAADt/35o=")</f>
        <v>#VALUE!</v>
      </c>
      <c r="EZ46" t="e">
        <f>AND('UP133'!ES7,"AAAAADt/35s=")</f>
        <v>#VALUE!</v>
      </c>
      <c r="FA46" t="e">
        <f>AND('UP133'!ET7,"AAAAADt/35w=")</f>
        <v>#VALUE!</v>
      </c>
      <c r="FB46" t="e">
        <f>AND('UP133'!EU7,"AAAAADt/350=")</f>
        <v>#VALUE!</v>
      </c>
      <c r="FC46" t="e">
        <f>AND('UP133'!EV7,"AAAAADt/354=")</f>
        <v>#VALUE!</v>
      </c>
      <c r="FD46" t="e">
        <f>AND('UP133'!EW7,"AAAAADt/358=")</f>
        <v>#VALUE!</v>
      </c>
      <c r="FE46" t="e">
        <f>AND('UP133'!EX7,"AAAAADt/36A=")</f>
        <v>#VALUE!</v>
      </c>
      <c r="FF46" t="e">
        <f>AND('UP133'!EY7,"AAAAADt/36E=")</f>
        <v>#VALUE!</v>
      </c>
      <c r="FG46" t="e">
        <f>AND('UP133'!EZ7,"AAAAADt/36I=")</f>
        <v>#VALUE!</v>
      </c>
      <c r="FH46" t="e">
        <f>AND('UP133'!FA7,"AAAAADt/36M=")</f>
        <v>#VALUE!</v>
      </c>
      <c r="FI46" t="e">
        <f>AND('UP133'!FB7,"AAAAADt/36Q=")</f>
        <v>#VALUE!</v>
      </c>
      <c r="FJ46" t="e">
        <f>AND('UP133'!FC7,"AAAAADt/36U=")</f>
        <v>#VALUE!</v>
      </c>
      <c r="FK46" t="e">
        <f>AND('UP133'!FD7,"AAAAADt/36Y=")</f>
        <v>#VALUE!</v>
      </c>
      <c r="FL46" t="e">
        <f>AND('UP133'!FE7,"AAAAADt/36c=")</f>
        <v>#VALUE!</v>
      </c>
      <c r="FM46" t="e">
        <f>AND('UP133'!FF7,"AAAAADt/36g=")</f>
        <v>#VALUE!</v>
      </c>
      <c r="FN46" t="e">
        <f>AND('UP133'!FG7,"AAAAADt/36k=")</f>
        <v>#VALUE!</v>
      </c>
      <c r="FO46" t="e">
        <f>AND('UP133'!FH7,"AAAAADt/36o=")</f>
        <v>#VALUE!</v>
      </c>
      <c r="FP46" t="e">
        <f>AND('UP133'!FI7,"AAAAADt/36s=")</f>
        <v>#VALUE!</v>
      </c>
      <c r="FQ46" t="e">
        <f>AND('UP133'!FJ7,"AAAAADt/36w=")</f>
        <v>#VALUE!</v>
      </c>
      <c r="FR46" t="e">
        <f>AND('UP133'!FK7,"AAAAADt/360=")</f>
        <v>#VALUE!</v>
      </c>
      <c r="FS46" t="e">
        <f>AND('UP133'!FL7,"AAAAADt/364=")</f>
        <v>#VALUE!</v>
      </c>
      <c r="FT46" t="e">
        <f>AND('UP133'!FM7,"AAAAADt/368=")</f>
        <v>#VALUE!</v>
      </c>
      <c r="FU46" t="e">
        <f>AND('UP133'!FN7,"AAAAADt/37A=")</f>
        <v>#VALUE!</v>
      </c>
      <c r="FV46" t="e">
        <f>AND('UP133'!FO7,"AAAAADt/37E=")</f>
        <v>#VALUE!</v>
      </c>
      <c r="FW46" t="e">
        <f>AND('UP133'!FP7,"AAAAADt/37I=")</f>
        <v>#VALUE!</v>
      </c>
      <c r="FX46" t="e">
        <f>AND('UP133'!FQ7,"AAAAADt/37M=")</f>
        <v>#VALUE!</v>
      </c>
      <c r="FY46" t="e">
        <f>AND('UP133'!FR7,"AAAAADt/37Q=")</f>
        <v>#VALUE!</v>
      </c>
      <c r="FZ46" t="e">
        <f>AND('UP133'!FS7,"AAAAADt/37U=")</f>
        <v>#VALUE!</v>
      </c>
      <c r="GA46" t="e">
        <f>AND('UP133'!FT7,"AAAAADt/37Y=")</f>
        <v>#VALUE!</v>
      </c>
      <c r="GB46" t="e">
        <f>AND('UP133'!FU7,"AAAAADt/37c=")</f>
        <v>#VALUE!</v>
      </c>
      <c r="GC46" t="e">
        <f>AND('UP133'!FV7,"AAAAADt/37g=")</f>
        <v>#VALUE!</v>
      </c>
      <c r="GD46" t="e">
        <f>AND('UP133'!FW7,"AAAAADt/37k=")</f>
        <v>#VALUE!</v>
      </c>
      <c r="GE46" t="e">
        <f>AND('UP133'!FX7,"AAAAADt/37o=")</f>
        <v>#VALUE!</v>
      </c>
      <c r="GF46" t="e">
        <f>AND('UP133'!FY7,"AAAAADt/37s=")</f>
        <v>#VALUE!</v>
      </c>
      <c r="GG46" t="e">
        <f>AND('UP133'!FZ7,"AAAAADt/37w=")</f>
        <v>#VALUE!</v>
      </c>
      <c r="GH46" t="e">
        <f>AND('UP133'!GA7,"AAAAADt/370=")</f>
        <v>#VALUE!</v>
      </c>
      <c r="GI46" t="e">
        <f>AND('UP133'!GB7,"AAAAADt/374=")</f>
        <v>#VALUE!</v>
      </c>
      <c r="GJ46" t="e">
        <f>AND('UP133'!GC7,"AAAAADt/378=")</f>
        <v>#VALUE!</v>
      </c>
      <c r="GK46" t="e">
        <f>AND('UP133'!GD7,"AAAAADt/38A=")</f>
        <v>#VALUE!</v>
      </c>
      <c r="GL46" t="e">
        <f>AND('UP133'!GE7,"AAAAADt/38E=")</f>
        <v>#VALUE!</v>
      </c>
      <c r="GM46" t="e">
        <f>AND('UP133'!GF7,"AAAAADt/38I=")</f>
        <v>#VALUE!</v>
      </c>
      <c r="GN46" t="e">
        <f>AND('UP133'!GG7,"AAAAADt/38M=")</f>
        <v>#VALUE!</v>
      </c>
      <c r="GO46" t="e">
        <f>AND('UP133'!GH7,"AAAAADt/38Q=")</f>
        <v>#VALUE!</v>
      </c>
      <c r="GP46" t="e">
        <f>AND('UP133'!GI7,"AAAAADt/38U=")</f>
        <v>#VALUE!</v>
      </c>
      <c r="GQ46" t="e">
        <f>AND('UP133'!GJ7,"AAAAADt/38Y=")</f>
        <v>#VALUE!</v>
      </c>
      <c r="GR46" t="e">
        <f>AND('UP133'!GK7,"AAAAADt/38c=")</f>
        <v>#VALUE!</v>
      </c>
      <c r="GS46" t="e">
        <f>AND('UP133'!GL7,"AAAAADt/38g=")</f>
        <v>#VALUE!</v>
      </c>
      <c r="GT46" t="e">
        <f>AND('UP133'!GM7,"AAAAADt/38k=")</f>
        <v>#VALUE!</v>
      </c>
      <c r="GU46" t="e">
        <f>AND('UP133'!GN7,"AAAAADt/38o=")</f>
        <v>#VALUE!</v>
      </c>
      <c r="GV46" t="e">
        <f>AND('UP133'!GO7,"AAAAADt/38s=")</f>
        <v>#VALUE!</v>
      </c>
      <c r="GW46" t="e">
        <f>AND('UP133'!GP7,"AAAAADt/38w=")</f>
        <v>#VALUE!</v>
      </c>
      <c r="GX46" t="e">
        <f>AND('UP133'!GQ7,"AAAAADt/380=")</f>
        <v>#VALUE!</v>
      </c>
      <c r="GY46" t="e">
        <f>AND('UP133'!GR7,"AAAAADt/384=")</f>
        <v>#VALUE!</v>
      </c>
      <c r="GZ46" t="e">
        <f>AND('UP133'!GS7,"AAAAADt/388=")</f>
        <v>#VALUE!</v>
      </c>
      <c r="HA46" t="e">
        <f>AND('UP133'!GT7,"AAAAADt/39A=")</f>
        <v>#VALUE!</v>
      </c>
      <c r="HB46" t="e">
        <f>AND('UP133'!GU7,"AAAAADt/39E=")</f>
        <v>#VALUE!</v>
      </c>
      <c r="HC46" t="e">
        <f>AND('UP133'!GV7,"AAAAADt/39I=")</f>
        <v>#VALUE!</v>
      </c>
      <c r="HD46" t="e">
        <f>AND('UP133'!GW7,"AAAAADt/39M=")</f>
        <v>#VALUE!</v>
      </c>
      <c r="HE46" t="e">
        <f>AND('UP133'!GX7,"AAAAADt/39Q=")</f>
        <v>#VALUE!</v>
      </c>
      <c r="HF46" t="e">
        <f>AND('UP133'!GY7,"AAAAADt/39U=")</f>
        <v>#VALUE!</v>
      </c>
      <c r="HG46" t="e">
        <f>AND('UP133'!GZ7,"AAAAADt/39Y=")</f>
        <v>#VALUE!</v>
      </c>
      <c r="HH46" t="e">
        <f>AND('UP133'!HA7,"AAAAADt/39c=")</f>
        <v>#VALUE!</v>
      </c>
      <c r="HI46" t="e">
        <f>AND('UP133'!HB7,"AAAAADt/39g=")</f>
        <v>#VALUE!</v>
      </c>
      <c r="HJ46" t="e">
        <f>AND('UP133'!HC7,"AAAAADt/39k=")</f>
        <v>#VALUE!</v>
      </c>
      <c r="HK46" t="e">
        <f>AND('UP133'!HD7,"AAAAADt/39o=")</f>
        <v>#VALUE!</v>
      </c>
      <c r="HL46" t="e">
        <f>AND('UP133'!HE7,"AAAAADt/39s=")</f>
        <v>#VALUE!</v>
      </c>
      <c r="HM46" t="e">
        <f>AND('UP133'!HF7,"AAAAADt/39w=")</f>
        <v>#VALUE!</v>
      </c>
      <c r="HN46" t="e">
        <f>AND('UP133'!HG7,"AAAAADt/390=")</f>
        <v>#VALUE!</v>
      </c>
      <c r="HO46" t="e">
        <f>AND('UP133'!HH7,"AAAAADt/394=")</f>
        <v>#VALUE!</v>
      </c>
      <c r="HP46" t="e">
        <f>AND('UP133'!HI7,"AAAAADt/398=")</f>
        <v>#VALUE!</v>
      </c>
      <c r="HQ46" t="e">
        <f>AND('UP133'!HJ7,"AAAAADt/3+A=")</f>
        <v>#VALUE!</v>
      </c>
      <c r="HR46" t="e">
        <f>AND('UP133'!HK7,"AAAAADt/3+E=")</f>
        <v>#VALUE!</v>
      </c>
      <c r="HS46" t="e">
        <f>AND('UP133'!HL7,"AAAAADt/3+I=")</f>
        <v>#VALUE!</v>
      </c>
      <c r="HT46" t="e">
        <f>AND('UP133'!HM7,"AAAAADt/3+M=")</f>
        <v>#VALUE!</v>
      </c>
      <c r="HU46" t="e">
        <f>AND('UP133'!HN7,"AAAAADt/3+Q=")</f>
        <v>#VALUE!</v>
      </c>
      <c r="HV46" t="e">
        <f>AND('UP133'!HO7,"AAAAADt/3+U=")</f>
        <v>#VALUE!</v>
      </c>
      <c r="HW46" t="e">
        <f>AND('UP133'!HP7,"AAAAADt/3+Y=")</f>
        <v>#VALUE!</v>
      </c>
      <c r="HX46" t="e">
        <f>AND('UP133'!HQ7,"AAAAADt/3+c=")</f>
        <v>#VALUE!</v>
      </c>
      <c r="HY46" t="e">
        <f>AND('UP133'!HR7,"AAAAADt/3+g=")</f>
        <v>#VALUE!</v>
      </c>
      <c r="HZ46" t="e">
        <f>AND('UP133'!HS7,"AAAAADt/3+k=")</f>
        <v>#VALUE!</v>
      </c>
      <c r="IA46" t="e">
        <f>AND('UP133'!HT7,"AAAAADt/3+o=")</f>
        <v>#VALUE!</v>
      </c>
      <c r="IB46" t="e">
        <f>AND('UP133'!HU7,"AAAAADt/3+s=")</f>
        <v>#VALUE!</v>
      </c>
      <c r="IC46" t="e">
        <f>AND('UP133'!HV7,"AAAAADt/3+w=")</f>
        <v>#VALUE!</v>
      </c>
      <c r="ID46" t="e">
        <f>AND('UP133'!HW7,"AAAAADt/3+0=")</f>
        <v>#VALUE!</v>
      </c>
      <c r="IE46" t="e">
        <f>AND('UP133'!HX7,"AAAAADt/3+4=")</f>
        <v>#VALUE!</v>
      </c>
      <c r="IF46" t="e">
        <f>AND('UP133'!HY7,"AAAAADt/3+8=")</f>
        <v>#VALUE!</v>
      </c>
      <c r="IG46" t="e">
        <f>AND('UP133'!HZ7,"AAAAADt/3/A=")</f>
        <v>#VALUE!</v>
      </c>
      <c r="IH46" t="e">
        <f>AND('UP133'!IA7,"AAAAADt/3/E=")</f>
        <v>#VALUE!</v>
      </c>
      <c r="II46" t="e">
        <f>AND('UP133'!IB7,"AAAAADt/3/I=")</f>
        <v>#VALUE!</v>
      </c>
      <c r="IJ46" t="e">
        <f>AND('UP133'!IC7,"AAAAADt/3/M=")</f>
        <v>#VALUE!</v>
      </c>
      <c r="IK46" t="e">
        <f>AND('UP133'!ID7,"AAAAADt/3/Q=")</f>
        <v>#VALUE!</v>
      </c>
      <c r="IL46" t="e">
        <f>AND('UP133'!IE7,"AAAAADt/3/U=")</f>
        <v>#VALUE!</v>
      </c>
      <c r="IM46" t="e">
        <f>AND('UP133'!IF7,"AAAAADt/3/Y=")</f>
        <v>#VALUE!</v>
      </c>
      <c r="IN46" t="e">
        <f>AND('UP133'!IG7,"AAAAADt/3/c=")</f>
        <v>#VALUE!</v>
      </c>
      <c r="IO46" t="e">
        <f>AND('UP133'!IH7,"AAAAADt/3/g=")</f>
        <v>#VALUE!</v>
      </c>
      <c r="IP46" t="e">
        <f>AND('UP133'!II7,"AAAAADt/3/k=")</f>
        <v>#VALUE!</v>
      </c>
      <c r="IQ46" t="e">
        <f>AND('UP133'!IJ7,"AAAAADt/3/o=")</f>
        <v>#VALUE!</v>
      </c>
      <c r="IR46" t="e">
        <f>AND('UP133'!IK7,"AAAAADt/3/s=")</f>
        <v>#VALUE!</v>
      </c>
      <c r="IS46" t="e">
        <f>AND('UP133'!IL7,"AAAAADt/3/w=")</f>
        <v>#VALUE!</v>
      </c>
      <c r="IT46" t="e">
        <f>AND('UP133'!IM7,"AAAAADt/3/0=")</f>
        <v>#VALUE!</v>
      </c>
      <c r="IU46" t="e">
        <f>AND('UP133'!IN7,"AAAAADt/3/4=")</f>
        <v>#VALUE!</v>
      </c>
      <c r="IV46" t="e">
        <f>AND('UP133'!IO7,"AAAAADt/3/8=")</f>
        <v>#VALUE!</v>
      </c>
    </row>
    <row r="47" spans="1:256">
      <c r="A47" t="e">
        <f>AND('UP133'!IP7,"AAAAAH/8NAA=")</f>
        <v>#VALUE!</v>
      </c>
      <c r="B47" t="e">
        <f>AND('UP133'!IQ7,"AAAAAH/8NAE=")</f>
        <v>#VALUE!</v>
      </c>
      <c r="C47" t="e">
        <f>IF('UP133'!8:8,"AAAAAH/8NAI=",0)</f>
        <v>#VALUE!</v>
      </c>
      <c r="D47" t="e">
        <f>AND('UP133'!A8,"AAAAAH/8NAM=")</f>
        <v>#VALUE!</v>
      </c>
      <c r="E47" t="e">
        <f>AND('UP133'!B8,"AAAAAH/8NAQ=")</f>
        <v>#VALUE!</v>
      </c>
      <c r="F47" t="e">
        <f>AND('UP133'!C8,"AAAAAH/8NAU=")</f>
        <v>#VALUE!</v>
      </c>
      <c r="G47" t="e">
        <f>AND('UP133'!D8,"AAAAAH/8NAY=")</f>
        <v>#VALUE!</v>
      </c>
      <c r="H47" t="e">
        <f>AND('UP133'!E8,"AAAAAH/8NAc=")</f>
        <v>#VALUE!</v>
      </c>
      <c r="I47" t="e">
        <f>AND('UP133'!F8,"AAAAAH/8NAg=")</f>
        <v>#VALUE!</v>
      </c>
      <c r="J47" t="e">
        <f>AND('UP133'!G8,"AAAAAH/8NAk=")</f>
        <v>#VALUE!</v>
      </c>
      <c r="K47" t="e">
        <f>AND('UP133'!H8,"AAAAAH/8NAo=")</f>
        <v>#VALUE!</v>
      </c>
      <c r="L47" t="e">
        <f>AND('UP133'!I8,"AAAAAH/8NAs=")</f>
        <v>#VALUE!</v>
      </c>
      <c r="M47" t="e">
        <f>AND('UP133'!J8,"AAAAAH/8NAw=")</f>
        <v>#VALUE!</v>
      </c>
      <c r="N47" t="e">
        <f>AND('UP133'!K8,"AAAAAH/8NA0=")</f>
        <v>#VALUE!</v>
      </c>
      <c r="O47" t="e">
        <f>AND('UP133'!L8,"AAAAAH/8NA4=")</f>
        <v>#VALUE!</v>
      </c>
      <c r="P47" t="e">
        <f>AND('UP133'!M8,"AAAAAH/8NA8=")</f>
        <v>#VALUE!</v>
      </c>
      <c r="Q47" t="e">
        <f>AND('UP133'!N8,"AAAAAH/8NBA=")</f>
        <v>#VALUE!</v>
      </c>
      <c r="R47" t="e">
        <f>AND('UP133'!O8,"AAAAAH/8NBE=")</f>
        <v>#VALUE!</v>
      </c>
      <c r="S47" t="e">
        <f>AND('UP133'!P8,"AAAAAH/8NBI=")</f>
        <v>#VALUE!</v>
      </c>
      <c r="T47" t="e">
        <f>AND('UP133'!Q8,"AAAAAH/8NBM=")</f>
        <v>#VALUE!</v>
      </c>
      <c r="U47" t="e">
        <f>AND('UP133'!R8,"AAAAAH/8NBQ=")</f>
        <v>#VALUE!</v>
      </c>
      <c r="V47" t="e">
        <f>AND('UP133'!S8,"AAAAAH/8NBU=")</f>
        <v>#VALUE!</v>
      </c>
      <c r="W47" t="e">
        <f>AND('UP133'!T8,"AAAAAH/8NBY=")</f>
        <v>#VALUE!</v>
      </c>
      <c r="X47" t="e">
        <f>AND('UP133'!U8,"AAAAAH/8NBc=")</f>
        <v>#VALUE!</v>
      </c>
      <c r="Y47" t="e">
        <f>AND('UP133'!V8,"AAAAAH/8NBg=")</f>
        <v>#VALUE!</v>
      </c>
      <c r="Z47" t="e">
        <f>AND('UP133'!W8,"AAAAAH/8NBk=")</f>
        <v>#VALUE!</v>
      </c>
      <c r="AA47" t="e">
        <f>AND('UP133'!X8,"AAAAAH/8NBo=")</f>
        <v>#VALUE!</v>
      </c>
      <c r="AB47" t="e">
        <f>AND('UP133'!Y8,"AAAAAH/8NBs=")</f>
        <v>#VALUE!</v>
      </c>
      <c r="AC47" t="e">
        <f>AND('UP133'!Z8,"AAAAAH/8NBw=")</f>
        <v>#VALUE!</v>
      </c>
      <c r="AD47" t="e">
        <f>AND('UP133'!AA8,"AAAAAH/8NB0=")</f>
        <v>#VALUE!</v>
      </c>
      <c r="AE47" t="e">
        <f>AND('UP133'!AB8,"AAAAAH/8NB4=")</f>
        <v>#VALUE!</v>
      </c>
      <c r="AF47" t="e">
        <f>AND('UP133'!AC8,"AAAAAH/8NB8=")</f>
        <v>#VALUE!</v>
      </c>
      <c r="AG47" t="e">
        <f>AND('UP133'!AD8,"AAAAAH/8NCA=")</f>
        <v>#VALUE!</v>
      </c>
      <c r="AH47" t="e">
        <f>AND('UP133'!AE8,"AAAAAH/8NCE=")</f>
        <v>#VALUE!</v>
      </c>
      <c r="AI47" t="e">
        <f>AND('UP133'!AF8,"AAAAAH/8NCI=")</f>
        <v>#VALUE!</v>
      </c>
      <c r="AJ47" t="e">
        <f>AND('UP133'!AG8,"AAAAAH/8NCM=")</f>
        <v>#VALUE!</v>
      </c>
      <c r="AK47" t="e">
        <f>AND('UP133'!AH8,"AAAAAH/8NCQ=")</f>
        <v>#VALUE!</v>
      </c>
      <c r="AL47" t="e">
        <f>AND('UP133'!AI8,"AAAAAH/8NCU=")</f>
        <v>#VALUE!</v>
      </c>
      <c r="AM47" t="e">
        <f>AND('UP133'!AJ8,"AAAAAH/8NCY=")</f>
        <v>#VALUE!</v>
      </c>
      <c r="AN47" t="e">
        <f>AND('UP133'!AK8,"AAAAAH/8NCc=")</f>
        <v>#VALUE!</v>
      </c>
      <c r="AO47" t="e">
        <f>AND('UP133'!AL8,"AAAAAH/8NCg=")</f>
        <v>#VALUE!</v>
      </c>
      <c r="AP47" t="e">
        <f>AND('UP133'!AM8,"AAAAAH/8NCk=")</f>
        <v>#VALUE!</v>
      </c>
      <c r="AQ47" t="e">
        <f>AND('UP133'!AN8,"AAAAAH/8NCo=")</f>
        <v>#VALUE!</v>
      </c>
      <c r="AR47" t="e">
        <f>AND('UP133'!AO8,"AAAAAH/8NCs=")</f>
        <v>#VALUE!</v>
      </c>
      <c r="AS47" t="e">
        <f>AND('UP133'!AP8,"AAAAAH/8NCw=")</f>
        <v>#VALUE!</v>
      </c>
      <c r="AT47" t="e">
        <f>AND('UP133'!AQ8,"AAAAAH/8NC0=")</f>
        <v>#VALUE!</v>
      </c>
      <c r="AU47" t="e">
        <f>AND('UP133'!AR8,"AAAAAH/8NC4=")</f>
        <v>#VALUE!</v>
      </c>
      <c r="AV47" t="e">
        <f>AND('UP133'!AS8,"AAAAAH/8NC8=")</f>
        <v>#VALUE!</v>
      </c>
      <c r="AW47" t="e">
        <f>AND('UP133'!AT8,"AAAAAH/8NDA=")</f>
        <v>#VALUE!</v>
      </c>
      <c r="AX47" t="e">
        <f>AND('UP133'!AU8,"AAAAAH/8NDE=")</f>
        <v>#VALUE!</v>
      </c>
      <c r="AY47" t="e">
        <f>AND('UP133'!AV8,"AAAAAH/8NDI=")</f>
        <v>#VALUE!</v>
      </c>
      <c r="AZ47" t="e">
        <f>AND('UP133'!AW8,"AAAAAH/8NDM=")</f>
        <v>#VALUE!</v>
      </c>
      <c r="BA47" t="e">
        <f>AND('UP133'!AX8,"AAAAAH/8NDQ=")</f>
        <v>#VALUE!</v>
      </c>
      <c r="BB47" t="e">
        <f>AND('UP133'!AY8,"AAAAAH/8NDU=")</f>
        <v>#VALUE!</v>
      </c>
      <c r="BC47" t="e">
        <f>AND('UP133'!AZ8,"AAAAAH/8NDY=")</f>
        <v>#VALUE!</v>
      </c>
      <c r="BD47" t="e">
        <f>AND('UP133'!BA8,"AAAAAH/8NDc=")</f>
        <v>#VALUE!</v>
      </c>
      <c r="BE47" t="e">
        <f>AND('UP133'!BB8,"AAAAAH/8NDg=")</f>
        <v>#VALUE!</v>
      </c>
      <c r="BF47" t="e">
        <f>AND('UP133'!BC8,"AAAAAH/8NDk=")</f>
        <v>#VALUE!</v>
      </c>
      <c r="BG47" t="e">
        <f>AND('UP133'!BD8,"AAAAAH/8NDo=")</f>
        <v>#VALUE!</v>
      </c>
      <c r="BH47" t="e">
        <f>AND('UP133'!BE8,"AAAAAH/8NDs=")</f>
        <v>#VALUE!</v>
      </c>
      <c r="BI47" t="e">
        <f>AND('UP133'!BF8,"AAAAAH/8NDw=")</f>
        <v>#VALUE!</v>
      </c>
      <c r="BJ47" t="e">
        <f>AND('UP133'!BG8,"AAAAAH/8ND0=")</f>
        <v>#VALUE!</v>
      </c>
      <c r="BK47" t="e">
        <f>AND('UP133'!BH8,"AAAAAH/8ND4=")</f>
        <v>#VALUE!</v>
      </c>
      <c r="BL47" t="e">
        <f>AND('UP133'!BI8,"AAAAAH/8ND8=")</f>
        <v>#VALUE!</v>
      </c>
      <c r="BM47" t="e">
        <f>AND('UP133'!BJ8,"AAAAAH/8NEA=")</f>
        <v>#VALUE!</v>
      </c>
      <c r="BN47" t="e">
        <f>AND('UP133'!BK8,"AAAAAH/8NEE=")</f>
        <v>#VALUE!</v>
      </c>
      <c r="BO47" t="e">
        <f>AND('UP133'!BL8,"AAAAAH/8NEI=")</f>
        <v>#VALUE!</v>
      </c>
      <c r="BP47" t="e">
        <f>AND('UP133'!BM8,"AAAAAH/8NEM=")</f>
        <v>#VALUE!</v>
      </c>
      <c r="BQ47" t="e">
        <f>AND('UP133'!BN8,"AAAAAH/8NEQ=")</f>
        <v>#VALUE!</v>
      </c>
      <c r="BR47" t="e">
        <f>AND('UP133'!BO8,"AAAAAH/8NEU=")</f>
        <v>#VALUE!</v>
      </c>
      <c r="BS47" t="e">
        <f>AND('UP133'!BP8,"AAAAAH/8NEY=")</f>
        <v>#VALUE!</v>
      </c>
      <c r="BT47" t="e">
        <f>AND('UP133'!BQ8,"AAAAAH/8NEc=")</f>
        <v>#VALUE!</v>
      </c>
      <c r="BU47" t="e">
        <f>AND('UP133'!BR8,"AAAAAH/8NEg=")</f>
        <v>#VALUE!</v>
      </c>
      <c r="BV47" t="e">
        <f>AND('UP133'!BS8,"AAAAAH/8NEk=")</f>
        <v>#VALUE!</v>
      </c>
      <c r="BW47" t="e">
        <f>AND('UP133'!BT8,"AAAAAH/8NEo=")</f>
        <v>#VALUE!</v>
      </c>
      <c r="BX47" t="e">
        <f>AND('UP133'!BU8,"AAAAAH/8NEs=")</f>
        <v>#VALUE!</v>
      </c>
      <c r="BY47" t="e">
        <f>AND('UP133'!BV8,"AAAAAH/8NEw=")</f>
        <v>#VALUE!</v>
      </c>
      <c r="BZ47" t="e">
        <f>AND('UP133'!BW8,"AAAAAH/8NE0=")</f>
        <v>#VALUE!</v>
      </c>
      <c r="CA47" t="e">
        <f>AND('UP133'!BX8,"AAAAAH/8NE4=")</f>
        <v>#VALUE!</v>
      </c>
      <c r="CB47" t="e">
        <f>AND('UP133'!BY8,"AAAAAH/8NE8=")</f>
        <v>#VALUE!</v>
      </c>
      <c r="CC47" t="e">
        <f>AND('UP133'!BZ8,"AAAAAH/8NFA=")</f>
        <v>#VALUE!</v>
      </c>
      <c r="CD47" t="e">
        <f>AND('UP133'!CA8,"AAAAAH/8NFE=")</f>
        <v>#VALUE!</v>
      </c>
      <c r="CE47" t="e">
        <f>AND('UP133'!CB8,"AAAAAH/8NFI=")</f>
        <v>#VALUE!</v>
      </c>
      <c r="CF47" t="e">
        <f>AND('UP133'!CC8,"AAAAAH/8NFM=")</f>
        <v>#VALUE!</v>
      </c>
      <c r="CG47" t="e">
        <f>AND('UP133'!CD8,"AAAAAH/8NFQ=")</f>
        <v>#VALUE!</v>
      </c>
      <c r="CH47" t="e">
        <f>AND('UP133'!CE8,"AAAAAH/8NFU=")</f>
        <v>#VALUE!</v>
      </c>
      <c r="CI47" t="e">
        <f>AND('UP133'!CF8,"AAAAAH/8NFY=")</f>
        <v>#VALUE!</v>
      </c>
      <c r="CJ47" t="e">
        <f>AND('UP133'!CG8,"AAAAAH/8NFc=")</f>
        <v>#VALUE!</v>
      </c>
      <c r="CK47" t="e">
        <f>AND('UP133'!CH8,"AAAAAH/8NFg=")</f>
        <v>#VALUE!</v>
      </c>
      <c r="CL47" t="e">
        <f>AND('UP133'!CI8,"AAAAAH/8NFk=")</f>
        <v>#VALUE!</v>
      </c>
      <c r="CM47" t="e">
        <f>AND('UP133'!CJ8,"AAAAAH/8NFo=")</f>
        <v>#VALUE!</v>
      </c>
      <c r="CN47" t="e">
        <f>AND('UP133'!CK8,"AAAAAH/8NFs=")</f>
        <v>#VALUE!</v>
      </c>
      <c r="CO47" t="e">
        <f>AND('UP133'!CL8,"AAAAAH/8NFw=")</f>
        <v>#VALUE!</v>
      </c>
      <c r="CP47" t="e">
        <f>AND('UP133'!CM8,"AAAAAH/8NF0=")</f>
        <v>#VALUE!</v>
      </c>
      <c r="CQ47" t="e">
        <f>AND('UP133'!CN8,"AAAAAH/8NF4=")</f>
        <v>#VALUE!</v>
      </c>
      <c r="CR47" t="e">
        <f>AND('UP133'!CO8,"AAAAAH/8NF8=")</f>
        <v>#VALUE!</v>
      </c>
      <c r="CS47" t="e">
        <f>AND('UP133'!CP8,"AAAAAH/8NGA=")</f>
        <v>#VALUE!</v>
      </c>
      <c r="CT47" t="e">
        <f>AND('UP133'!CQ8,"AAAAAH/8NGE=")</f>
        <v>#VALUE!</v>
      </c>
      <c r="CU47" t="e">
        <f>AND('UP133'!CR8,"AAAAAH/8NGI=")</f>
        <v>#VALUE!</v>
      </c>
      <c r="CV47" t="e">
        <f>AND('UP133'!CS8,"AAAAAH/8NGM=")</f>
        <v>#VALUE!</v>
      </c>
      <c r="CW47" t="e">
        <f>AND('UP133'!CT8,"AAAAAH/8NGQ=")</f>
        <v>#VALUE!</v>
      </c>
      <c r="CX47" t="e">
        <f>AND('UP133'!CU8,"AAAAAH/8NGU=")</f>
        <v>#VALUE!</v>
      </c>
      <c r="CY47" t="e">
        <f>AND('UP133'!CV8,"AAAAAH/8NGY=")</f>
        <v>#VALUE!</v>
      </c>
      <c r="CZ47" t="e">
        <f>AND('UP133'!CW8,"AAAAAH/8NGc=")</f>
        <v>#VALUE!</v>
      </c>
      <c r="DA47" t="e">
        <f>AND('UP133'!CX8,"AAAAAH/8NGg=")</f>
        <v>#VALUE!</v>
      </c>
      <c r="DB47" t="e">
        <f>AND('UP133'!CY8,"AAAAAH/8NGk=")</f>
        <v>#VALUE!</v>
      </c>
      <c r="DC47" t="e">
        <f>AND('UP133'!CZ8,"AAAAAH/8NGo=")</f>
        <v>#VALUE!</v>
      </c>
      <c r="DD47" t="e">
        <f>AND('UP133'!DA8,"AAAAAH/8NGs=")</f>
        <v>#VALUE!</v>
      </c>
      <c r="DE47" t="e">
        <f>AND('UP133'!DB8,"AAAAAH/8NGw=")</f>
        <v>#VALUE!</v>
      </c>
      <c r="DF47" t="e">
        <f>AND('UP133'!DC8,"AAAAAH/8NG0=")</f>
        <v>#VALUE!</v>
      </c>
      <c r="DG47" t="e">
        <f>AND('UP133'!DD8,"AAAAAH/8NG4=")</f>
        <v>#VALUE!</v>
      </c>
      <c r="DH47" t="e">
        <f>AND('UP133'!DE8,"AAAAAH/8NG8=")</f>
        <v>#VALUE!</v>
      </c>
      <c r="DI47" t="e">
        <f>AND('UP133'!DF8,"AAAAAH/8NHA=")</f>
        <v>#VALUE!</v>
      </c>
      <c r="DJ47" t="e">
        <f>AND('UP133'!DG8,"AAAAAH/8NHE=")</f>
        <v>#VALUE!</v>
      </c>
      <c r="DK47" t="e">
        <f>AND('UP133'!DH8,"AAAAAH/8NHI=")</f>
        <v>#VALUE!</v>
      </c>
      <c r="DL47" t="e">
        <f>AND('UP133'!DI8,"AAAAAH/8NHM=")</f>
        <v>#VALUE!</v>
      </c>
      <c r="DM47" t="e">
        <f>AND('UP133'!DJ8,"AAAAAH/8NHQ=")</f>
        <v>#VALUE!</v>
      </c>
      <c r="DN47" t="e">
        <f>AND('UP133'!DK8,"AAAAAH/8NHU=")</f>
        <v>#VALUE!</v>
      </c>
      <c r="DO47" t="e">
        <f>AND('UP133'!DL8,"AAAAAH/8NHY=")</f>
        <v>#VALUE!</v>
      </c>
      <c r="DP47" t="e">
        <f>AND('UP133'!DM8,"AAAAAH/8NHc=")</f>
        <v>#VALUE!</v>
      </c>
      <c r="DQ47" t="e">
        <f>AND('UP133'!DN8,"AAAAAH/8NHg=")</f>
        <v>#VALUE!</v>
      </c>
      <c r="DR47" t="e">
        <f>AND('UP133'!DO8,"AAAAAH/8NHk=")</f>
        <v>#VALUE!</v>
      </c>
      <c r="DS47" t="e">
        <f>AND('UP133'!DP8,"AAAAAH/8NHo=")</f>
        <v>#VALUE!</v>
      </c>
      <c r="DT47" t="e">
        <f>AND('UP133'!DQ8,"AAAAAH/8NHs=")</f>
        <v>#VALUE!</v>
      </c>
      <c r="DU47" t="e">
        <f>AND('UP133'!DR8,"AAAAAH/8NHw=")</f>
        <v>#VALUE!</v>
      </c>
      <c r="DV47" t="e">
        <f>AND('UP133'!DS8,"AAAAAH/8NH0=")</f>
        <v>#VALUE!</v>
      </c>
      <c r="DW47" t="e">
        <f>AND('UP133'!DT8,"AAAAAH/8NH4=")</f>
        <v>#VALUE!</v>
      </c>
      <c r="DX47" t="e">
        <f>AND('UP133'!DU8,"AAAAAH/8NH8=")</f>
        <v>#VALUE!</v>
      </c>
      <c r="DY47" t="e">
        <f>AND('UP133'!DV8,"AAAAAH/8NIA=")</f>
        <v>#VALUE!</v>
      </c>
      <c r="DZ47" t="e">
        <f>AND('UP133'!DW8,"AAAAAH/8NIE=")</f>
        <v>#VALUE!</v>
      </c>
      <c r="EA47" t="e">
        <f>AND('UP133'!DX8,"AAAAAH/8NII=")</f>
        <v>#VALUE!</v>
      </c>
      <c r="EB47" t="e">
        <f>AND('UP133'!DY8,"AAAAAH/8NIM=")</f>
        <v>#VALUE!</v>
      </c>
      <c r="EC47" t="e">
        <f>AND('UP133'!DZ8,"AAAAAH/8NIQ=")</f>
        <v>#VALUE!</v>
      </c>
      <c r="ED47" t="e">
        <f>AND('UP133'!EA8,"AAAAAH/8NIU=")</f>
        <v>#VALUE!</v>
      </c>
      <c r="EE47" t="e">
        <f>AND('UP133'!EB8,"AAAAAH/8NIY=")</f>
        <v>#VALUE!</v>
      </c>
      <c r="EF47" t="e">
        <f>AND('UP133'!EC8,"AAAAAH/8NIc=")</f>
        <v>#VALUE!</v>
      </c>
      <c r="EG47" t="e">
        <f>AND('UP133'!ED8,"AAAAAH/8NIg=")</f>
        <v>#VALUE!</v>
      </c>
      <c r="EH47" t="e">
        <f>AND('UP133'!EE8,"AAAAAH/8NIk=")</f>
        <v>#VALUE!</v>
      </c>
      <c r="EI47" t="e">
        <f>AND('UP133'!EF8,"AAAAAH/8NIo=")</f>
        <v>#VALUE!</v>
      </c>
      <c r="EJ47" t="e">
        <f>AND('UP133'!EG8,"AAAAAH/8NIs=")</f>
        <v>#VALUE!</v>
      </c>
      <c r="EK47" t="e">
        <f>AND('UP133'!EH8,"AAAAAH/8NIw=")</f>
        <v>#VALUE!</v>
      </c>
      <c r="EL47" t="e">
        <f>AND('UP133'!EI8,"AAAAAH/8NI0=")</f>
        <v>#VALUE!</v>
      </c>
      <c r="EM47" t="e">
        <f>AND('UP133'!EJ8,"AAAAAH/8NI4=")</f>
        <v>#VALUE!</v>
      </c>
      <c r="EN47" t="e">
        <f>AND('UP133'!EK8,"AAAAAH/8NI8=")</f>
        <v>#VALUE!</v>
      </c>
      <c r="EO47" t="e">
        <f>AND('UP133'!EL8,"AAAAAH/8NJA=")</f>
        <v>#VALUE!</v>
      </c>
      <c r="EP47" t="e">
        <f>AND('UP133'!EM8,"AAAAAH/8NJE=")</f>
        <v>#VALUE!</v>
      </c>
      <c r="EQ47" t="e">
        <f>AND('UP133'!EN8,"AAAAAH/8NJI=")</f>
        <v>#VALUE!</v>
      </c>
      <c r="ER47" t="e">
        <f>AND('UP133'!EO8,"AAAAAH/8NJM=")</f>
        <v>#VALUE!</v>
      </c>
      <c r="ES47" t="e">
        <f>AND('UP133'!EP8,"AAAAAH/8NJQ=")</f>
        <v>#VALUE!</v>
      </c>
      <c r="ET47" t="e">
        <f>AND('UP133'!EQ8,"AAAAAH/8NJU=")</f>
        <v>#VALUE!</v>
      </c>
      <c r="EU47" t="e">
        <f>AND('UP133'!ER8,"AAAAAH/8NJY=")</f>
        <v>#VALUE!</v>
      </c>
      <c r="EV47" t="e">
        <f>AND('UP133'!ES8,"AAAAAH/8NJc=")</f>
        <v>#VALUE!</v>
      </c>
      <c r="EW47" t="e">
        <f>AND('UP133'!ET8,"AAAAAH/8NJg=")</f>
        <v>#VALUE!</v>
      </c>
      <c r="EX47" t="e">
        <f>AND('UP133'!EU8,"AAAAAH/8NJk=")</f>
        <v>#VALUE!</v>
      </c>
      <c r="EY47" t="e">
        <f>AND('UP133'!EV8,"AAAAAH/8NJo=")</f>
        <v>#VALUE!</v>
      </c>
      <c r="EZ47" t="e">
        <f>AND('UP133'!EW8,"AAAAAH/8NJs=")</f>
        <v>#VALUE!</v>
      </c>
      <c r="FA47" t="e">
        <f>AND('UP133'!EX8,"AAAAAH/8NJw=")</f>
        <v>#VALUE!</v>
      </c>
      <c r="FB47" t="e">
        <f>AND('UP133'!EY8,"AAAAAH/8NJ0=")</f>
        <v>#VALUE!</v>
      </c>
      <c r="FC47" t="e">
        <f>AND('UP133'!EZ8,"AAAAAH/8NJ4=")</f>
        <v>#VALUE!</v>
      </c>
      <c r="FD47" t="e">
        <f>AND('UP133'!FA8,"AAAAAH/8NJ8=")</f>
        <v>#VALUE!</v>
      </c>
      <c r="FE47" t="e">
        <f>AND('UP133'!FB8,"AAAAAH/8NKA=")</f>
        <v>#VALUE!</v>
      </c>
      <c r="FF47" t="e">
        <f>AND('UP133'!FC8,"AAAAAH/8NKE=")</f>
        <v>#VALUE!</v>
      </c>
      <c r="FG47" t="e">
        <f>AND('UP133'!FD8,"AAAAAH/8NKI=")</f>
        <v>#VALUE!</v>
      </c>
      <c r="FH47" t="e">
        <f>AND('UP133'!FE8,"AAAAAH/8NKM=")</f>
        <v>#VALUE!</v>
      </c>
      <c r="FI47" t="e">
        <f>AND('UP133'!FF8,"AAAAAH/8NKQ=")</f>
        <v>#VALUE!</v>
      </c>
      <c r="FJ47" t="e">
        <f>AND('UP133'!FG8,"AAAAAH/8NKU=")</f>
        <v>#VALUE!</v>
      </c>
      <c r="FK47" t="e">
        <f>AND('UP133'!FH8,"AAAAAH/8NKY=")</f>
        <v>#VALUE!</v>
      </c>
      <c r="FL47" t="e">
        <f>AND('UP133'!FI8,"AAAAAH/8NKc=")</f>
        <v>#VALUE!</v>
      </c>
      <c r="FM47" t="e">
        <f>AND('UP133'!FJ8,"AAAAAH/8NKg=")</f>
        <v>#VALUE!</v>
      </c>
      <c r="FN47" t="e">
        <f>AND('UP133'!FK8,"AAAAAH/8NKk=")</f>
        <v>#VALUE!</v>
      </c>
      <c r="FO47" t="e">
        <f>AND('UP133'!FL8,"AAAAAH/8NKo=")</f>
        <v>#VALUE!</v>
      </c>
      <c r="FP47" t="e">
        <f>AND('UP133'!FM8,"AAAAAH/8NKs=")</f>
        <v>#VALUE!</v>
      </c>
      <c r="FQ47" t="e">
        <f>AND('UP133'!FN8,"AAAAAH/8NKw=")</f>
        <v>#VALUE!</v>
      </c>
      <c r="FR47" t="e">
        <f>AND('UP133'!FO8,"AAAAAH/8NK0=")</f>
        <v>#VALUE!</v>
      </c>
      <c r="FS47" t="e">
        <f>AND('UP133'!FP8,"AAAAAH/8NK4=")</f>
        <v>#VALUE!</v>
      </c>
      <c r="FT47" t="e">
        <f>AND('UP133'!FQ8,"AAAAAH/8NK8=")</f>
        <v>#VALUE!</v>
      </c>
      <c r="FU47" t="e">
        <f>AND('UP133'!FR8,"AAAAAH/8NLA=")</f>
        <v>#VALUE!</v>
      </c>
      <c r="FV47" t="e">
        <f>AND('UP133'!FS8,"AAAAAH/8NLE=")</f>
        <v>#VALUE!</v>
      </c>
      <c r="FW47" t="e">
        <f>AND('UP133'!FT8,"AAAAAH/8NLI=")</f>
        <v>#VALUE!</v>
      </c>
      <c r="FX47" t="e">
        <f>AND('UP133'!FU8,"AAAAAH/8NLM=")</f>
        <v>#VALUE!</v>
      </c>
      <c r="FY47" t="e">
        <f>AND('UP133'!FV8,"AAAAAH/8NLQ=")</f>
        <v>#VALUE!</v>
      </c>
      <c r="FZ47" t="e">
        <f>AND('UP133'!FW8,"AAAAAH/8NLU=")</f>
        <v>#VALUE!</v>
      </c>
      <c r="GA47" t="e">
        <f>AND('UP133'!FX8,"AAAAAH/8NLY=")</f>
        <v>#VALUE!</v>
      </c>
      <c r="GB47" t="e">
        <f>AND('UP133'!FY8,"AAAAAH/8NLc=")</f>
        <v>#VALUE!</v>
      </c>
      <c r="GC47" t="e">
        <f>AND('UP133'!FZ8,"AAAAAH/8NLg=")</f>
        <v>#VALUE!</v>
      </c>
      <c r="GD47" t="e">
        <f>AND('UP133'!GA8,"AAAAAH/8NLk=")</f>
        <v>#VALUE!</v>
      </c>
      <c r="GE47" t="e">
        <f>AND('UP133'!GB8,"AAAAAH/8NLo=")</f>
        <v>#VALUE!</v>
      </c>
      <c r="GF47" t="e">
        <f>AND('UP133'!GC8,"AAAAAH/8NLs=")</f>
        <v>#VALUE!</v>
      </c>
      <c r="GG47" t="e">
        <f>AND('UP133'!GD8,"AAAAAH/8NLw=")</f>
        <v>#VALUE!</v>
      </c>
      <c r="GH47" t="e">
        <f>AND('UP133'!GE8,"AAAAAH/8NL0=")</f>
        <v>#VALUE!</v>
      </c>
      <c r="GI47" t="e">
        <f>AND('UP133'!GF8,"AAAAAH/8NL4=")</f>
        <v>#VALUE!</v>
      </c>
      <c r="GJ47" t="e">
        <f>AND('UP133'!GG8,"AAAAAH/8NL8=")</f>
        <v>#VALUE!</v>
      </c>
      <c r="GK47" t="e">
        <f>AND('UP133'!GH8,"AAAAAH/8NMA=")</f>
        <v>#VALUE!</v>
      </c>
      <c r="GL47" t="e">
        <f>AND('UP133'!GI8,"AAAAAH/8NME=")</f>
        <v>#VALUE!</v>
      </c>
      <c r="GM47" t="e">
        <f>AND('UP133'!GJ8,"AAAAAH/8NMI=")</f>
        <v>#VALUE!</v>
      </c>
      <c r="GN47" t="e">
        <f>AND('UP133'!GK8,"AAAAAH/8NMM=")</f>
        <v>#VALUE!</v>
      </c>
      <c r="GO47" t="e">
        <f>AND('UP133'!GL8,"AAAAAH/8NMQ=")</f>
        <v>#VALUE!</v>
      </c>
      <c r="GP47" t="e">
        <f>AND('UP133'!GM8,"AAAAAH/8NMU=")</f>
        <v>#VALUE!</v>
      </c>
      <c r="GQ47" t="e">
        <f>AND('UP133'!GN8,"AAAAAH/8NMY=")</f>
        <v>#VALUE!</v>
      </c>
      <c r="GR47" t="e">
        <f>AND('UP133'!GO8,"AAAAAH/8NMc=")</f>
        <v>#VALUE!</v>
      </c>
      <c r="GS47" t="e">
        <f>AND('UP133'!GP8,"AAAAAH/8NMg=")</f>
        <v>#VALUE!</v>
      </c>
      <c r="GT47" t="e">
        <f>AND('UP133'!GQ8,"AAAAAH/8NMk=")</f>
        <v>#VALUE!</v>
      </c>
      <c r="GU47" t="e">
        <f>AND('UP133'!GR8,"AAAAAH/8NMo=")</f>
        <v>#VALUE!</v>
      </c>
      <c r="GV47" t="e">
        <f>AND('UP133'!GS8,"AAAAAH/8NMs=")</f>
        <v>#VALUE!</v>
      </c>
      <c r="GW47" t="e">
        <f>AND('UP133'!GT8,"AAAAAH/8NMw=")</f>
        <v>#VALUE!</v>
      </c>
      <c r="GX47" t="e">
        <f>AND('UP133'!GU8,"AAAAAH/8NM0=")</f>
        <v>#VALUE!</v>
      </c>
      <c r="GY47" t="e">
        <f>AND('UP133'!GV8,"AAAAAH/8NM4=")</f>
        <v>#VALUE!</v>
      </c>
      <c r="GZ47" t="e">
        <f>AND('UP133'!GW8,"AAAAAH/8NM8=")</f>
        <v>#VALUE!</v>
      </c>
      <c r="HA47" t="e">
        <f>AND('UP133'!GX8,"AAAAAH/8NNA=")</f>
        <v>#VALUE!</v>
      </c>
      <c r="HB47" t="e">
        <f>AND('UP133'!GY8,"AAAAAH/8NNE=")</f>
        <v>#VALUE!</v>
      </c>
      <c r="HC47" t="e">
        <f>AND('UP133'!GZ8,"AAAAAH/8NNI=")</f>
        <v>#VALUE!</v>
      </c>
      <c r="HD47" t="e">
        <f>AND('UP133'!HA8,"AAAAAH/8NNM=")</f>
        <v>#VALUE!</v>
      </c>
      <c r="HE47" t="e">
        <f>AND('UP133'!HB8,"AAAAAH/8NNQ=")</f>
        <v>#VALUE!</v>
      </c>
      <c r="HF47" t="e">
        <f>AND('UP133'!HC8,"AAAAAH/8NNU=")</f>
        <v>#VALUE!</v>
      </c>
      <c r="HG47" t="e">
        <f>AND('UP133'!HD8,"AAAAAH/8NNY=")</f>
        <v>#VALUE!</v>
      </c>
      <c r="HH47" t="e">
        <f>AND('UP133'!HE8,"AAAAAH/8NNc=")</f>
        <v>#VALUE!</v>
      </c>
      <c r="HI47" t="e">
        <f>AND('UP133'!HF8,"AAAAAH/8NNg=")</f>
        <v>#VALUE!</v>
      </c>
      <c r="HJ47" t="e">
        <f>AND('UP133'!HG8,"AAAAAH/8NNk=")</f>
        <v>#VALUE!</v>
      </c>
      <c r="HK47" t="e">
        <f>AND('UP133'!HH8,"AAAAAH/8NNo=")</f>
        <v>#VALUE!</v>
      </c>
      <c r="HL47" t="e">
        <f>AND('UP133'!HI8,"AAAAAH/8NNs=")</f>
        <v>#VALUE!</v>
      </c>
      <c r="HM47" t="e">
        <f>AND('UP133'!HJ8,"AAAAAH/8NNw=")</f>
        <v>#VALUE!</v>
      </c>
      <c r="HN47" t="e">
        <f>AND('UP133'!HK8,"AAAAAH/8NN0=")</f>
        <v>#VALUE!</v>
      </c>
      <c r="HO47" t="e">
        <f>AND('UP133'!HL8,"AAAAAH/8NN4=")</f>
        <v>#VALUE!</v>
      </c>
      <c r="HP47" t="e">
        <f>AND('UP133'!HM8,"AAAAAH/8NN8=")</f>
        <v>#VALUE!</v>
      </c>
      <c r="HQ47" t="e">
        <f>AND('UP133'!HN8,"AAAAAH/8NOA=")</f>
        <v>#VALUE!</v>
      </c>
      <c r="HR47" t="e">
        <f>AND('UP133'!HO8,"AAAAAH/8NOE=")</f>
        <v>#VALUE!</v>
      </c>
      <c r="HS47" t="e">
        <f>AND('UP133'!HP8,"AAAAAH/8NOI=")</f>
        <v>#VALUE!</v>
      </c>
      <c r="HT47" t="e">
        <f>AND('UP133'!HQ8,"AAAAAH/8NOM=")</f>
        <v>#VALUE!</v>
      </c>
      <c r="HU47" t="e">
        <f>AND('UP133'!HR8,"AAAAAH/8NOQ=")</f>
        <v>#VALUE!</v>
      </c>
      <c r="HV47" t="e">
        <f>AND('UP133'!HS8,"AAAAAH/8NOU=")</f>
        <v>#VALUE!</v>
      </c>
      <c r="HW47" t="e">
        <f>AND('UP133'!HT8,"AAAAAH/8NOY=")</f>
        <v>#VALUE!</v>
      </c>
      <c r="HX47" t="e">
        <f>AND('UP133'!HU8,"AAAAAH/8NOc=")</f>
        <v>#VALUE!</v>
      </c>
      <c r="HY47" t="e">
        <f>AND('UP133'!HV8,"AAAAAH/8NOg=")</f>
        <v>#VALUE!</v>
      </c>
      <c r="HZ47" t="e">
        <f>AND('UP133'!HW8,"AAAAAH/8NOk=")</f>
        <v>#VALUE!</v>
      </c>
      <c r="IA47" t="e">
        <f>AND('UP133'!HX8,"AAAAAH/8NOo=")</f>
        <v>#VALUE!</v>
      </c>
      <c r="IB47" t="e">
        <f>AND('UP133'!HY8,"AAAAAH/8NOs=")</f>
        <v>#VALUE!</v>
      </c>
      <c r="IC47" t="e">
        <f>AND('UP133'!HZ8,"AAAAAH/8NOw=")</f>
        <v>#VALUE!</v>
      </c>
      <c r="ID47" t="e">
        <f>AND('UP133'!IA8,"AAAAAH/8NO0=")</f>
        <v>#VALUE!</v>
      </c>
      <c r="IE47" t="e">
        <f>AND('UP133'!IB8,"AAAAAH/8NO4=")</f>
        <v>#VALUE!</v>
      </c>
      <c r="IF47" t="e">
        <f>AND('UP133'!IC8,"AAAAAH/8NO8=")</f>
        <v>#VALUE!</v>
      </c>
      <c r="IG47" t="e">
        <f>AND('UP133'!ID8,"AAAAAH/8NPA=")</f>
        <v>#VALUE!</v>
      </c>
      <c r="IH47" t="e">
        <f>AND('UP133'!IE8,"AAAAAH/8NPE=")</f>
        <v>#VALUE!</v>
      </c>
      <c r="II47" t="e">
        <f>AND('UP133'!IF8,"AAAAAH/8NPI=")</f>
        <v>#VALUE!</v>
      </c>
      <c r="IJ47" t="e">
        <f>AND('UP133'!IG8,"AAAAAH/8NPM=")</f>
        <v>#VALUE!</v>
      </c>
      <c r="IK47" t="e">
        <f>AND('UP133'!IH8,"AAAAAH/8NPQ=")</f>
        <v>#VALUE!</v>
      </c>
      <c r="IL47" t="e">
        <f>AND('UP133'!II8,"AAAAAH/8NPU=")</f>
        <v>#VALUE!</v>
      </c>
      <c r="IM47" t="e">
        <f>AND('UP133'!IJ8,"AAAAAH/8NPY=")</f>
        <v>#VALUE!</v>
      </c>
      <c r="IN47" t="e">
        <f>AND('UP133'!IK8,"AAAAAH/8NPc=")</f>
        <v>#VALUE!</v>
      </c>
      <c r="IO47" t="e">
        <f>AND('UP133'!IL8,"AAAAAH/8NPg=")</f>
        <v>#VALUE!</v>
      </c>
      <c r="IP47" t="e">
        <f>AND('UP133'!IM8,"AAAAAH/8NPk=")</f>
        <v>#VALUE!</v>
      </c>
      <c r="IQ47" t="e">
        <f>AND('UP133'!IN8,"AAAAAH/8NPo=")</f>
        <v>#VALUE!</v>
      </c>
      <c r="IR47" t="e">
        <f>AND('UP133'!IO8,"AAAAAH/8NPs=")</f>
        <v>#VALUE!</v>
      </c>
      <c r="IS47" t="e">
        <f>AND('UP133'!IP8,"AAAAAH/8NPw=")</f>
        <v>#VALUE!</v>
      </c>
      <c r="IT47" t="e">
        <f>AND('UP133'!IQ8,"AAAAAH/8NP0=")</f>
        <v>#VALUE!</v>
      </c>
      <c r="IU47">
        <f>IF('UP133'!9:9,"AAAAAH/8NP4=",0)</f>
        <v>0</v>
      </c>
      <c r="IV47" t="e">
        <f>AND('UP133'!A9,"AAAAAH/8NP8=")</f>
        <v>#VALUE!</v>
      </c>
    </row>
    <row r="48" spans="1:256">
      <c r="A48" t="e">
        <f>AND('UP133'!B9,"AAAAAHfXbwA=")</f>
        <v>#VALUE!</v>
      </c>
      <c r="B48" t="e">
        <f>AND('UP133'!C9,"AAAAAHfXbwE=")</f>
        <v>#VALUE!</v>
      </c>
      <c r="C48" t="e">
        <f>AND('UP133'!D9,"AAAAAHfXbwI=")</f>
        <v>#VALUE!</v>
      </c>
      <c r="D48" t="e">
        <f>AND('UP133'!E9,"AAAAAHfXbwM=")</f>
        <v>#VALUE!</v>
      </c>
      <c r="E48" t="e">
        <f>AND('UP133'!F9,"AAAAAHfXbwQ=")</f>
        <v>#VALUE!</v>
      </c>
      <c r="F48" t="e">
        <f>AND('UP133'!G9,"AAAAAHfXbwU=")</f>
        <v>#VALUE!</v>
      </c>
      <c r="G48" t="e">
        <f>AND('UP133'!H9,"AAAAAHfXbwY=")</f>
        <v>#VALUE!</v>
      </c>
      <c r="H48" t="e">
        <f>AND('UP133'!I9,"AAAAAHfXbwc=")</f>
        <v>#VALUE!</v>
      </c>
      <c r="I48" t="e">
        <f>AND('UP133'!J9,"AAAAAHfXbwg=")</f>
        <v>#VALUE!</v>
      </c>
      <c r="J48" t="e">
        <f>AND('UP133'!K9,"AAAAAHfXbwk=")</f>
        <v>#VALUE!</v>
      </c>
      <c r="K48" t="e">
        <f>AND('UP133'!L9,"AAAAAHfXbwo=")</f>
        <v>#VALUE!</v>
      </c>
      <c r="L48" t="e">
        <f>AND('UP133'!M9,"AAAAAHfXbws=")</f>
        <v>#VALUE!</v>
      </c>
      <c r="M48" t="e">
        <f>AND('UP133'!N9,"AAAAAHfXbww=")</f>
        <v>#VALUE!</v>
      </c>
      <c r="N48" t="e">
        <f>AND('UP133'!O9,"AAAAAHfXbw0=")</f>
        <v>#VALUE!</v>
      </c>
      <c r="O48" t="e">
        <f>AND('UP133'!P9,"AAAAAHfXbw4=")</f>
        <v>#VALUE!</v>
      </c>
      <c r="P48" t="e">
        <f>AND('UP133'!Q9,"AAAAAHfXbw8=")</f>
        <v>#VALUE!</v>
      </c>
      <c r="Q48" t="e">
        <f>AND('UP133'!R9,"AAAAAHfXbxA=")</f>
        <v>#VALUE!</v>
      </c>
      <c r="R48" t="e">
        <f>AND('UP133'!S9,"AAAAAHfXbxE=")</f>
        <v>#VALUE!</v>
      </c>
      <c r="S48" t="e">
        <f>AND('UP133'!T9,"AAAAAHfXbxI=")</f>
        <v>#VALUE!</v>
      </c>
      <c r="T48" t="e">
        <f>AND('UP133'!U9,"AAAAAHfXbxM=")</f>
        <v>#VALUE!</v>
      </c>
      <c r="U48" t="e">
        <f>AND('UP133'!V9,"AAAAAHfXbxQ=")</f>
        <v>#VALUE!</v>
      </c>
      <c r="V48" t="e">
        <f>AND('UP133'!W9,"AAAAAHfXbxU=")</f>
        <v>#VALUE!</v>
      </c>
      <c r="W48" t="e">
        <f>AND('UP133'!X9,"AAAAAHfXbxY=")</f>
        <v>#VALUE!</v>
      </c>
      <c r="X48" t="e">
        <f>AND('UP133'!Y9,"AAAAAHfXbxc=")</f>
        <v>#VALUE!</v>
      </c>
      <c r="Y48" t="e">
        <f>AND('UP133'!Z9,"AAAAAHfXbxg=")</f>
        <v>#VALUE!</v>
      </c>
      <c r="Z48" t="e">
        <f>AND('UP133'!AA9,"AAAAAHfXbxk=")</f>
        <v>#VALUE!</v>
      </c>
      <c r="AA48" t="e">
        <f>AND('UP133'!AB9,"AAAAAHfXbxo=")</f>
        <v>#VALUE!</v>
      </c>
      <c r="AB48" t="e">
        <f>AND('UP133'!AC9,"AAAAAHfXbxs=")</f>
        <v>#VALUE!</v>
      </c>
      <c r="AC48" t="e">
        <f>AND('UP133'!AD9,"AAAAAHfXbxw=")</f>
        <v>#VALUE!</v>
      </c>
      <c r="AD48" t="e">
        <f>AND('UP133'!AE9,"AAAAAHfXbx0=")</f>
        <v>#VALUE!</v>
      </c>
      <c r="AE48" t="e">
        <f>AND('UP133'!AF9,"AAAAAHfXbx4=")</f>
        <v>#VALUE!</v>
      </c>
      <c r="AF48" t="e">
        <f>AND('UP133'!AG9,"AAAAAHfXbx8=")</f>
        <v>#VALUE!</v>
      </c>
      <c r="AG48" t="e">
        <f>AND('UP133'!AH9,"AAAAAHfXbyA=")</f>
        <v>#VALUE!</v>
      </c>
      <c r="AH48" t="e">
        <f>AND('UP133'!AI9,"AAAAAHfXbyE=")</f>
        <v>#VALUE!</v>
      </c>
      <c r="AI48" t="e">
        <f>AND('UP133'!AJ9,"AAAAAHfXbyI=")</f>
        <v>#VALUE!</v>
      </c>
      <c r="AJ48" t="e">
        <f>AND('UP133'!AK9,"AAAAAHfXbyM=")</f>
        <v>#VALUE!</v>
      </c>
      <c r="AK48" t="e">
        <f>AND('UP133'!AL9,"AAAAAHfXbyQ=")</f>
        <v>#VALUE!</v>
      </c>
      <c r="AL48" t="e">
        <f>AND('UP133'!AM9,"AAAAAHfXbyU=")</f>
        <v>#VALUE!</v>
      </c>
      <c r="AM48" t="e">
        <f>AND('UP133'!AN9,"AAAAAHfXbyY=")</f>
        <v>#VALUE!</v>
      </c>
      <c r="AN48" t="e">
        <f>AND('UP133'!AO9,"AAAAAHfXbyc=")</f>
        <v>#VALUE!</v>
      </c>
      <c r="AO48" t="e">
        <f>AND('UP133'!AP9,"AAAAAHfXbyg=")</f>
        <v>#VALUE!</v>
      </c>
      <c r="AP48" t="e">
        <f>AND('UP133'!AQ9,"AAAAAHfXbyk=")</f>
        <v>#VALUE!</v>
      </c>
      <c r="AQ48" t="e">
        <f>AND('UP133'!AR9,"AAAAAHfXbyo=")</f>
        <v>#VALUE!</v>
      </c>
      <c r="AR48" t="e">
        <f>AND('UP133'!AS9,"AAAAAHfXbys=")</f>
        <v>#VALUE!</v>
      </c>
      <c r="AS48" t="e">
        <f>AND('UP133'!AT9,"AAAAAHfXbyw=")</f>
        <v>#VALUE!</v>
      </c>
      <c r="AT48" t="e">
        <f>AND('UP133'!AU9,"AAAAAHfXby0=")</f>
        <v>#VALUE!</v>
      </c>
      <c r="AU48" t="e">
        <f>AND('UP133'!AV9,"AAAAAHfXby4=")</f>
        <v>#VALUE!</v>
      </c>
      <c r="AV48" t="e">
        <f>AND('UP133'!AW9,"AAAAAHfXby8=")</f>
        <v>#VALUE!</v>
      </c>
      <c r="AW48" t="e">
        <f>AND('UP133'!AX9,"AAAAAHfXbzA=")</f>
        <v>#VALUE!</v>
      </c>
      <c r="AX48" t="e">
        <f>AND('UP133'!AY9,"AAAAAHfXbzE=")</f>
        <v>#VALUE!</v>
      </c>
      <c r="AY48" t="e">
        <f>AND('UP133'!AZ9,"AAAAAHfXbzI=")</f>
        <v>#VALUE!</v>
      </c>
      <c r="AZ48" t="e">
        <f>AND('UP133'!BA9,"AAAAAHfXbzM=")</f>
        <v>#VALUE!</v>
      </c>
      <c r="BA48" t="e">
        <f>AND('UP133'!BB9,"AAAAAHfXbzQ=")</f>
        <v>#VALUE!</v>
      </c>
      <c r="BB48" t="e">
        <f>AND('UP133'!BC9,"AAAAAHfXbzU=")</f>
        <v>#VALUE!</v>
      </c>
      <c r="BC48" t="e">
        <f>AND('UP133'!BD9,"AAAAAHfXbzY=")</f>
        <v>#VALUE!</v>
      </c>
      <c r="BD48" t="e">
        <f>AND('UP133'!BE9,"AAAAAHfXbzc=")</f>
        <v>#VALUE!</v>
      </c>
      <c r="BE48" t="e">
        <f>AND('UP133'!BF9,"AAAAAHfXbzg=")</f>
        <v>#VALUE!</v>
      </c>
      <c r="BF48" t="e">
        <f>AND('UP133'!BG9,"AAAAAHfXbzk=")</f>
        <v>#VALUE!</v>
      </c>
      <c r="BG48" t="e">
        <f>AND('UP133'!BH9,"AAAAAHfXbzo=")</f>
        <v>#VALUE!</v>
      </c>
      <c r="BH48" t="e">
        <f>AND('UP133'!BI9,"AAAAAHfXbzs=")</f>
        <v>#VALUE!</v>
      </c>
      <c r="BI48" t="e">
        <f>AND('UP133'!BJ9,"AAAAAHfXbzw=")</f>
        <v>#VALUE!</v>
      </c>
      <c r="BJ48" t="e">
        <f>AND('UP133'!BK9,"AAAAAHfXbz0=")</f>
        <v>#VALUE!</v>
      </c>
      <c r="BK48" t="e">
        <f>AND('UP133'!BL9,"AAAAAHfXbz4=")</f>
        <v>#VALUE!</v>
      </c>
      <c r="BL48" t="e">
        <f>AND('UP133'!BM9,"AAAAAHfXbz8=")</f>
        <v>#VALUE!</v>
      </c>
      <c r="BM48" t="e">
        <f>AND('UP133'!BN9,"AAAAAHfXb0A=")</f>
        <v>#VALUE!</v>
      </c>
      <c r="BN48" t="e">
        <f>AND('UP133'!BO9,"AAAAAHfXb0E=")</f>
        <v>#VALUE!</v>
      </c>
      <c r="BO48" t="e">
        <f>AND('UP133'!BP9,"AAAAAHfXb0I=")</f>
        <v>#VALUE!</v>
      </c>
      <c r="BP48" t="e">
        <f>AND('UP133'!BQ9,"AAAAAHfXb0M=")</f>
        <v>#VALUE!</v>
      </c>
      <c r="BQ48" t="e">
        <f>AND('UP133'!BR9,"AAAAAHfXb0Q=")</f>
        <v>#VALUE!</v>
      </c>
      <c r="BR48" t="e">
        <f>AND('UP133'!BS9,"AAAAAHfXb0U=")</f>
        <v>#VALUE!</v>
      </c>
      <c r="BS48" t="e">
        <f>AND('UP133'!BT9,"AAAAAHfXb0Y=")</f>
        <v>#VALUE!</v>
      </c>
      <c r="BT48" t="e">
        <f>AND('UP133'!BU9,"AAAAAHfXb0c=")</f>
        <v>#VALUE!</v>
      </c>
      <c r="BU48" t="e">
        <f>AND('UP133'!BV9,"AAAAAHfXb0g=")</f>
        <v>#VALUE!</v>
      </c>
      <c r="BV48" t="e">
        <f>AND('UP133'!BW9,"AAAAAHfXb0k=")</f>
        <v>#VALUE!</v>
      </c>
      <c r="BW48" t="e">
        <f>AND('UP133'!BX9,"AAAAAHfXb0o=")</f>
        <v>#VALUE!</v>
      </c>
      <c r="BX48" t="e">
        <f>AND('UP133'!BY9,"AAAAAHfXb0s=")</f>
        <v>#VALUE!</v>
      </c>
      <c r="BY48" t="e">
        <f>AND('UP133'!BZ9,"AAAAAHfXb0w=")</f>
        <v>#VALUE!</v>
      </c>
      <c r="BZ48" t="e">
        <f>AND('UP133'!CA9,"AAAAAHfXb00=")</f>
        <v>#VALUE!</v>
      </c>
      <c r="CA48" t="e">
        <f>AND('UP133'!CB9,"AAAAAHfXb04=")</f>
        <v>#VALUE!</v>
      </c>
      <c r="CB48" t="e">
        <f>AND('UP133'!CC9,"AAAAAHfXb08=")</f>
        <v>#VALUE!</v>
      </c>
      <c r="CC48" t="e">
        <f>AND('UP133'!CD9,"AAAAAHfXb1A=")</f>
        <v>#VALUE!</v>
      </c>
      <c r="CD48" t="e">
        <f>AND('UP133'!CE9,"AAAAAHfXb1E=")</f>
        <v>#VALUE!</v>
      </c>
      <c r="CE48" t="e">
        <f>AND('UP133'!CF9,"AAAAAHfXb1I=")</f>
        <v>#VALUE!</v>
      </c>
      <c r="CF48" t="e">
        <f>AND('UP133'!CG9,"AAAAAHfXb1M=")</f>
        <v>#VALUE!</v>
      </c>
      <c r="CG48" t="e">
        <f>AND('UP133'!CH9,"AAAAAHfXb1Q=")</f>
        <v>#VALUE!</v>
      </c>
      <c r="CH48" t="e">
        <f>AND('UP133'!CI9,"AAAAAHfXb1U=")</f>
        <v>#VALUE!</v>
      </c>
      <c r="CI48" t="e">
        <f>AND('UP133'!CJ9,"AAAAAHfXb1Y=")</f>
        <v>#VALUE!</v>
      </c>
      <c r="CJ48" t="e">
        <f>AND('UP133'!CK9,"AAAAAHfXb1c=")</f>
        <v>#VALUE!</v>
      </c>
      <c r="CK48" t="e">
        <f>AND('UP133'!CL9,"AAAAAHfXb1g=")</f>
        <v>#VALUE!</v>
      </c>
      <c r="CL48" t="e">
        <f>AND('UP133'!CM9,"AAAAAHfXb1k=")</f>
        <v>#VALUE!</v>
      </c>
      <c r="CM48" t="e">
        <f>AND('UP133'!CN9,"AAAAAHfXb1o=")</f>
        <v>#VALUE!</v>
      </c>
      <c r="CN48" t="e">
        <f>AND('UP133'!CO9,"AAAAAHfXb1s=")</f>
        <v>#VALUE!</v>
      </c>
      <c r="CO48" t="e">
        <f>AND('UP133'!CP9,"AAAAAHfXb1w=")</f>
        <v>#VALUE!</v>
      </c>
      <c r="CP48" t="e">
        <f>AND('UP133'!CQ9,"AAAAAHfXb10=")</f>
        <v>#VALUE!</v>
      </c>
      <c r="CQ48" t="e">
        <f>AND('UP133'!CR9,"AAAAAHfXb14=")</f>
        <v>#VALUE!</v>
      </c>
      <c r="CR48" t="e">
        <f>AND('UP133'!CS9,"AAAAAHfXb18=")</f>
        <v>#VALUE!</v>
      </c>
      <c r="CS48" t="e">
        <f>AND('UP133'!CT9,"AAAAAHfXb2A=")</f>
        <v>#VALUE!</v>
      </c>
      <c r="CT48" t="e">
        <f>AND('UP133'!CU9,"AAAAAHfXb2E=")</f>
        <v>#VALUE!</v>
      </c>
      <c r="CU48" t="e">
        <f>AND('UP133'!CV9,"AAAAAHfXb2I=")</f>
        <v>#VALUE!</v>
      </c>
      <c r="CV48" t="e">
        <f>AND('UP133'!CW9,"AAAAAHfXb2M=")</f>
        <v>#VALUE!</v>
      </c>
      <c r="CW48" t="e">
        <f>AND('UP133'!CX9,"AAAAAHfXb2Q=")</f>
        <v>#VALUE!</v>
      </c>
      <c r="CX48" t="e">
        <f>AND('UP133'!CY9,"AAAAAHfXb2U=")</f>
        <v>#VALUE!</v>
      </c>
      <c r="CY48" t="e">
        <f>AND('UP133'!CZ9,"AAAAAHfXb2Y=")</f>
        <v>#VALUE!</v>
      </c>
      <c r="CZ48" t="e">
        <f>AND('UP133'!DA9,"AAAAAHfXb2c=")</f>
        <v>#VALUE!</v>
      </c>
      <c r="DA48" t="e">
        <f>AND('UP133'!DB9,"AAAAAHfXb2g=")</f>
        <v>#VALUE!</v>
      </c>
      <c r="DB48" t="e">
        <f>AND('UP133'!DC9,"AAAAAHfXb2k=")</f>
        <v>#VALUE!</v>
      </c>
      <c r="DC48" t="e">
        <f>AND('UP133'!DD9,"AAAAAHfXb2o=")</f>
        <v>#VALUE!</v>
      </c>
      <c r="DD48" t="e">
        <f>AND('UP133'!DE9,"AAAAAHfXb2s=")</f>
        <v>#VALUE!</v>
      </c>
      <c r="DE48" t="e">
        <f>AND('UP133'!DF9,"AAAAAHfXb2w=")</f>
        <v>#VALUE!</v>
      </c>
      <c r="DF48" t="e">
        <f>AND('UP133'!DG9,"AAAAAHfXb20=")</f>
        <v>#VALUE!</v>
      </c>
      <c r="DG48" t="e">
        <f>AND('UP133'!DH9,"AAAAAHfXb24=")</f>
        <v>#VALUE!</v>
      </c>
      <c r="DH48" t="e">
        <f>AND('UP133'!DI9,"AAAAAHfXb28=")</f>
        <v>#VALUE!</v>
      </c>
      <c r="DI48" t="e">
        <f>AND('UP133'!DJ9,"AAAAAHfXb3A=")</f>
        <v>#VALUE!</v>
      </c>
      <c r="DJ48" t="e">
        <f>AND('UP133'!DK9,"AAAAAHfXb3E=")</f>
        <v>#VALUE!</v>
      </c>
      <c r="DK48" t="e">
        <f>AND('UP133'!DL9,"AAAAAHfXb3I=")</f>
        <v>#VALUE!</v>
      </c>
      <c r="DL48" t="e">
        <f>AND('UP133'!DM9,"AAAAAHfXb3M=")</f>
        <v>#VALUE!</v>
      </c>
      <c r="DM48" t="e">
        <f>AND('UP133'!DN9,"AAAAAHfXb3Q=")</f>
        <v>#VALUE!</v>
      </c>
      <c r="DN48" t="e">
        <f>AND('UP133'!DO9,"AAAAAHfXb3U=")</f>
        <v>#VALUE!</v>
      </c>
      <c r="DO48" t="e">
        <f>AND('UP133'!DP9,"AAAAAHfXb3Y=")</f>
        <v>#VALUE!</v>
      </c>
      <c r="DP48" t="e">
        <f>AND('UP133'!DQ9,"AAAAAHfXb3c=")</f>
        <v>#VALUE!</v>
      </c>
      <c r="DQ48" t="e">
        <f>AND('UP133'!DR9,"AAAAAHfXb3g=")</f>
        <v>#VALUE!</v>
      </c>
      <c r="DR48" t="e">
        <f>AND('UP133'!DS9,"AAAAAHfXb3k=")</f>
        <v>#VALUE!</v>
      </c>
      <c r="DS48" t="e">
        <f>AND('UP133'!DT9,"AAAAAHfXb3o=")</f>
        <v>#VALUE!</v>
      </c>
      <c r="DT48" t="e">
        <f>AND('UP133'!DU9,"AAAAAHfXb3s=")</f>
        <v>#VALUE!</v>
      </c>
      <c r="DU48" t="e">
        <f>AND('UP133'!DV9,"AAAAAHfXb3w=")</f>
        <v>#VALUE!</v>
      </c>
      <c r="DV48" t="e">
        <f>AND('UP133'!DW9,"AAAAAHfXb30=")</f>
        <v>#VALUE!</v>
      </c>
      <c r="DW48" t="e">
        <f>AND('UP133'!DX9,"AAAAAHfXb34=")</f>
        <v>#VALUE!</v>
      </c>
      <c r="DX48" t="e">
        <f>AND('UP133'!DY9,"AAAAAHfXb38=")</f>
        <v>#VALUE!</v>
      </c>
      <c r="DY48" t="e">
        <f>AND('UP133'!DZ9,"AAAAAHfXb4A=")</f>
        <v>#VALUE!</v>
      </c>
      <c r="DZ48" t="e">
        <f>AND('UP133'!EA9,"AAAAAHfXb4E=")</f>
        <v>#VALUE!</v>
      </c>
      <c r="EA48" t="e">
        <f>AND('UP133'!EB9,"AAAAAHfXb4I=")</f>
        <v>#VALUE!</v>
      </c>
      <c r="EB48" t="e">
        <f>AND('UP133'!EC9,"AAAAAHfXb4M=")</f>
        <v>#VALUE!</v>
      </c>
      <c r="EC48" t="e">
        <f>AND('UP133'!ED9,"AAAAAHfXb4Q=")</f>
        <v>#VALUE!</v>
      </c>
      <c r="ED48" t="e">
        <f>AND('UP133'!EE9,"AAAAAHfXb4U=")</f>
        <v>#VALUE!</v>
      </c>
      <c r="EE48" t="e">
        <f>AND('UP133'!EF9,"AAAAAHfXb4Y=")</f>
        <v>#VALUE!</v>
      </c>
      <c r="EF48" t="e">
        <f>AND('UP133'!EG9,"AAAAAHfXb4c=")</f>
        <v>#VALUE!</v>
      </c>
      <c r="EG48" t="e">
        <f>AND('UP133'!EH9,"AAAAAHfXb4g=")</f>
        <v>#VALUE!</v>
      </c>
      <c r="EH48" t="e">
        <f>AND('UP133'!EI9,"AAAAAHfXb4k=")</f>
        <v>#VALUE!</v>
      </c>
      <c r="EI48" t="e">
        <f>AND('UP133'!EJ9,"AAAAAHfXb4o=")</f>
        <v>#VALUE!</v>
      </c>
      <c r="EJ48" t="e">
        <f>AND('UP133'!EK9,"AAAAAHfXb4s=")</f>
        <v>#VALUE!</v>
      </c>
      <c r="EK48" t="e">
        <f>AND('UP133'!EL9,"AAAAAHfXb4w=")</f>
        <v>#VALUE!</v>
      </c>
      <c r="EL48" t="e">
        <f>AND('UP133'!EM9,"AAAAAHfXb40=")</f>
        <v>#VALUE!</v>
      </c>
      <c r="EM48" t="e">
        <f>AND('UP133'!EN9,"AAAAAHfXb44=")</f>
        <v>#VALUE!</v>
      </c>
      <c r="EN48" t="e">
        <f>AND('UP133'!EO9,"AAAAAHfXb48=")</f>
        <v>#VALUE!</v>
      </c>
      <c r="EO48" t="e">
        <f>AND('UP133'!EP9,"AAAAAHfXb5A=")</f>
        <v>#VALUE!</v>
      </c>
      <c r="EP48" t="e">
        <f>AND('UP133'!EQ9,"AAAAAHfXb5E=")</f>
        <v>#VALUE!</v>
      </c>
      <c r="EQ48" t="e">
        <f>AND('UP133'!ER9,"AAAAAHfXb5I=")</f>
        <v>#VALUE!</v>
      </c>
      <c r="ER48" t="e">
        <f>AND('UP133'!ES9,"AAAAAHfXb5M=")</f>
        <v>#VALUE!</v>
      </c>
      <c r="ES48" t="e">
        <f>AND('UP133'!ET9,"AAAAAHfXb5Q=")</f>
        <v>#VALUE!</v>
      </c>
      <c r="ET48" t="e">
        <f>AND('UP133'!EU9,"AAAAAHfXb5U=")</f>
        <v>#VALUE!</v>
      </c>
      <c r="EU48" t="e">
        <f>AND('UP133'!EV9,"AAAAAHfXb5Y=")</f>
        <v>#VALUE!</v>
      </c>
      <c r="EV48" t="e">
        <f>AND('UP133'!EW9,"AAAAAHfXb5c=")</f>
        <v>#VALUE!</v>
      </c>
      <c r="EW48" t="e">
        <f>AND('UP133'!EX9,"AAAAAHfXb5g=")</f>
        <v>#VALUE!</v>
      </c>
      <c r="EX48" t="e">
        <f>AND('UP133'!EY9,"AAAAAHfXb5k=")</f>
        <v>#VALUE!</v>
      </c>
      <c r="EY48" t="e">
        <f>AND('UP133'!EZ9,"AAAAAHfXb5o=")</f>
        <v>#VALUE!</v>
      </c>
      <c r="EZ48" t="e">
        <f>AND('UP133'!FA9,"AAAAAHfXb5s=")</f>
        <v>#VALUE!</v>
      </c>
      <c r="FA48" t="e">
        <f>AND('UP133'!FB9,"AAAAAHfXb5w=")</f>
        <v>#VALUE!</v>
      </c>
      <c r="FB48" t="e">
        <f>AND('UP133'!FC9,"AAAAAHfXb50=")</f>
        <v>#VALUE!</v>
      </c>
      <c r="FC48" t="e">
        <f>AND('UP133'!FD9,"AAAAAHfXb54=")</f>
        <v>#VALUE!</v>
      </c>
      <c r="FD48" t="e">
        <f>AND('UP133'!FE9,"AAAAAHfXb58=")</f>
        <v>#VALUE!</v>
      </c>
      <c r="FE48" t="e">
        <f>AND('UP133'!FF9,"AAAAAHfXb6A=")</f>
        <v>#VALUE!</v>
      </c>
      <c r="FF48" t="e">
        <f>AND('UP133'!FG9,"AAAAAHfXb6E=")</f>
        <v>#VALUE!</v>
      </c>
      <c r="FG48" t="e">
        <f>AND('UP133'!FH9,"AAAAAHfXb6I=")</f>
        <v>#VALUE!</v>
      </c>
      <c r="FH48" t="e">
        <f>AND('UP133'!FI9,"AAAAAHfXb6M=")</f>
        <v>#VALUE!</v>
      </c>
      <c r="FI48" t="e">
        <f>AND('UP133'!FJ9,"AAAAAHfXb6Q=")</f>
        <v>#VALUE!</v>
      </c>
      <c r="FJ48" t="e">
        <f>AND('UP133'!FK9,"AAAAAHfXb6U=")</f>
        <v>#VALUE!</v>
      </c>
      <c r="FK48" t="e">
        <f>AND('UP133'!FL9,"AAAAAHfXb6Y=")</f>
        <v>#VALUE!</v>
      </c>
      <c r="FL48" t="e">
        <f>AND('UP133'!FM9,"AAAAAHfXb6c=")</f>
        <v>#VALUE!</v>
      </c>
      <c r="FM48" t="e">
        <f>AND('UP133'!FN9,"AAAAAHfXb6g=")</f>
        <v>#VALUE!</v>
      </c>
      <c r="FN48" t="e">
        <f>AND('UP133'!FO9,"AAAAAHfXb6k=")</f>
        <v>#VALUE!</v>
      </c>
      <c r="FO48" t="e">
        <f>AND('UP133'!FP9,"AAAAAHfXb6o=")</f>
        <v>#VALUE!</v>
      </c>
      <c r="FP48" t="e">
        <f>AND('UP133'!FQ9,"AAAAAHfXb6s=")</f>
        <v>#VALUE!</v>
      </c>
      <c r="FQ48" t="e">
        <f>AND('UP133'!FR9,"AAAAAHfXb6w=")</f>
        <v>#VALUE!</v>
      </c>
      <c r="FR48" t="e">
        <f>AND('UP133'!FS9,"AAAAAHfXb60=")</f>
        <v>#VALUE!</v>
      </c>
      <c r="FS48" t="e">
        <f>AND('UP133'!FT9,"AAAAAHfXb64=")</f>
        <v>#VALUE!</v>
      </c>
      <c r="FT48" t="e">
        <f>AND('UP133'!FU9,"AAAAAHfXb68=")</f>
        <v>#VALUE!</v>
      </c>
      <c r="FU48" t="e">
        <f>AND('UP133'!FV9,"AAAAAHfXb7A=")</f>
        <v>#VALUE!</v>
      </c>
      <c r="FV48" t="e">
        <f>AND('UP133'!FW9,"AAAAAHfXb7E=")</f>
        <v>#VALUE!</v>
      </c>
      <c r="FW48" t="e">
        <f>AND('UP133'!FX9,"AAAAAHfXb7I=")</f>
        <v>#VALUE!</v>
      </c>
      <c r="FX48" t="e">
        <f>AND('UP133'!FY9,"AAAAAHfXb7M=")</f>
        <v>#VALUE!</v>
      </c>
      <c r="FY48" t="e">
        <f>AND('UP133'!FZ9,"AAAAAHfXb7Q=")</f>
        <v>#VALUE!</v>
      </c>
      <c r="FZ48" t="e">
        <f>AND('UP133'!GA9,"AAAAAHfXb7U=")</f>
        <v>#VALUE!</v>
      </c>
      <c r="GA48" t="e">
        <f>AND('UP133'!GB9,"AAAAAHfXb7Y=")</f>
        <v>#VALUE!</v>
      </c>
      <c r="GB48" t="e">
        <f>AND('UP133'!GC9,"AAAAAHfXb7c=")</f>
        <v>#VALUE!</v>
      </c>
      <c r="GC48" t="e">
        <f>AND('UP133'!GD9,"AAAAAHfXb7g=")</f>
        <v>#VALUE!</v>
      </c>
      <c r="GD48" t="e">
        <f>AND('UP133'!GE9,"AAAAAHfXb7k=")</f>
        <v>#VALUE!</v>
      </c>
      <c r="GE48" t="e">
        <f>AND('UP133'!GF9,"AAAAAHfXb7o=")</f>
        <v>#VALUE!</v>
      </c>
      <c r="GF48" t="e">
        <f>AND('UP133'!GG9,"AAAAAHfXb7s=")</f>
        <v>#VALUE!</v>
      </c>
      <c r="GG48" t="e">
        <f>AND('UP133'!GH9,"AAAAAHfXb7w=")</f>
        <v>#VALUE!</v>
      </c>
      <c r="GH48" t="e">
        <f>AND('UP133'!GI9,"AAAAAHfXb70=")</f>
        <v>#VALUE!</v>
      </c>
      <c r="GI48" t="e">
        <f>AND('UP133'!GJ9,"AAAAAHfXb74=")</f>
        <v>#VALUE!</v>
      </c>
      <c r="GJ48" t="e">
        <f>AND('UP133'!GK9,"AAAAAHfXb78=")</f>
        <v>#VALUE!</v>
      </c>
      <c r="GK48" t="e">
        <f>AND('UP133'!GL9,"AAAAAHfXb8A=")</f>
        <v>#VALUE!</v>
      </c>
      <c r="GL48" t="e">
        <f>AND('UP133'!GM9,"AAAAAHfXb8E=")</f>
        <v>#VALUE!</v>
      </c>
      <c r="GM48" t="e">
        <f>AND('UP133'!GN9,"AAAAAHfXb8I=")</f>
        <v>#VALUE!</v>
      </c>
      <c r="GN48" t="e">
        <f>AND('UP133'!GO9,"AAAAAHfXb8M=")</f>
        <v>#VALUE!</v>
      </c>
      <c r="GO48" t="e">
        <f>AND('UP133'!GP9,"AAAAAHfXb8Q=")</f>
        <v>#VALUE!</v>
      </c>
      <c r="GP48" t="e">
        <f>AND('UP133'!GQ9,"AAAAAHfXb8U=")</f>
        <v>#VALUE!</v>
      </c>
      <c r="GQ48" t="e">
        <f>AND('UP133'!GR9,"AAAAAHfXb8Y=")</f>
        <v>#VALUE!</v>
      </c>
      <c r="GR48" t="e">
        <f>AND('UP133'!GS9,"AAAAAHfXb8c=")</f>
        <v>#VALUE!</v>
      </c>
      <c r="GS48" t="e">
        <f>AND('UP133'!GT9,"AAAAAHfXb8g=")</f>
        <v>#VALUE!</v>
      </c>
      <c r="GT48" t="e">
        <f>AND('UP133'!GU9,"AAAAAHfXb8k=")</f>
        <v>#VALUE!</v>
      </c>
      <c r="GU48" t="e">
        <f>AND('UP133'!GV9,"AAAAAHfXb8o=")</f>
        <v>#VALUE!</v>
      </c>
      <c r="GV48" t="e">
        <f>AND('UP133'!GW9,"AAAAAHfXb8s=")</f>
        <v>#VALUE!</v>
      </c>
      <c r="GW48" t="e">
        <f>AND('UP133'!GX9,"AAAAAHfXb8w=")</f>
        <v>#VALUE!</v>
      </c>
      <c r="GX48" t="e">
        <f>AND('UP133'!GY9,"AAAAAHfXb80=")</f>
        <v>#VALUE!</v>
      </c>
      <c r="GY48" t="e">
        <f>AND('UP133'!GZ9,"AAAAAHfXb84=")</f>
        <v>#VALUE!</v>
      </c>
      <c r="GZ48" t="e">
        <f>AND('UP133'!HA9,"AAAAAHfXb88=")</f>
        <v>#VALUE!</v>
      </c>
      <c r="HA48" t="e">
        <f>AND('UP133'!HB9,"AAAAAHfXb9A=")</f>
        <v>#VALUE!</v>
      </c>
      <c r="HB48" t="e">
        <f>AND('UP133'!HC9,"AAAAAHfXb9E=")</f>
        <v>#VALUE!</v>
      </c>
      <c r="HC48" t="e">
        <f>AND('UP133'!HD9,"AAAAAHfXb9I=")</f>
        <v>#VALUE!</v>
      </c>
      <c r="HD48" t="e">
        <f>AND('UP133'!HE9,"AAAAAHfXb9M=")</f>
        <v>#VALUE!</v>
      </c>
      <c r="HE48" t="e">
        <f>AND('UP133'!HF9,"AAAAAHfXb9Q=")</f>
        <v>#VALUE!</v>
      </c>
      <c r="HF48" t="e">
        <f>AND('UP133'!HG9,"AAAAAHfXb9U=")</f>
        <v>#VALUE!</v>
      </c>
      <c r="HG48" t="e">
        <f>AND('UP133'!HH9,"AAAAAHfXb9Y=")</f>
        <v>#VALUE!</v>
      </c>
      <c r="HH48" t="e">
        <f>AND('UP133'!HI9,"AAAAAHfXb9c=")</f>
        <v>#VALUE!</v>
      </c>
      <c r="HI48" t="e">
        <f>AND('UP133'!HJ9,"AAAAAHfXb9g=")</f>
        <v>#VALUE!</v>
      </c>
      <c r="HJ48" t="e">
        <f>AND('UP133'!HK9,"AAAAAHfXb9k=")</f>
        <v>#VALUE!</v>
      </c>
      <c r="HK48" t="e">
        <f>AND('UP133'!HL9,"AAAAAHfXb9o=")</f>
        <v>#VALUE!</v>
      </c>
      <c r="HL48" t="e">
        <f>AND('UP133'!HM9,"AAAAAHfXb9s=")</f>
        <v>#VALUE!</v>
      </c>
      <c r="HM48" t="e">
        <f>AND('UP133'!HN9,"AAAAAHfXb9w=")</f>
        <v>#VALUE!</v>
      </c>
      <c r="HN48" t="e">
        <f>AND('UP133'!HO9,"AAAAAHfXb90=")</f>
        <v>#VALUE!</v>
      </c>
      <c r="HO48" t="e">
        <f>AND('UP133'!HP9,"AAAAAHfXb94=")</f>
        <v>#VALUE!</v>
      </c>
      <c r="HP48" t="e">
        <f>AND('UP133'!HQ9,"AAAAAHfXb98=")</f>
        <v>#VALUE!</v>
      </c>
      <c r="HQ48" t="e">
        <f>AND('UP133'!HR9,"AAAAAHfXb+A=")</f>
        <v>#VALUE!</v>
      </c>
      <c r="HR48" t="e">
        <f>AND('UP133'!HS9,"AAAAAHfXb+E=")</f>
        <v>#VALUE!</v>
      </c>
      <c r="HS48" t="e">
        <f>AND('UP133'!HT9,"AAAAAHfXb+I=")</f>
        <v>#VALUE!</v>
      </c>
      <c r="HT48" t="e">
        <f>AND('UP133'!HU9,"AAAAAHfXb+M=")</f>
        <v>#VALUE!</v>
      </c>
      <c r="HU48" t="e">
        <f>AND('UP133'!HV9,"AAAAAHfXb+Q=")</f>
        <v>#VALUE!</v>
      </c>
      <c r="HV48" t="e">
        <f>AND('UP133'!HW9,"AAAAAHfXb+U=")</f>
        <v>#VALUE!</v>
      </c>
      <c r="HW48" t="e">
        <f>AND('UP133'!HX9,"AAAAAHfXb+Y=")</f>
        <v>#VALUE!</v>
      </c>
      <c r="HX48" t="e">
        <f>AND('UP133'!HY9,"AAAAAHfXb+c=")</f>
        <v>#VALUE!</v>
      </c>
      <c r="HY48" t="e">
        <f>AND('UP133'!HZ9,"AAAAAHfXb+g=")</f>
        <v>#VALUE!</v>
      </c>
      <c r="HZ48" t="e">
        <f>AND('UP133'!IA9,"AAAAAHfXb+k=")</f>
        <v>#VALUE!</v>
      </c>
      <c r="IA48" t="e">
        <f>AND('UP133'!IB9,"AAAAAHfXb+o=")</f>
        <v>#VALUE!</v>
      </c>
      <c r="IB48" t="e">
        <f>AND('UP133'!IC9,"AAAAAHfXb+s=")</f>
        <v>#VALUE!</v>
      </c>
      <c r="IC48" t="e">
        <f>AND('UP133'!ID9,"AAAAAHfXb+w=")</f>
        <v>#VALUE!</v>
      </c>
      <c r="ID48" t="e">
        <f>AND('UP133'!IE9,"AAAAAHfXb+0=")</f>
        <v>#VALUE!</v>
      </c>
      <c r="IE48" t="e">
        <f>AND('UP133'!IF9,"AAAAAHfXb+4=")</f>
        <v>#VALUE!</v>
      </c>
      <c r="IF48" t="e">
        <f>AND('UP133'!IG9,"AAAAAHfXb+8=")</f>
        <v>#VALUE!</v>
      </c>
      <c r="IG48" t="e">
        <f>AND('UP133'!IH9,"AAAAAHfXb/A=")</f>
        <v>#VALUE!</v>
      </c>
      <c r="IH48" t="e">
        <f>AND('UP133'!II9,"AAAAAHfXb/E=")</f>
        <v>#VALUE!</v>
      </c>
      <c r="II48" t="e">
        <f>AND('UP133'!IJ9,"AAAAAHfXb/I=")</f>
        <v>#VALUE!</v>
      </c>
      <c r="IJ48" t="e">
        <f>AND('UP133'!IK9,"AAAAAHfXb/M=")</f>
        <v>#VALUE!</v>
      </c>
      <c r="IK48" t="e">
        <f>AND('UP133'!IL9,"AAAAAHfXb/Q=")</f>
        <v>#VALUE!</v>
      </c>
      <c r="IL48" t="e">
        <f>AND('UP133'!IM9,"AAAAAHfXb/U=")</f>
        <v>#VALUE!</v>
      </c>
      <c r="IM48" t="e">
        <f>AND('UP133'!IN9,"AAAAAHfXb/Y=")</f>
        <v>#VALUE!</v>
      </c>
      <c r="IN48" t="e">
        <f>AND('UP133'!IO9,"AAAAAHfXb/c=")</f>
        <v>#VALUE!</v>
      </c>
      <c r="IO48" t="e">
        <f>AND('UP133'!IP9,"AAAAAHfXb/g=")</f>
        <v>#VALUE!</v>
      </c>
      <c r="IP48" t="e">
        <f>AND('UP133'!IQ9,"AAAAAHfXb/k=")</f>
        <v>#VALUE!</v>
      </c>
      <c r="IQ48">
        <f>IF('UP133'!10:10,"AAAAAHfXb/o=",0)</f>
        <v>0</v>
      </c>
      <c r="IR48" t="e">
        <f>AND('UP133'!A10,"AAAAAHfXb/s=")</f>
        <v>#VALUE!</v>
      </c>
      <c r="IS48" t="e">
        <f>AND('UP133'!B10,"AAAAAHfXb/w=")</f>
        <v>#VALUE!</v>
      </c>
      <c r="IT48" t="e">
        <f>AND('UP133'!C10,"AAAAAHfXb/0=")</f>
        <v>#VALUE!</v>
      </c>
      <c r="IU48" t="e">
        <f>AND('UP133'!D10,"AAAAAHfXb/4=")</f>
        <v>#VALUE!</v>
      </c>
      <c r="IV48" t="e">
        <f>AND('UP133'!E10,"AAAAAHfXb/8=")</f>
        <v>#VALUE!</v>
      </c>
    </row>
    <row r="49" spans="1:256">
      <c r="A49" t="e">
        <f>AND('UP133'!F10,"AAAAAHdrLQA=")</f>
        <v>#VALUE!</v>
      </c>
      <c r="B49" t="e">
        <f>AND('UP133'!G10,"AAAAAHdrLQE=")</f>
        <v>#VALUE!</v>
      </c>
      <c r="C49" t="e">
        <f>AND('UP133'!H10,"AAAAAHdrLQI=")</f>
        <v>#VALUE!</v>
      </c>
      <c r="D49" t="e">
        <f>AND('UP133'!I10,"AAAAAHdrLQM=")</f>
        <v>#VALUE!</v>
      </c>
      <c r="E49" t="e">
        <f>AND('UP133'!J10,"AAAAAHdrLQQ=")</f>
        <v>#VALUE!</v>
      </c>
      <c r="F49" t="e">
        <f>AND('UP133'!K10,"AAAAAHdrLQU=")</f>
        <v>#VALUE!</v>
      </c>
      <c r="G49" t="e">
        <f>AND('UP133'!L10,"AAAAAHdrLQY=")</f>
        <v>#VALUE!</v>
      </c>
      <c r="H49" t="e">
        <f>AND('UP133'!M10,"AAAAAHdrLQc=")</f>
        <v>#VALUE!</v>
      </c>
      <c r="I49" t="e">
        <f>AND('UP133'!N10,"AAAAAHdrLQg=")</f>
        <v>#VALUE!</v>
      </c>
      <c r="J49" t="e">
        <f>AND('UP133'!O10,"AAAAAHdrLQk=")</f>
        <v>#VALUE!</v>
      </c>
      <c r="K49" t="e">
        <f>AND('UP133'!P10,"AAAAAHdrLQo=")</f>
        <v>#VALUE!</v>
      </c>
      <c r="L49" t="e">
        <f>AND('UP133'!Q10,"AAAAAHdrLQs=")</f>
        <v>#VALUE!</v>
      </c>
      <c r="M49" t="e">
        <f>AND('UP133'!R10,"AAAAAHdrLQw=")</f>
        <v>#VALUE!</v>
      </c>
      <c r="N49" t="e">
        <f>AND('UP133'!S10,"AAAAAHdrLQ0=")</f>
        <v>#VALUE!</v>
      </c>
      <c r="O49" t="e">
        <f>AND('UP133'!T10,"AAAAAHdrLQ4=")</f>
        <v>#VALUE!</v>
      </c>
      <c r="P49" t="e">
        <f>AND('UP133'!U10,"AAAAAHdrLQ8=")</f>
        <v>#VALUE!</v>
      </c>
      <c r="Q49" t="e">
        <f>AND('UP133'!V10,"AAAAAHdrLRA=")</f>
        <v>#VALUE!</v>
      </c>
      <c r="R49" t="e">
        <f>AND('UP133'!W10,"AAAAAHdrLRE=")</f>
        <v>#VALUE!</v>
      </c>
      <c r="S49" t="e">
        <f>AND('UP133'!X10,"AAAAAHdrLRI=")</f>
        <v>#VALUE!</v>
      </c>
      <c r="T49" t="e">
        <f>AND('UP133'!Y10,"AAAAAHdrLRM=")</f>
        <v>#VALUE!</v>
      </c>
      <c r="U49" t="e">
        <f>AND('UP133'!Z10,"AAAAAHdrLRQ=")</f>
        <v>#VALUE!</v>
      </c>
      <c r="V49" t="e">
        <f>AND('UP133'!AA10,"AAAAAHdrLRU=")</f>
        <v>#VALUE!</v>
      </c>
      <c r="W49" t="e">
        <f>AND('UP133'!AB10,"AAAAAHdrLRY=")</f>
        <v>#VALUE!</v>
      </c>
      <c r="X49" t="e">
        <f>AND('UP133'!AC10,"AAAAAHdrLRc=")</f>
        <v>#VALUE!</v>
      </c>
      <c r="Y49" t="e">
        <f>AND('UP133'!AD10,"AAAAAHdrLRg=")</f>
        <v>#VALUE!</v>
      </c>
      <c r="Z49" t="e">
        <f>AND('UP133'!AE10,"AAAAAHdrLRk=")</f>
        <v>#VALUE!</v>
      </c>
      <c r="AA49" t="e">
        <f>AND('UP133'!AF10,"AAAAAHdrLRo=")</f>
        <v>#VALUE!</v>
      </c>
      <c r="AB49" t="e">
        <f>AND('UP133'!AG10,"AAAAAHdrLRs=")</f>
        <v>#VALUE!</v>
      </c>
      <c r="AC49" t="e">
        <f>AND('UP133'!AH10,"AAAAAHdrLRw=")</f>
        <v>#VALUE!</v>
      </c>
      <c r="AD49" t="e">
        <f>AND('UP133'!AI10,"AAAAAHdrLR0=")</f>
        <v>#VALUE!</v>
      </c>
      <c r="AE49" t="e">
        <f>AND('UP133'!AJ10,"AAAAAHdrLR4=")</f>
        <v>#VALUE!</v>
      </c>
      <c r="AF49" t="e">
        <f>AND('UP133'!AK10,"AAAAAHdrLR8=")</f>
        <v>#VALUE!</v>
      </c>
      <c r="AG49" t="e">
        <f>AND('UP133'!AL10,"AAAAAHdrLSA=")</f>
        <v>#VALUE!</v>
      </c>
      <c r="AH49" t="e">
        <f>AND('UP133'!AM10,"AAAAAHdrLSE=")</f>
        <v>#VALUE!</v>
      </c>
      <c r="AI49" t="e">
        <f>AND('UP133'!AN10,"AAAAAHdrLSI=")</f>
        <v>#VALUE!</v>
      </c>
      <c r="AJ49" t="e">
        <f>AND('UP133'!AO10,"AAAAAHdrLSM=")</f>
        <v>#VALUE!</v>
      </c>
      <c r="AK49" t="e">
        <f>AND('UP133'!AP10,"AAAAAHdrLSQ=")</f>
        <v>#VALUE!</v>
      </c>
      <c r="AL49" t="e">
        <f>AND('UP133'!AQ10,"AAAAAHdrLSU=")</f>
        <v>#VALUE!</v>
      </c>
      <c r="AM49" t="e">
        <f>AND('UP133'!AR10,"AAAAAHdrLSY=")</f>
        <v>#VALUE!</v>
      </c>
      <c r="AN49" t="e">
        <f>AND('UP133'!AS10,"AAAAAHdrLSc=")</f>
        <v>#VALUE!</v>
      </c>
      <c r="AO49" t="e">
        <f>AND('UP133'!AT10,"AAAAAHdrLSg=")</f>
        <v>#VALUE!</v>
      </c>
      <c r="AP49" t="e">
        <f>AND('UP133'!AU10,"AAAAAHdrLSk=")</f>
        <v>#VALUE!</v>
      </c>
      <c r="AQ49" t="e">
        <f>AND('UP133'!AV10,"AAAAAHdrLSo=")</f>
        <v>#VALUE!</v>
      </c>
      <c r="AR49" t="e">
        <f>AND('UP133'!AW10,"AAAAAHdrLSs=")</f>
        <v>#VALUE!</v>
      </c>
      <c r="AS49" t="e">
        <f>AND('UP133'!AX10,"AAAAAHdrLSw=")</f>
        <v>#VALUE!</v>
      </c>
      <c r="AT49" t="e">
        <f>AND('UP133'!AY10,"AAAAAHdrLS0=")</f>
        <v>#VALUE!</v>
      </c>
      <c r="AU49" t="e">
        <f>AND('UP133'!AZ10,"AAAAAHdrLS4=")</f>
        <v>#VALUE!</v>
      </c>
      <c r="AV49" t="e">
        <f>AND('UP133'!BA10,"AAAAAHdrLS8=")</f>
        <v>#VALUE!</v>
      </c>
      <c r="AW49" t="e">
        <f>AND('UP133'!BB10,"AAAAAHdrLTA=")</f>
        <v>#VALUE!</v>
      </c>
      <c r="AX49" t="e">
        <f>AND('UP133'!BC10,"AAAAAHdrLTE=")</f>
        <v>#VALUE!</v>
      </c>
      <c r="AY49" t="e">
        <f>AND('UP133'!BD10,"AAAAAHdrLTI=")</f>
        <v>#VALUE!</v>
      </c>
      <c r="AZ49" t="e">
        <f>AND('UP133'!BE10,"AAAAAHdrLTM=")</f>
        <v>#VALUE!</v>
      </c>
      <c r="BA49" t="e">
        <f>AND('UP133'!BF10,"AAAAAHdrLTQ=")</f>
        <v>#VALUE!</v>
      </c>
      <c r="BB49" t="e">
        <f>AND('UP133'!BG10,"AAAAAHdrLTU=")</f>
        <v>#VALUE!</v>
      </c>
      <c r="BC49" t="e">
        <f>AND('UP133'!BH10,"AAAAAHdrLTY=")</f>
        <v>#VALUE!</v>
      </c>
      <c r="BD49" t="e">
        <f>AND('UP133'!BI10,"AAAAAHdrLTc=")</f>
        <v>#VALUE!</v>
      </c>
      <c r="BE49" t="e">
        <f>AND('UP133'!BJ10,"AAAAAHdrLTg=")</f>
        <v>#VALUE!</v>
      </c>
      <c r="BF49" t="e">
        <f>AND('UP133'!BK10,"AAAAAHdrLTk=")</f>
        <v>#VALUE!</v>
      </c>
      <c r="BG49" t="e">
        <f>AND('UP133'!BL10,"AAAAAHdrLTo=")</f>
        <v>#VALUE!</v>
      </c>
      <c r="BH49" t="e">
        <f>AND('UP133'!BM10,"AAAAAHdrLTs=")</f>
        <v>#VALUE!</v>
      </c>
      <c r="BI49" t="e">
        <f>AND('UP133'!BN10,"AAAAAHdrLTw=")</f>
        <v>#VALUE!</v>
      </c>
      <c r="BJ49" t="e">
        <f>AND('UP133'!BO10,"AAAAAHdrLT0=")</f>
        <v>#VALUE!</v>
      </c>
      <c r="BK49" t="e">
        <f>AND('UP133'!BP10,"AAAAAHdrLT4=")</f>
        <v>#VALUE!</v>
      </c>
      <c r="BL49" t="e">
        <f>AND('UP133'!BQ10,"AAAAAHdrLT8=")</f>
        <v>#VALUE!</v>
      </c>
      <c r="BM49" t="e">
        <f>AND('UP133'!BR10,"AAAAAHdrLUA=")</f>
        <v>#VALUE!</v>
      </c>
      <c r="BN49" t="e">
        <f>AND('UP133'!BS10,"AAAAAHdrLUE=")</f>
        <v>#VALUE!</v>
      </c>
      <c r="BO49" t="e">
        <f>AND('UP133'!BT10,"AAAAAHdrLUI=")</f>
        <v>#VALUE!</v>
      </c>
      <c r="BP49" t="e">
        <f>AND('UP133'!BU10,"AAAAAHdrLUM=")</f>
        <v>#VALUE!</v>
      </c>
      <c r="BQ49" t="e">
        <f>AND('UP133'!BV10,"AAAAAHdrLUQ=")</f>
        <v>#VALUE!</v>
      </c>
      <c r="BR49" t="e">
        <f>AND('UP133'!BW10,"AAAAAHdrLUU=")</f>
        <v>#VALUE!</v>
      </c>
      <c r="BS49" t="e">
        <f>AND('UP133'!BX10,"AAAAAHdrLUY=")</f>
        <v>#VALUE!</v>
      </c>
      <c r="BT49" t="e">
        <f>AND('UP133'!BY10,"AAAAAHdrLUc=")</f>
        <v>#VALUE!</v>
      </c>
      <c r="BU49" t="e">
        <f>AND('UP133'!BZ10,"AAAAAHdrLUg=")</f>
        <v>#VALUE!</v>
      </c>
      <c r="BV49" t="e">
        <f>AND('UP133'!CA10,"AAAAAHdrLUk=")</f>
        <v>#VALUE!</v>
      </c>
      <c r="BW49" t="e">
        <f>AND('UP133'!CB10,"AAAAAHdrLUo=")</f>
        <v>#VALUE!</v>
      </c>
      <c r="BX49" t="e">
        <f>AND('UP133'!CC10,"AAAAAHdrLUs=")</f>
        <v>#VALUE!</v>
      </c>
      <c r="BY49" t="e">
        <f>AND('UP133'!CD10,"AAAAAHdrLUw=")</f>
        <v>#VALUE!</v>
      </c>
      <c r="BZ49" t="e">
        <f>AND('UP133'!CE10,"AAAAAHdrLU0=")</f>
        <v>#VALUE!</v>
      </c>
      <c r="CA49" t="e">
        <f>AND('UP133'!CF10,"AAAAAHdrLU4=")</f>
        <v>#VALUE!</v>
      </c>
      <c r="CB49" t="e">
        <f>AND('UP133'!CG10,"AAAAAHdrLU8=")</f>
        <v>#VALUE!</v>
      </c>
      <c r="CC49" t="e">
        <f>AND('UP133'!CH10,"AAAAAHdrLVA=")</f>
        <v>#VALUE!</v>
      </c>
      <c r="CD49" t="e">
        <f>AND('UP133'!CI10,"AAAAAHdrLVE=")</f>
        <v>#VALUE!</v>
      </c>
      <c r="CE49" t="e">
        <f>AND('UP133'!CJ10,"AAAAAHdrLVI=")</f>
        <v>#VALUE!</v>
      </c>
      <c r="CF49" t="e">
        <f>AND('UP133'!CK10,"AAAAAHdrLVM=")</f>
        <v>#VALUE!</v>
      </c>
      <c r="CG49" t="e">
        <f>AND('UP133'!CL10,"AAAAAHdrLVQ=")</f>
        <v>#VALUE!</v>
      </c>
      <c r="CH49" t="e">
        <f>AND('UP133'!CM10,"AAAAAHdrLVU=")</f>
        <v>#VALUE!</v>
      </c>
      <c r="CI49" t="e">
        <f>AND('UP133'!CN10,"AAAAAHdrLVY=")</f>
        <v>#VALUE!</v>
      </c>
      <c r="CJ49" t="e">
        <f>AND('UP133'!CO10,"AAAAAHdrLVc=")</f>
        <v>#VALUE!</v>
      </c>
      <c r="CK49" t="e">
        <f>AND('UP133'!CP10,"AAAAAHdrLVg=")</f>
        <v>#VALUE!</v>
      </c>
      <c r="CL49" t="e">
        <f>AND('UP133'!CQ10,"AAAAAHdrLVk=")</f>
        <v>#VALUE!</v>
      </c>
      <c r="CM49" t="e">
        <f>AND('UP133'!CR10,"AAAAAHdrLVo=")</f>
        <v>#VALUE!</v>
      </c>
      <c r="CN49" t="e">
        <f>AND('UP133'!CS10,"AAAAAHdrLVs=")</f>
        <v>#VALUE!</v>
      </c>
      <c r="CO49" t="e">
        <f>AND('UP133'!CT10,"AAAAAHdrLVw=")</f>
        <v>#VALUE!</v>
      </c>
      <c r="CP49" t="e">
        <f>AND('UP133'!CU10,"AAAAAHdrLV0=")</f>
        <v>#VALUE!</v>
      </c>
      <c r="CQ49" t="e">
        <f>AND('UP133'!CV10,"AAAAAHdrLV4=")</f>
        <v>#VALUE!</v>
      </c>
      <c r="CR49" t="e">
        <f>AND('UP133'!CW10,"AAAAAHdrLV8=")</f>
        <v>#VALUE!</v>
      </c>
      <c r="CS49" t="e">
        <f>AND('UP133'!CX10,"AAAAAHdrLWA=")</f>
        <v>#VALUE!</v>
      </c>
      <c r="CT49" t="e">
        <f>AND('UP133'!CY10,"AAAAAHdrLWE=")</f>
        <v>#VALUE!</v>
      </c>
      <c r="CU49" t="e">
        <f>AND('UP133'!CZ10,"AAAAAHdrLWI=")</f>
        <v>#VALUE!</v>
      </c>
      <c r="CV49" t="e">
        <f>AND('UP133'!DA10,"AAAAAHdrLWM=")</f>
        <v>#VALUE!</v>
      </c>
      <c r="CW49" t="e">
        <f>AND('UP133'!DB10,"AAAAAHdrLWQ=")</f>
        <v>#VALUE!</v>
      </c>
      <c r="CX49" t="e">
        <f>AND('UP133'!DC10,"AAAAAHdrLWU=")</f>
        <v>#VALUE!</v>
      </c>
      <c r="CY49" t="e">
        <f>AND('UP133'!DD10,"AAAAAHdrLWY=")</f>
        <v>#VALUE!</v>
      </c>
      <c r="CZ49" t="e">
        <f>AND('UP133'!DE10,"AAAAAHdrLWc=")</f>
        <v>#VALUE!</v>
      </c>
      <c r="DA49" t="e">
        <f>AND('UP133'!DF10,"AAAAAHdrLWg=")</f>
        <v>#VALUE!</v>
      </c>
      <c r="DB49" t="e">
        <f>AND('UP133'!DG10,"AAAAAHdrLWk=")</f>
        <v>#VALUE!</v>
      </c>
      <c r="DC49" t="e">
        <f>AND('UP133'!DH10,"AAAAAHdrLWo=")</f>
        <v>#VALUE!</v>
      </c>
      <c r="DD49" t="e">
        <f>AND('UP133'!DI10,"AAAAAHdrLWs=")</f>
        <v>#VALUE!</v>
      </c>
      <c r="DE49" t="e">
        <f>AND('UP133'!DJ10,"AAAAAHdrLWw=")</f>
        <v>#VALUE!</v>
      </c>
      <c r="DF49" t="e">
        <f>AND('UP133'!DK10,"AAAAAHdrLW0=")</f>
        <v>#VALUE!</v>
      </c>
      <c r="DG49" t="e">
        <f>AND('UP133'!DL10,"AAAAAHdrLW4=")</f>
        <v>#VALUE!</v>
      </c>
      <c r="DH49" t="e">
        <f>AND('UP133'!DM10,"AAAAAHdrLW8=")</f>
        <v>#VALUE!</v>
      </c>
      <c r="DI49" t="e">
        <f>AND('UP133'!DN10,"AAAAAHdrLXA=")</f>
        <v>#VALUE!</v>
      </c>
      <c r="DJ49" t="e">
        <f>AND('UP133'!DO10,"AAAAAHdrLXE=")</f>
        <v>#VALUE!</v>
      </c>
      <c r="DK49" t="e">
        <f>AND('UP133'!DP10,"AAAAAHdrLXI=")</f>
        <v>#VALUE!</v>
      </c>
      <c r="DL49" t="e">
        <f>AND('UP133'!DQ10,"AAAAAHdrLXM=")</f>
        <v>#VALUE!</v>
      </c>
      <c r="DM49" t="e">
        <f>AND('UP133'!DR10,"AAAAAHdrLXQ=")</f>
        <v>#VALUE!</v>
      </c>
      <c r="DN49" t="e">
        <f>AND('UP133'!DS10,"AAAAAHdrLXU=")</f>
        <v>#VALUE!</v>
      </c>
      <c r="DO49" t="e">
        <f>AND('UP133'!DT10,"AAAAAHdrLXY=")</f>
        <v>#VALUE!</v>
      </c>
      <c r="DP49" t="e">
        <f>AND('UP133'!DU10,"AAAAAHdrLXc=")</f>
        <v>#VALUE!</v>
      </c>
      <c r="DQ49" t="e">
        <f>AND('UP133'!DV10,"AAAAAHdrLXg=")</f>
        <v>#VALUE!</v>
      </c>
      <c r="DR49" t="e">
        <f>AND('UP133'!DW10,"AAAAAHdrLXk=")</f>
        <v>#VALUE!</v>
      </c>
      <c r="DS49" t="e">
        <f>AND('UP133'!DX10,"AAAAAHdrLXo=")</f>
        <v>#VALUE!</v>
      </c>
      <c r="DT49" t="e">
        <f>AND('UP133'!DY10,"AAAAAHdrLXs=")</f>
        <v>#VALUE!</v>
      </c>
      <c r="DU49" t="e">
        <f>AND('UP133'!DZ10,"AAAAAHdrLXw=")</f>
        <v>#VALUE!</v>
      </c>
      <c r="DV49" t="e">
        <f>AND('UP133'!EA10,"AAAAAHdrLX0=")</f>
        <v>#VALUE!</v>
      </c>
      <c r="DW49" t="e">
        <f>AND('UP133'!EB10,"AAAAAHdrLX4=")</f>
        <v>#VALUE!</v>
      </c>
      <c r="DX49" t="e">
        <f>AND('UP133'!EC10,"AAAAAHdrLX8=")</f>
        <v>#VALUE!</v>
      </c>
      <c r="DY49" t="e">
        <f>AND('UP133'!ED10,"AAAAAHdrLYA=")</f>
        <v>#VALUE!</v>
      </c>
      <c r="DZ49" t="e">
        <f>AND('UP133'!EE10,"AAAAAHdrLYE=")</f>
        <v>#VALUE!</v>
      </c>
      <c r="EA49" t="e">
        <f>AND('UP133'!EF10,"AAAAAHdrLYI=")</f>
        <v>#VALUE!</v>
      </c>
      <c r="EB49" t="e">
        <f>AND('UP133'!EG10,"AAAAAHdrLYM=")</f>
        <v>#VALUE!</v>
      </c>
      <c r="EC49" t="e">
        <f>AND('UP133'!EH10,"AAAAAHdrLYQ=")</f>
        <v>#VALUE!</v>
      </c>
      <c r="ED49" t="e">
        <f>AND('UP133'!EI10,"AAAAAHdrLYU=")</f>
        <v>#VALUE!</v>
      </c>
      <c r="EE49" t="e">
        <f>AND('UP133'!EJ10,"AAAAAHdrLYY=")</f>
        <v>#VALUE!</v>
      </c>
      <c r="EF49" t="e">
        <f>AND('UP133'!EK10,"AAAAAHdrLYc=")</f>
        <v>#VALUE!</v>
      </c>
      <c r="EG49" t="e">
        <f>AND('UP133'!EL10,"AAAAAHdrLYg=")</f>
        <v>#VALUE!</v>
      </c>
      <c r="EH49" t="e">
        <f>AND('UP133'!EM10,"AAAAAHdrLYk=")</f>
        <v>#VALUE!</v>
      </c>
      <c r="EI49" t="e">
        <f>AND('UP133'!EN10,"AAAAAHdrLYo=")</f>
        <v>#VALUE!</v>
      </c>
      <c r="EJ49" t="e">
        <f>AND('UP133'!EO10,"AAAAAHdrLYs=")</f>
        <v>#VALUE!</v>
      </c>
      <c r="EK49" t="e">
        <f>AND('UP133'!EP10,"AAAAAHdrLYw=")</f>
        <v>#VALUE!</v>
      </c>
      <c r="EL49" t="e">
        <f>AND('UP133'!EQ10,"AAAAAHdrLY0=")</f>
        <v>#VALUE!</v>
      </c>
      <c r="EM49" t="e">
        <f>AND('UP133'!ER10,"AAAAAHdrLY4=")</f>
        <v>#VALUE!</v>
      </c>
      <c r="EN49" t="e">
        <f>AND('UP133'!ES10,"AAAAAHdrLY8=")</f>
        <v>#VALUE!</v>
      </c>
      <c r="EO49" t="e">
        <f>AND('UP133'!ET10,"AAAAAHdrLZA=")</f>
        <v>#VALUE!</v>
      </c>
      <c r="EP49" t="e">
        <f>AND('UP133'!EU10,"AAAAAHdrLZE=")</f>
        <v>#VALUE!</v>
      </c>
      <c r="EQ49" t="e">
        <f>AND('UP133'!EV10,"AAAAAHdrLZI=")</f>
        <v>#VALUE!</v>
      </c>
      <c r="ER49" t="e">
        <f>AND('UP133'!EW10,"AAAAAHdrLZM=")</f>
        <v>#VALUE!</v>
      </c>
      <c r="ES49" t="e">
        <f>AND('UP133'!EX10,"AAAAAHdrLZQ=")</f>
        <v>#VALUE!</v>
      </c>
      <c r="ET49" t="e">
        <f>AND('UP133'!EY10,"AAAAAHdrLZU=")</f>
        <v>#VALUE!</v>
      </c>
      <c r="EU49" t="e">
        <f>AND('UP133'!EZ10,"AAAAAHdrLZY=")</f>
        <v>#VALUE!</v>
      </c>
      <c r="EV49" t="e">
        <f>AND('UP133'!FA10,"AAAAAHdrLZc=")</f>
        <v>#VALUE!</v>
      </c>
      <c r="EW49" t="e">
        <f>AND('UP133'!FB10,"AAAAAHdrLZg=")</f>
        <v>#VALUE!</v>
      </c>
      <c r="EX49" t="e">
        <f>AND('UP133'!FC10,"AAAAAHdrLZk=")</f>
        <v>#VALUE!</v>
      </c>
      <c r="EY49" t="e">
        <f>AND('UP133'!FD10,"AAAAAHdrLZo=")</f>
        <v>#VALUE!</v>
      </c>
      <c r="EZ49" t="e">
        <f>AND('UP133'!FE10,"AAAAAHdrLZs=")</f>
        <v>#VALUE!</v>
      </c>
      <c r="FA49" t="e">
        <f>AND('UP133'!FF10,"AAAAAHdrLZw=")</f>
        <v>#VALUE!</v>
      </c>
      <c r="FB49" t="e">
        <f>AND('UP133'!FG10,"AAAAAHdrLZ0=")</f>
        <v>#VALUE!</v>
      </c>
      <c r="FC49" t="e">
        <f>AND('UP133'!FH10,"AAAAAHdrLZ4=")</f>
        <v>#VALUE!</v>
      </c>
      <c r="FD49" t="e">
        <f>AND('UP133'!FI10,"AAAAAHdrLZ8=")</f>
        <v>#VALUE!</v>
      </c>
      <c r="FE49" t="e">
        <f>AND('UP133'!FJ10,"AAAAAHdrLaA=")</f>
        <v>#VALUE!</v>
      </c>
      <c r="FF49" t="e">
        <f>AND('UP133'!FK10,"AAAAAHdrLaE=")</f>
        <v>#VALUE!</v>
      </c>
      <c r="FG49" t="e">
        <f>AND('UP133'!FL10,"AAAAAHdrLaI=")</f>
        <v>#VALUE!</v>
      </c>
      <c r="FH49" t="e">
        <f>AND('UP133'!FM10,"AAAAAHdrLaM=")</f>
        <v>#VALUE!</v>
      </c>
      <c r="FI49" t="e">
        <f>AND('UP133'!FN10,"AAAAAHdrLaQ=")</f>
        <v>#VALUE!</v>
      </c>
      <c r="FJ49" t="e">
        <f>AND('UP133'!FO10,"AAAAAHdrLaU=")</f>
        <v>#VALUE!</v>
      </c>
      <c r="FK49" t="e">
        <f>AND('UP133'!FP10,"AAAAAHdrLaY=")</f>
        <v>#VALUE!</v>
      </c>
      <c r="FL49" t="e">
        <f>AND('UP133'!FQ10,"AAAAAHdrLac=")</f>
        <v>#VALUE!</v>
      </c>
      <c r="FM49" t="e">
        <f>AND('UP133'!FR10,"AAAAAHdrLag=")</f>
        <v>#VALUE!</v>
      </c>
      <c r="FN49" t="e">
        <f>AND('UP133'!FS10,"AAAAAHdrLak=")</f>
        <v>#VALUE!</v>
      </c>
      <c r="FO49" t="e">
        <f>AND('UP133'!FT10,"AAAAAHdrLao=")</f>
        <v>#VALUE!</v>
      </c>
      <c r="FP49" t="e">
        <f>AND('UP133'!FU10,"AAAAAHdrLas=")</f>
        <v>#VALUE!</v>
      </c>
      <c r="FQ49" t="e">
        <f>AND('UP133'!FV10,"AAAAAHdrLaw=")</f>
        <v>#VALUE!</v>
      </c>
      <c r="FR49" t="e">
        <f>AND('UP133'!FW10,"AAAAAHdrLa0=")</f>
        <v>#VALUE!</v>
      </c>
      <c r="FS49" t="e">
        <f>AND('UP133'!FX10,"AAAAAHdrLa4=")</f>
        <v>#VALUE!</v>
      </c>
      <c r="FT49" t="e">
        <f>AND('UP133'!FY10,"AAAAAHdrLa8=")</f>
        <v>#VALUE!</v>
      </c>
      <c r="FU49" t="e">
        <f>AND('UP133'!FZ10,"AAAAAHdrLbA=")</f>
        <v>#VALUE!</v>
      </c>
      <c r="FV49" t="e">
        <f>AND('UP133'!GA10,"AAAAAHdrLbE=")</f>
        <v>#VALUE!</v>
      </c>
      <c r="FW49" t="e">
        <f>AND('UP133'!GB10,"AAAAAHdrLbI=")</f>
        <v>#VALUE!</v>
      </c>
      <c r="FX49" t="e">
        <f>AND('UP133'!GC10,"AAAAAHdrLbM=")</f>
        <v>#VALUE!</v>
      </c>
      <c r="FY49" t="e">
        <f>AND('UP133'!GD10,"AAAAAHdrLbQ=")</f>
        <v>#VALUE!</v>
      </c>
      <c r="FZ49" t="e">
        <f>AND('UP133'!GE10,"AAAAAHdrLbU=")</f>
        <v>#VALUE!</v>
      </c>
      <c r="GA49" t="e">
        <f>AND('UP133'!GF10,"AAAAAHdrLbY=")</f>
        <v>#VALUE!</v>
      </c>
      <c r="GB49" t="e">
        <f>AND('UP133'!GG10,"AAAAAHdrLbc=")</f>
        <v>#VALUE!</v>
      </c>
      <c r="GC49" t="e">
        <f>AND('UP133'!GH10,"AAAAAHdrLbg=")</f>
        <v>#VALUE!</v>
      </c>
      <c r="GD49" t="e">
        <f>AND('UP133'!GI10,"AAAAAHdrLbk=")</f>
        <v>#VALUE!</v>
      </c>
      <c r="GE49" t="e">
        <f>AND('UP133'!GJ10,"AAAAAHdrLbo=")</f>
        <v>#VALUE!</v>
      </c>
      <c r="GF49" t="e">
        <f>AND('UP133'!GK10,"AAAAAHdrLbs=")</f>
        <v>#VALUE!</v>
      </c>
      <c r="GG49" t="e">
        <f>AND('UP133'!GL10,"AAAAAHdrLbw=")</f>
        <v>#VALUE!</v>
      </c>
      <c r="GH49" t="e">
        <f>AND('UP133'!GM10,"AAAAAHdrLb0=")</f>
        <v>#VALUE!</v>
      </c>
      <c r="GI49" t="e">
        <f>AND('UP133'!GN10,"AAAAAHdrLb4=")</f>
        <v>#VALUE!</v>
      </c>
      <c r="GJ49" t="e">
        <f>AND('UP133'!GO10,"AAAAAHdrLb8=")</f>
        <v>#VALUE!</v>
      </c>
      <c r="GK49" t="e">
        <f>AND('UP133'!GP10,"AAAAAHdrLcA=")</f>
        <v>#VALUE!</v>
      </c>
      <c r="GL49" t="e">
        <f>AND('UP133'!GQ10,"AAAAAHdrLcE=")</f>
        <v>#VALUE!</v>
      </c>
      <c r="GM49" t="e">
        <f>AND('UP133'!GR10,"AAAAAHdrLcI=")</f>
        <v>#VALUE!</v>
      </c>
      <c r="GN49" t="e">
        <f>AND('UP133'!GS10,"AAAAAHdrLcM=")</f>
        <v>#VALUE!</v>
      </c>
      <c r="GO49" t="e">
        <f>AND('UP133'!GT10,"AAAAAHdrLcQ=")</f>
        <v>#VALUE!</v>
      </c>
      <c r="GP49" t="e">
        <f>AND('UP133'!GU10,"AAAAAHdrLcU=")</f>
        <v>#VALUE!</v>
      </c>
      <c r="GQ49" t="e">
        <f>AND('UP133'!GV10,"AAAAAHdrLcY=")</f>
        <v>#VALUE!</v>
      </c>
      <c r="GR49" t="e">
        <f>AND('UP133'!GW10,"AAAAAHdrLcc=")</f>
        <v>#VALUE!</v>
      </c>
      <c r="GS49" t="e">
        <f>AND('UP133'!GX10,"AAAAAHdrLcg=")</f>
        <v>#VALUE!</v>
      </c>
      <c r="GT49" t="e">
        <f>AND('UP133'!GY10,"AAAAAHdrLck=")</f>
        <v>#VALUE!</v>
      </c>
      <c r="GU49" t="e">
        <f>AND('UP133'!GZ10,"AAAAAHdrLco=")</f>
        <v>#VALUE!</v>
      </c>
      <c r="GV49" t="e">
        <f>AND('UP133'!HA10,"AAAAAHdrLcs=")</f>
        <v>#VALUE!</v>
      </c>
      <c r="GW49" t="e">
        <f>AND('UP133'!HB10,"AAAAAHdrLcw=")</f>
        <v>#VALUE!</v>
      </c>
      <c r="GX49" t="e">
        <f>AND('UP133'!HC10,"AAAAAHdrLc0=")</f>
        <v>#VALUE!</v>
      </c>
      <c r="GY49" t="e">
        <f>AND('UP133'!HD10,"AAAAAHdrLc4=")</f>
        <v>#VALUE!</v>
      </c>
      <c r="GZ49" t="e">
        <f>AND('UP133'!HE10,"AAAAAHdrLc8=")</f>
        <v>#VALUE!</v>
      </c>
      <c r="HA49" t="e">
        <f>AND('UP133'!HF10,"AAAAAHdrLdA=")</f>
        <v>#VALUE!</v>
      </c>
      <c r="HB49" t="e">
        <f>AND('UP133'!HG10,"AAAAAHdrLdE=")</f>
        <v>#VALUE!</v>
      </c>
      <c r="HC49" t="e">
        <f>AND('UP133'!HH10,"AAAAAHdrLdI=")</f>
        <v>#VALUE!</v>
      </c>
      <c r="HD49" t="e">
        <f>AND('UP133'!HI10,"AAAAAHdrLdM=")</f>
        <v>#VALUE!</v>
      </c>
      <c r="HE49" t="e">
        <f>AND('UP133'!HJ10,"AAAAAHdrLdQ=")</f>
        <v>#VALUE!</v>
      </c>
      <c r="HF49" t="e">
        <f>AND('UP133'!HK10,"AAAAAHdrLdU=")</f>
        <v>#VALUE!</v>
      </c>
      <c r="HG49" t="e">
        <f>AND('UP133'!HL10,"AAAAAHdrLdY=")</f>
        <v>#VALUE!</v>
      </c>
      <c r="HH49" t="e">
        <f>AND('UP133'!HM10,"AAAAAHdrLdc=")</f>
        <v>#VALUE!</v>
      </c>
      <c r="HI49" t="e">
        <f>AND('UP133'!HN10,"AAAAAHdrLdg=")</f>
        <v>#VALUE!</v>
      </c>
      <c r="HJ49" t="e">
        <f>AND('UP133'!HO10,"AAAAAHdrLdk=")</f>
        <v>#VALUE!</v>
      </c>
      <c r="HK49" t="e">
        <f>AND('UP133'!HP10,"AAAAAHdrLdo=")</f>
        <v>#VALUE!</v>
      </c>
      <c r="HL49" t="e">
        <f>AND('UP133'!HQ10,"AAAAAHdrLds=")</f>
        <v>#VALUE!</v>
      </c>
      <c r="HM49" t="e">
        <f>AND('UP133'!HR10,"AAAAAHdrLdw=")</f>
        <v>#VALUE!</v>
      </c>
      <c r="HN49" t="e">
        <f>AND('UP133'!HS10,"AAAAAHdrLd0=")</f>
        <v>#VALUE!</v>
      </c>
      <c r="HO49" t="e">
        <f>AND('UP133'!HT10,"AAAAAHdrLd4=")</f>
        <v>#VALUE!</v>
      </c>
      <c r="HP49" t="e">
        <f>AND('UP133'!HU10,"AAAAAHdrLd8=")</f>
        <v>#VALUE!</v>
      </c>
      <c r="HQ49" t="e">
        <f>AND('UP133'!HV10,"AAAAAHdrLeA=")</f>
        <v>#VALUE!</v>
      </c>
      <c r="HR49" t="e">
        <f>AND('UP133'!HW10,"AAAAAHdrLeE=")</f>
        <v>#VALUE!</v>
      </c>
      <c r="HS49" t="e">
        <f>AND('UP133'!HX10,"AAAAAHdrLeI=")</f>
        <v>#VALUE!</v>
      </c>
      <c r="HT49" t="e">
        <f>AND('UP133'!HY10,"AAAAAHdrLeM=")</f>
        <v>#VALUE!</v>
      </c>
      <c r="HU49" t="e">
        <f>AND('UP133'!HZ10,"AAAAAHdrLeQ=")</f>
        <v>#VALUE!</v>
      </c>
      <c r="HV49" t="e">
        <f>AND('UP133'!IA10,"AAAAAHdrLeU=")</f>
        <v>#VALUE!</v>
      </c>
      <c r="HW49" t="e">
        <f>AND('UP133'!IB10,"AAAAAHdrLeY=")</f>
        <v>#VALUE!</v>
      </c>
      <c r="HX49" t="e">
        <f>AND('UP133'!IC10,"AAAAAHdrLec=")</f>
        <v>#VALUE!</v>
      </c>
      <c r="HY49" t="e">
        <f>AND('UP133'!ID10,"AAAAAHdrLeg=")</f>
        <v>#VALUE!</v>
      </c>
      <c r="HZ49" t="e">
        <f>AND('UP133'!IE10,"AAAAAHdrLek=")</f>
        <v>#VALUE!</v>
      </c>
      <c r="IA49" t="e">
        <f>AND('UP133'!IF10,"AAAAAHdrLeo=")</f>
        <v>#VALUE!</v>
      </c>
      <c r="IB49" t="e">
        <f>AND('UP133'!IG10,"AAAAAHdrLes=")</f>
        <v>#VALUE!</v>
      </c>
      <c r="IC49" t="e">
        <f>AND('UP133'!IH10,"AAAAAHdrLew=")</f>
        <v>#VALUE!</v>
      </c>
      <c r="ID49" t="e">
        <f>AND('UP133'!II10,"AAAAAHdrLe0=")</f>
        <v>#VALUE!</v>
      </c>
      <c r="IE49" t="e">
        <f>AND('UP133'!IJ10,"AAAAAHdrLe4=")</f>
        <v>#VALUE!</v>
      </c>
      <c r="IF49" t="e">
        <f>AND('UP133'!IK10,"AAAAAHdrLe8=")</f>
        <v>#VALUE!</v>
      </c>
      <c r="IG49" t="e">
        <f>AND('UP133'!IL10,"AAAAAHdrLfA=")</f>
        <v>#VALUE!</v>
      </c>
      <c r="IH49" t="e">
        <f>AND('UP133'!IM10,"AAAAAHdrLfE=")</f>
        <v>#VALUE!</v>
      </c>
      <c r="II49" t="e">
        <f>AND('UP133'!IN10,"AAAAAHdrLfI=")</f>
        <v>#VALUE!</v>
      </c>
      <c r="IJ49" t="e">
        <f>AND('UP133'!IO10,"AAAAAHdrLfM=")</f>
        <v>#VALUE!</v>
      </c>
      <c r="IK49" t="e">
        <f>AND('UP133'!IP10,"AAAAAHdrLfQ=")</f>
        <v>#VALUE!</v>
      </c>
      <c r="IL49" t="e">
        <f>AND('UP133'!IQ10,"AAAAAHdrLfU=")</f>
        <v>#VALUE!</v>
      </c>
      <c r="IM49">
        <f>IF('UP133'!11:11,"AAAAAHdrLfY=",0)</f>
        <v>0</v>
      </c>
      <c r="IN49" t="e">
        <f>AND('UP133'!A11,"AAAAAHdrLfc=")</f>
        <v>#VALUE!</v>
      </c>
      <c r="IO49" t="e">
        <f>AND('UP133'!B11,"AAAAAHdrLfg=")</f>
        <v>#VALUE!</v>
      </c>
      <c r="IP49" t="e">
        <f>AND('UP133'!C11,"AAAAAHdrLfk=")</f>
        <v>#VALUE!</v>
      </c>
      <c r="IQ49" t="e">
        <f>AND('UP133'!D11,"AAAAAHdrLfo=")</f>
        <v>#VALUE!</v>
      </c>
      <c r="IR49" t="e">
        <f>AND('UP133'!E11,"AAAAAHdrLfs=")</f>
        <v>#VALUE!</v>
      </c>
      <c r="IS49" t="e">
        <f>AND('UP133'!F11,"AAAAAHdrLfw=")</f>
        <v>#VALUE!</v>
      </c>
      <c r="IT49" t="e">
        <f>AND('UP133'!G11,"AAAAAHdrLf0=")</f>
        <v>#VALUE!</v>
      </c>
      <c r="IU49" t="e">
        <f>AND('UP133'!H11,"AAAAAHdrLf4=")</f>
        <v>#VALUE!</v>
      </c>
      <c r="IV49" t="e">
        <f>AND('UP133'!I11,"AAAAAHdrLf8=")</f>
        <v>#VALUE!</v>
      </c>
    </row>
    <row r="50" spans="1:256">
      <c r="A50" t="e">
        <f>AND('UP133'!J11,"AAAAAHPfvwA=")</f>
        <v>#VALUE!</v>
      </c>
      <c r="B50" t="e">
        <f>AND('UP133'!K11,"AAAAAHPfvwE=")</f>
        <v>#VALUE!</v>
      </c>
      <c r="C50" t="e">
        <f>AND('UP133'!L11,"AAAAAHPfvwI=")</f>
        <v>#VALUE!</v>
      </c>
      <c r="D50" t="e">
        <f>AND('UP133'!M11,"AAAAAHPfvwM=")</f>
        <v>#VALUE!</v>
      </c>
      <c r="E50" t="e">
        <f>AND('UP133'!N11,"AAAAAHPfvwQ=")</f>
        <v>#VALUE!</v>
      </c>
      <c r="F50" t="e">
        <f>AND('UP133'!O11,"AAAAAHPfvwU=")</f>
        <v>#VALUE!</v>
      </c>
      <c r="G50" t="e">
        <f>AND('UP133'!P11,"AAAAAHPfvwY=")</f>
        <v>#VALUE!</v>
      </c>
      <c r="H50" t="e">
        <f>AND('UP133'!Q11,"AAAAAHPfvwc=")</f>
        <v>#VALUE!</v>
      </c>
      <c r="I50" t="e">
        <f>AND('UP133'!R11,"AAAAAHPfvwg=")</f>
        <v>#VALUE!</v>
      </c>
      <c r="J50" t="e">
        <f>AND('UP133'!S11,"AAAAAHPfvwk=")</f>
        <v>#VALUE!</v>
      </c>
      <c r="K50" t="e">
        <f>AND('UP133'!T11,"AAAAAHPfvwo=")</f>
        <v>#VALUE!</v>
      </c>
      <c r="L50" t="e">
        <f>AND('UP133'!U11,"AAAAAHPfvws=")</f>
        <v>#VALUE!</v>
      </c>
      <c r="M50" t="e">
        <f>AND('UP133'!V11,"AAAAAHPfvww=")</f>
        <v>#VALUE!</v>
      </c>
      <c r="N50" t="e">
        <f>AND('UP133'!W11,"AAAAAHPfvw0=")</f>
        <v>#VALUE!</v>
      </c>
      <c r="O50" t="e">
        <f>AND('UP133'!X11,"AAAAAHPfvw4=")</f>
        <v>#VALUE!</v>
      </c>
      <c r="P50" t="e">
        <f>AND('UP133'!Y11,"AAAAAHPfvw8=")</f>
        <v>#VALUE!</v>
      </c>
      <c r="Q50" t="e">
        <f>AND('UP133'!Z11,"AAAAAHPfvxA=")</f>
        <v>#VALUE!</v>
      </c>
      <c r="R50" t="e">
        <f>AND('UP133'!AA11,"AAAAAHPfvxE=")</f>
        <v>#VALUE!</v>
      </c>
      <c r="S50" t="e">
        <f>AND('UP133'!AB11,"AAAAAHPfvxI=")</f>
        <v>#VALUE!</v>
      </c>
      <c r="T50" t="e">
        <f>AND('UP133'!AC11,"AAAAAHPfvxM=")</f>
        <v>#VALUE!</v>
      </c>
      <c r="U50" t="e">
        <f>AND('UP133'!AD11,"AAAAAHPfvxQ=")</f>
        <v>#VALUE!</v>
      </c>
      <c r="V50" t="e">
        <f>AND('UP133'!AE11,"AAAAAHPfvxU=")</f>
        <v>#VALUE!</v>
      </c>
      <c r="W50" t="e">
        <f>AND('UP133'!AF11,"AAAAAHPfvxY=")</f>
        <v>#VALUE!</v>
      </c>
      <c r="X50" t="e">
        <f>AND('UP133'!AG11,"AAAAAHPfvxc=")</f>
        <v>#VALUE!</v>
      </c>
      <c r="Y50" t="e">
        <f>AND('UP133'!AH11,"AAAAAHPfvxg=")</f>
        <v>#VALUE!</v>
      </c>
      <c r="Z50" t="e">
        <f>AND('UP133'!AI11,"AAAAAHPfvxk=")</f>
        <v>#VALUE!</v>
      </c>
      <c r="AA50" t="e">
        <f>AND('UP133'!AJ11,"AAAAAHPfvxo=")</f>
        <v>#VALUE!</v>
      </c>
      <c r="AB50" t="e">
        <f>AND('UP133'!AK11,"AAAAAHPfvxs=")</f>
        <v>#VALUE!</v>
      </c>
      <c r="AC50" t="e">
        <f>AND('UP133'!AL11,"AAAAAHPfvxw=")</f>
        <v>#VALUE!</v>
      </c>
      <c r="AD50" t="e">
        <f>AND('UP133'!AM11,"AAAAAHPfvx0=")</f>
        <v>#VALUE!</v>
      </c>
      <c r="AE50" t="e">
        <f>AND('UP133'!AN11,"AAAAAHPfvx4=")</f>
        <v>#VALUE!</v>
      </c>
      <c r="AF50" t="e">
        <f>AND('UP133'!AO11,"AAAAAHPfvx8=")</f>
        <v>#VALUE!</v>
      </c>
      <c r="AG50" t="e">
        <f>AND('UP133'!AP11,"AAAAAHPfvyA=")</f>
        <v>#VALUE!</v>
      </c>
      <c r="AH50" t="e">
        <f>AND('UP133'!AQ11,"AAAAAHPfvyE=")</f>
        <v>#VALUE!</v>
      </c>
      <c r="AI50" t="e">
        <f>AND('UP133'!AR11,"AAAAAHPfvyI=")</f>
        <v>#VALUE!</v>
      </c>
      <c r="AJ50" t="e">
        <f>AND('UP133'!AS11,"AAAAAHPfvyM=")</f>
        <v>#VALUE!</v>
      </c>
      <c r="AK50" t="e">
        <f>AND('UP133'!AT11,"AAAAAHPfvyQ=")</f>
        <v>#VALUE!</v>
      </c>
      <c r="AL50" t="e">
        <f>AND('UP133'!AU11,"AAAAAHPfvyU=")</f>
        <v>#VALUE!</v>
      </c>
      <c r="AM50" t="e">
        <f>AND('UP133'!AV11,"AAAAAHPfvyY=")</f>
        <v>#VALUE!</v>
      </c>
      <c r="AN50" t="e">
        <f>AND('UP133'!AW11,"AAAAAHPfvyc=")</f>
        <v>#VALUE!</v>
      </c>
      <c r="AO50" t="e">
        <f>AND('UP133'!AX11,"AAAAAHPfvyg=")</f>
        <v>#VALUE!</v>
      </c>
      <c r="AP50" t="e">
        <f>AND('UP133'!AY11,"AAAAAHPfvyk=")</f>
        <v>#VALUE!</v>
      </c>
      <c r="AQ50" t="e">
        <f>AND('UP133'!AZ11,"AAAAAHPfvyo=")</f>
        <v>#VALUE!</v>
      </c>
      <c r="AR50" t="e">
        <f>AND('UP133'!BA11,"AAAAAHPfvys=")</f>
        <v>#VALUE!</v>
      </c>
      <c r="AS50" t="e">
        <f>AND('UP133'!BB11,"AAAAAHPfvyw=")</f>
        <v>#VALUE!</v>
      </c>
      <c r="AT50" t="e">
        <f>AND('UP133'!BC11,"AAAAAHPfvy0=")</f>
        <v>#VALUE!</v>
      </c>
      <c r="AU50" t="e">
        <f>AND('UP133'!BD11,"AAAAAHPfvy4=")</f>
        <v>#VALUE!</v>
      </c>
      <c r="AV50" t="e">
        <f>AND('UP133'!BE11,"AAAAAHPfvy8=")</f>
        <v>#VALUE!</v>
      </c>
      <c r="AW50" t="e">
        <f>AND('UP133'!BF11,"AAAAAHPfvzA=")</f>
        <v>#VALUE!</v>
      </c>
      <c r="AX50" t="e">
        <f>AND('UP133'!BG11,"AAAAAHPfvzE=")</f>
        <v>#VALUE!</v>
      </c>
      <c r="AY50" t="e">
        <f>AND('UP133'!BH11,"AAAAAHPfvzI=")</f>
        <v>#VALUE!</v>
      </c>
      <c r="AZ50" t="e">
        <f>AND('UP133'!BI11,"AAAAAHPfvzM=")</f>
        <v>#VALUE!</v>
      </c>
      <c r="BA50" t="e">
        <f>AND('UP133'!BJ11,"AAAAAHPfvzQ=")</f>
        <v>#VALUE!</v>
      </c>
      <c r="BB50" t="e">
        <f>AND('UP133'!BK11,"AAAAAHPfvzU=")</f>
        <v>#VALUE!</v>
      </c>
      <c r="BC50" t="e">
        <f>AND('UP133'!BL11,"AAAAAHPfvzY=")</f>
        <v>#VALUE!</v>
      </c>
      <c r="BD50" t="e">
        <f>AND('UP133'!BM11,"AAAAAHPfvzc=")</f>
        <v>#VALUE!</v>
      </c>
      <c r="BE50" t="e">
        <f>AND('UP133'!BN11,"AAAAAHPfvzg=")</f>
        <v>#VALUE!</v>
      </c>
      <c r="BF50" t="e">
        <f>AND('UP133'!BO11,"AAAAAHPfvzk=")</f>
        <v>#VALUE!</v>
      </c>
      <c r="BG50" t="e">
        <f>AND('UP133'!BP11,"AAAAAHPfvzo=")</f>
        <v>#VALUE!</v>
      </c>
      <c r="BH50" t="e">
        <f>AND('UP133'!BQ11,"AAAAAHPfvzs=")</f>
        <v>#VALUE!</v>
      </c>
      <c r="BI50" t="e">
        <f>AND('UP133'!BR11,"AAAAAHPfvzw=")</f>
        <v>#VALUE!</v>
      </c>
      <c r="BJ50" t="e">
        <f>AND('UP133'!BS11,"AAAAAHPfvz0=")</f>
        <v>#VALUE!</v>
      </c>
      <c r="BK50" t="e">
        <f>AND('UP133'!BT11,"AAAAAHPfvz4=")</f>
        <v>#VALUE!</v>
      </c>
      <c r="BL50" t="e">
        <f>AND('UP133'!BU11,"AAAAAHPfvz8=")</f>
        <v>#VALUE!</v>
      </c>
      <c r="BM50" t="e">
        <f>AND('UP133'!BV11,"AAAAAHPfv0A=")</f>
        <v>#VALUE!</v>
      </c>
      <c r="BN50" t="e">
        <f>AND('UP133'!BW11,"AAAAAHPfv0E=")</f>
        <v>#VALUE!</v>
      </c>
      <c r="BO50" t="e">
        <f>AND('UP133'!BX11,"AAAAAHPfv0I=")</f>
        <v>#VALUE!</v>
      </c>
      <c r="BP50" t="e">
        <f>AND('UP133'!BY11,"AAAAAHPfv0M=")</f>
        <v>#VALUE!</v>
      </c>
      <c r="BQ50" t="e">
        <f>AND('UP133'!BZ11,"AAAAAHPfv0Q=")</f>
        <v>#VALUE!</v>
      </c>
      <c r="BR50" t="e">
        <f>AND('UP133'!CA11,"AAAAAHPfv0U=")</f>
        <v>#VALUE!</v>
      </c>
      <c r="BS50" t="e">
        <f>AND('UP133'!CB11,"AAAAAHPfv0Y=")</f>
        <v>#VALUE!</v>
      </c>
      <c r="BT50" t="e">
        <f>AND('UP133'!CC11,"AAAAAHPfv0c=")</f>
        <v>#VALUE!</v>
      </c>
      <c r="BU50" t="e">
        <f>AND('UP133'!CD11,"AAAAAHPfv0g=")</f>
        <v>#VALUE!</v>
      </c>
      <c r="BV50" t="e">
        <f>AND('UP133'!CE11,"AAAAAHPfv0k=")</f>
        <v>#VALUE!</v>
      </c>
      <c r="BW50" t="e">
        <f>AND('UP133'!CF11,"AAAAAHPfv0o=")</f>
        <v>#VALUE!</v>
      </c>
      <c r="BX50" t="e">
        <f>AND('UP133'!CG11,"AAAAAHPfv0s=")</f>
        <v>#VALUE!</v>
      </c>
      <c r="BY50" t="e">
        <f>AND('UP133'!CH11,"AAAAAHPfv0w=")</f>
        <v>#VALUE!</v>
      </c>
      <c r="BZ50" t="e">
        <f>AND('UP133'!CI11,"AAAAAHPfv00=")</f>
        <v>#VALUE!</v>
      </c>
      <c r="CA50" t="e">
        <f>AND('UP133'!CJ11,"AAAAAHPfv04=")</f>
        <v>#VALUE!</v>
      </c>
      <c r="CB50" t="e">
        <f>AND('UP133'!CK11,"AAAAAHPfv08=")</f>
        <v>#VALUE!</v>
      </c>
      <c r="CC50" t="e">
        <f>AND('UP133'!CL11,"AAAAAHPfv1A=")</f>
        <v>#VALUE!</v>
      </c>
      <c r="CD50" t="e">
        <f>AND('UP133'!CM11,"AAAAAHPfv1E=")</f>
        <v>#VALUE!</v>
      </c>
      <c r="CE50" t="e">
        <f>AND('UP133'!CN11,"AAAAAHPfv1I=")</f>
        <v>#VALUE!</v>
      </c>
      <c r="CF50" t="e">
        <f>AND('UP133'!CO11,"AAAAAHPfv1M=")</f>
        <v>#VALUE!</v>
      </c>
      <c r="CG50" t="e">
        <f>AND('UP133'!CP11,"AAAAAHPfv1Q=")</f>
        <v>#VALUE!</v>
      </c>
      <c r="CH50" t="e">
        <f>AND('UP133'!CQ11,"AAAAAHPfv1U=")</f>
        <v>#VALUE!</v>
      </c>
      <c r="CI50" t="e">
        <f>AND('UP133'!CR11,"AAAAAHPfv1Y=")</f>
        <v>#VALUE!</v>
      </c>
      <c r="CJ50" t="e">
        <f>AND('UP133'!CS11,"AAAAAHPfv1c=")</f>
        <v>#VALUE!</v>
      </c>
      <c r="CK50" t="e">
        <f>AND('UP133'!CT11,"AAAAAHPfv1g=")</f>
        <v>#VALUE!</v>
      </c>
      <c r="CL50" t="e">
        <f>AND('UP133'!CU11,"AAAAAHPfv1k=")</f>
        <v>#VALUE!</v>
      </c>
      <c r="CM50" t="e">
        <f>AND('UP133'!CV11,"AAAAAHPfv1o=")</f>
        <v>#VALUE!</v>
      </c>
      <c r="CN50" t="e">
        <f>AND('UP133'!CW11,"AAAAAHPfv1s=")</f>
        <v>#VALUE!</v>
      </c>
      <c r="CO50" t="e">
        <f>AND('UP133'!CX11,"AAAAAHPfv1w=")</f>
        <v>#VALUE!</v>
      </c>
      <c r="CP50" t="e">
        <f>AND('UP133'!CY11,"AAAAAHPfv10=")</f>
        <v>#VALUE!</v>
      </c>
      <c r="CQ50" t="e">
        <f>AND('UP133'!CZ11,"AAAAAHPfv14=")</f>
        <v>#VALUE!</v>
      </c>
      <c r="CR50" t="e">
        <f>AND('UP133'!DA11,"AAAAAHPfv18=")</f>
        <v>#VALUE!</v>
      </c>
      <c r="CS50" t="e">
        <f>AND('UP133'!DB11,"AAAAAHPfv2A=")</f>
        <v>#VALUE!</v>
      </c>
      <c r="CT50" t="e">
        <f>AND('UP133'!DC11,"AAAAAHPfv2E=")</f>
        <v>#VALUE!</v>
      </c>
      <c r="CU50" t="e">
        <f>AND('UP133'!DD11,"AAAAAHPfv2I=")</f>
        <v>#VALUE!</v>
      </c>
      <c r="CV50" t="e">
        <f>AND('UP133'!DE11,"AAAAAHPfv2M=")</f>
        <v>#VALUE!</v>
      </c>
      <c r="CW50" t="e">
        <f>AND('UP133'!DF11,"AAAAAHPfv2Q=")</f>
        <v>#VALUE!</v>
      </c>
      <c r="CX50" t="e">
        <f>AND('UP133'!DG11,"AAAAAHPfv2U=")</f>
        <v>#VALUE!</v>
      </c>
      <c r="CY50" t="e">
        <f>AND('UP133'!DH11,"AAAAAHPfv2Y=")</f>
        <v>#VALUE!</v>
      </c>
      <c r="CZ50" t="e">
        <f>AND('UP133'!DI11,"AAAAAHPfv2c=")</f>
        <v>#VALUE!</v>
      </c>
      <c r="DA50" t="e">
        <f>AND('UP133'!DJ11,"AAAAAHPfv2g=")</f>
        <v>#VALUE!</v>
      </c>
      <c r="DB50" t="e">
        <f>AND('UP133'!DK11,"AAAAAHPfv2k=")</f>
        <v>#VALUE!</v>
      </c>
      <c r="DC50" t="e">
        <f>AND('UP133'!DL11,"AAAAAHPfv2o=")</f>
        <v>#VALUE!</v>
      </c>
      <c r="DD50" t="e">
        <f>AND('UP133'!DM11,"AAAAAHPfv2s=")</f>
        <v>#VALUE!</v>
      </c>
      <c r="DE50" t="e">
        <f>AND('UP133'!DN11,"AAAAAHPfv2w=")</f>
        <v>#VALUE!</v>
      </c>
      <c r="DF50" t="e">
        <f>AND('UP133'!DO11,"AAAAAHPfv20=")</f>
        <v>#VALUE!</v>
      </c>
      <c r="DG50" t="e">
        <f>AND('UP133'!DP11,"AAAAAHPfv24=")</f>
        <v>#VALUE!</v>
      </c>
      <c r="DH50" t="e">
        <f>AND('UP133'!DQ11,"AAAAAHPfv28=")</f>
        <v>#VALUE!</v>
      </c>
      <c r="DI50" t="e">
        <f>AND('UP133'!DR11,"AAAAAHPfv3A=")</f>
        <v>#VALUE!</v>
      </c>
      <c r="DJ50" t="e">
        <f>AND('UP133'!DS11,"AAAAAHPfv3E=")</f>
        <v>#VALUE!</v>
      </c>
      <c r="DK50" t="e">
        <f>AND('UP133'!DT11,"AAAAAHPfv3I=")</f>
        <v>#VALUE!</v>
      </c>
      <c r="DL50" t="e">
        <f>AND('UP133'!DU11,"AAAAAHPfv3M=")</f>
        <v>#VALUE!</v>
      </c>
      <c r="DM50" t="e">
        <f>AND('UP133'!DV11,"AAAAAHPfv3Q=")</f>
        <v>#VALUE!</v>
      </c>
      <c r="DN50" t="e">
        <f>AND('UP133'!DW11,"AAAAAHPfv3U=")</f>
        <v>#VALUE!</v>
      </c>
      <c r="DO50" t="e">
        <f>AND('UP133'!DX11,"AAAAAHPfv3Y=")</f>
        <v>#VALUE!</v>
      </c>
      <c r="DP50" t="e">
        <f>AND('UP133'!DY11,"AAAAAHPfv3c=")</f>
        <v>#VALUE!</v>
      </c>
      <c r="DQ50" t="e">
        <f>AND('UP133'!DZ11,"AAAAAHPfv3g=")</f>
        <v>#VALUE!</v>
      </c>
      <c r="DR50" t="e">
        <f>AND('UP133'!EA11,"AAAAAHPfv3k=")</f>
        <v>#VALUE!</v>
      </c>
      <c r="DS50" t="e">
        <f>AND('UP133'!EB11,"AAAAAHPfv3o=")</f>
        <v>#VALUE!</v>
      </c>
      <c r="DT50" t="e">
        <f>AND('UP133'!EC11,"AAAAAHPfv3s=")</f>
        <v>#VALUE!</v>
      </c>
      <c r="DU50" t="e">
        <f>AND('UP133'!ED11,"AAAAAHPfv3w=")</f>
        <v>#VALUE!</v>
      </c>
      <c r="DV50" t="e">
        <f>AND('UP133'!EE11,"AAAAAHPfv30=")</f>
        <v>#VALUE!</v>
      </c>
      <c r="DW50" t="e">
        <f>AND('UP133'!EF11,"AAAAAHPfv34=")</f>
        <v>#VALUE!</v>
      </c>
      <c r="DX50" t="e">
        <f>AND('UP133'!EG11,"AAAAAHPfv38=")</f>
        <v>#VALUE!</v>
      </c>
      <c r="DY50" t="e">
        <f>AND('UP133'!EH11,"AAAAAHPfv4A=")</f>
        <v>#VALUE!</v>
      </c>
      <c r="DZ50" t="e">
        <f>AND('UP133'!EI11,"AAAAAHPfv4E=")</f>
        <v>#VALUE!</v>
      </c>
      <c r="EA50" t="e">
        <f>AND('UP133'!EJ11,"AAAAAHPfv4I=")</f>
        <v>#VALUE!</v>
      </c>
      <c r="EB50" t="e">
        <f>AND('UP133'!EK11,"AAAAAHPfv4M=")</f>
        <v>#VALUE!</v>
      </c>
      <c r="EC50" t="e">
        <f>AND('UP133'!EL11,"AAAAAHPfv4Q=")</f>
        <v>#VALUE!</v>
      </c>
      <c r="ED50" t="e">
        <f>AND('UP133'!EM11,"AAAAAHPfv4U=")</f>
        <v>#VALUE!</v>
      </c>
      <c r="EE50" t="e">
        <f>AND('UP133'!EN11,"AAAAAHPfv4Y=")</f>
        <v>#VALUE!</v>
      </c>
      <c r="EF50" t="e">
        <f>AND('UP133'!EO11,"AAAAAHPfv4c=")</f>
        <v>#VALUE!</v>
      </c>
      <c r="EG50" t="e">
        <f>AND('UP133'!EP11,"AAAAAHPfv4g=")</f>
        <v>#VALUE!</v>
      </c>
      <c r="EH50" t="e">
        <f>AND('UP133'!EQ11,"AAAAAHPfv4k=")</f>
        <v>#VALUE!</v>
      </c>
      <c r="EI50" t="e">
        <f>AND('UP133'!ER11,"AAAAAHPfv4o=")</f>
        <v>#VALUE!</v>
      </c>
      <c r="EJ50" t="e">
        <f>AND('UP133'!ES11,"AAAAAHPfv4s=")</f>
        <v>#VALUE!</v>
      </c>
      <c r="EK50" t="e">
        <f>AND('UP133'!ET11,"AAAAAHPfv4w=")</f>
        <v>#VALUE!</v>
      </c>
      <c r="EL50" t="e">
        <f>AND('UP133'!EU11,"AAAAAHPfv40=")</f>
        <v>#VALUE!</v>
      </c>
      <c r="EM50" t="e">
        <f>AND('UP133'!EV11,"AAAAAHPfv44=")</f>
        <v>#VALUE!</v>
      </c>
      <c r="EN50" t="e">
        <f>AND('UP133'!EW11,"AAAAAHPfv48=")</f>
        <v>#VALUE!</v>
      </c>
      <c r="EO50" t="e">
        <f>AND('UP133'!EX11,"AAAAAHPfv5A=")</f>
        <v>#VALUE!</v>
      </c>
      <c r="EP50" t="e">
        <f>AND('UP133'!EY11,"AAAAAHPfv5E=")</f>
        <v>#VALUE!</v>
      </c>
      <c r="EQ50" t="e">
        <f>AND('UP133'!EZ11,"AAAAAHPfv5I=")</f>
        <v>#VALUE!</v>
      </c>
      <c r="ER50" t="e">
        <f>AND('UP133'!FA11,"AAAAAHPfv5M=")</f>
        <v>#VALUE!</v>
      </c>
      <c r="ES50" t="e">
        <f>AND('UP133'!FB11,"AAAAAHPfv5Q=")</f>
        <v>#VALUE!</v>
      </c>
      <c r="ET50" t="e">
        <f>AND('UP133'!FC11,"AAAAAHPfv5U=")</f>
        <v>#VALUE!</v>
      </c>
      <c r="EU50" t="e">
        <f>AND('UP133'!FD11,"AAAAAHPfv5Y=")</f>
        <v>#VALUE!</v>
      </c>
      <c r="EV50" t="e">
        <f>AND('UP133'!FE11,"AAAAAHPfv5c=")</f>
        <v>#VALUE!</v>
      </c>
      <c r="EW50" t="e">
        <f>AND('UP133'!FF11,"AAAAAHPfv5g=")</f>
        <v>#VALUE!</v>
      </c>
      <c r="EX50" t="e">
        <f>AND('UP133'!FG11,"AAAAAHPfv5k=")</f>
        <v>#VALUE!</v>
      </c>
      <c r="EY50" t="e">
        <f>AND('UP133'!FH11,"AAAAAHPfv5o=")</f>
        <v>#VALUE!</v>
      </c>
      <c r="EZ50" t="e">
        <f>AND('UP133'!FI11,"AAAAAHPfv5s=")</f>
        <v>#VALUE!</v>
      </c>
      <c r="FA50" t="e">
        <f>AND('UP133'!FJ11,"AAAAAHPfv5w=")</f>
        <v>#VALUE!</v>
      </c>
      <c r="FB50" t="e">
        <f>AND('UP133'!FK11,"AAAAAHPfv50=")</f>
        <v>#VALUE!</v>
      </c>
      <c r="FC50" t="e">
        <f>AND('UP133'!FL11,"AAAAAHPfv54=")</f>
        <v>#VALUE!</v>
      </c>
      <c r="FD50" t="e">
        <f>AND('UP133'!FM11,"AAAAAHPfv58=")</f>
        <v>#VALUE!</v>
      </c>
      <c r="FE50" t="e">
        <f>AND('UP133'!FN11,"AAAAAHPfv6A=")</f>
        <v>#VALUE!</v>
      </c>
      <c r="FF50" t="e">
        <f>AND('UP133'!FO11,"AAAAAHPfv6E=")</f>
        <v>#VALUE!</v>
      </c>
      <c r="FG50" t="e">
        <f>AND('UP133'!FP11,"AAAAAHPfv6I=")</f>
        <v>#VALUE!</v>
      </c>
      <c r="FH50" t="e">
        <f>AND('UP133'!FQ11,"AAAAAHPfv6M=")</f>
        <v>#VALUE!</v>
      </c>
      <c r="FI50" t="e">
        <f>AND('UP133'!FR11,"AAAAAHPfv6Q=")</f>
        <v>#VALUE!</v>
      </c>
      <c r="FJ50" t="e">
        <f>AND('UP133'!FS11,"AAAAAHPfv6U=")</f>
        <v>#VALUE!</v>
      </c>
      <c r="FK50" t="e">
        <f>AND('UP133'!FT11,"AAAAAHPfv6Y=")</f>
        <v>#VALUE!</v>
      </c>
      <c r="FL50" t="e">
        <f>AND('UP133'!FU11,"AAAAAHPfv6c=")</f>
        <v>#VALUE!</v>
      </c>
      <c r="FM50" t="e">
        <f>AND('UP133'!FV11,"AAAAAHPfv6g=")</f>
        <v>#VALUE!</v>
      </c>
      <c r="FN50" t="e">
        <f>AND('UP133'!FW11,"AAAAAHPfv6k=")</f>
        <v>#VALUE!</v>
      </c>
      <c r="FO50" t="e">
        <f>AND('UP133'!FX11,"AAAAAHPfv6o=")</f>
        <v>#VALUE!</v>
      </c>
      <c r="FP50" t="e">
        <f>AND('UP133'!FY11,"AAAAAHPfv6s=")</f>
        <v>#VALUE!</v>
      </c>
      <c r="FQ50" t="e">
        <f>AND('UP133'!FZ11,"AAAAAHPfv6w=")</f>
        <v>#VALUE!</v>
      </c>
      <c r="FR50" t="e">
        <f>AND('UP133'!GA11,"AAAAAHPfv60=")</f>
        <v>#VALUE!</v>
      </c>
      <c r="FS50" t="e">
        <f>AND('UP133'!GB11,"AAAAAHPfv64=")</f>
        <v>#VALUE!</v>
      </c>
      <c r="FT50" t="e">
        <f>AND('UP133'!GC11,"AAAAAHPfv68=")</f>
        <v>#VALUE!</v>
      </c>
      <c r="FU50" t="e">
        <f>AND('UP133'!GD11,"AAAAAHPfv7A=")</f>
        <v>#VALUE!</v>
      </c>
      <c r="FV50" t="e">
        <f>AND('UP133'!GE11,"AAAAAHPfv7E=")</f>
        <v>#VALUE!</v>
      </c>
      <c r="FW50" t="e">
        <f>AND('UP133'!GF11,"AAAAAHPfv7I=")</f>
        <v>#VALUE!</v>
      </c>
      <c r="FX50" t="e">
        <f>AND('UP133'!GG11,"AAAAAHPfv7M=")</f>
        <v>#VALUE!</v>
      </c>
      <c r="FY50" t="e">
        <f>AND('UP133'!GH11,"AAAAAHPfv7Q=")</f>
        <v>#VALUE!</v>
      </c>
      <c r="FZ50" t="e">
        <f>AND('UP133'!GI11,"AAAAAHPfv7U=")</f>
        <v>#VALUE!</v>
      </c>
      <c r="GA50" t="e">
        <f>AND('UP133'!GJ11,"AAAAAHPfv7Y=")</f>
        <v>#VALUE!</v>
      </c>
      <c r="GB50" t="e">
        <f>AND('UP133'!GK11,"AAAAAHPfv7c=")</f>
        <v>#VALUE!</v>
      </c>
      <c r="GC50" t="e">
        <f>AND('UP133'!GL11,"AAAAAHPfv7g=")</f>
        <v>#VALUE!</v>
      </c>
      <c r="GD50" t="e">
        <f>AND('UP133'!GM11,"AAAAAHPfv7k=")</f>
        <v>#VALUE!</v>
      </c>
      <c r="GE50" t="e">
        <f>AND('UP133'!GN11,"AAAAAHPfv7o=")</f>
        <v>#VALUE!</v>
      </c>
      <c r="GF50" t="e">
        <f>AND('UP133'!GO11,"AAAAAHPfv7s=")</f>
        <v>#VALUE!</v>
      </c>
      <c r="GG50" t="e">
        <f>AND('UP133'!GP11,"AAAAAHPfv7w=")</f>
        <v>#VALUE!</v>
      </c>
      <c r="GH50" t="e">
        <f>AND('UP133'!GQ11,"AAAAAHPfv70=")</f>
        <v>#VALUE!</v>
      </c>
      <c r="GI50" t="e">
        <f>AND('UP133'!GR11,"AAAAAHPfv74=")</f>
        <v>#VALUE!</v>
      </c>
      <c r="GJ50" t="e">
        <f>AND('UP133'!GS11,"AAAAAHPfv78=")</f>
        <v>#VALUE!</v>
      </c>
      <c r="GK50" t="e">
        <f>AND('UP133'!GT11,"AAAAAHPfv8A=")</f>
        <v>#VALUE!</v>
      </c>
      <c r="GL50" t="e">
        <f>AND('UP133'!GU11,"AAAAAHPfv8E=")</f>
        <v>#VALUE!</v>
      </c>
      <c r="GM50" t="e">
        <f>AND('UP133'!GV11,"AAAAAHPfv8I=")</f>
        <v>#VALUE!</v>
      </c>
      <c r="GN50" t="e">
        <f>AND('UP133'!GW11,"AAAAAHPfv8M=")</f>
        <v>#VALUE!</v>
      </c>
      <c r="GO50" t="e">
        <f>AND('UP133'!GX11,"AAAAAHPfv8Q=")</f>
        <v>#VALUE!</v>
      </c>
      <c r="GP50" t="e">
        <f>AND('UP133'!GY11,"AAAAAHPfv8U=")</f>
        <v>#VALUE!</v>
      </c>
      <c r="GQ50" t="e">
        <f>AND('UP133'!GZ11,"AAAAAHPfv8Y=")</f>
        <v>#VALUE!</v>
      </c>
      <c r="GR50" t="e">
        <f>AND('UP133'!HA11,"AAAAAHPfv8c=")</f>
        <v>#VALUE!</v>
      </c>
      <c r="GS50" t="e">
        <f>AND('UP133'!HB11,"AAAAAHPfv8g=")</f>
        <v>#VALUE!</v>
      </c>
      <c r="GT50" t="e">
        <f>AND('UP133'!HC11,"AAAAAHPfv8k=")</f>
        <v>#VALUE!</v>
      </c>
      <c r="GU50" t="e">
        <f>AND('UP133'!HD11,"AAAAAHPfv8o=")</f>
        <v>#VALUE!</v>
      </c>
      <c r="GV50" t="e">
        <f>AND('UP133'!HE11,"AAAAAHPfv8s=")</f>
        <v>#VALUE!</v>
      </c>
      <c r="GW50" t="e">
        <f>AND('UP133'!HF11,"AAAAAHPfv8w=")</f>
        <v>#VALUE!</v>
      </c>
      <c r="GX50" t="e">
        <f>AND('UP133'!HG11,"AAAAAHPfv80=")</f>
        <v>#VALUE!</v>
      </c>
      <c r="GY50" t="e">
        <f>AND('UP133'!HH11,"AAAAAHPfv84=")</f>
        <v>#VALUE!</v>
      </c>
      <c r="GZ50" t="e">
        <f>AND('UP133'!HI11,"AAAAAHPfv88=")</f>
        <v>#VALUE!</v>
      </c>
      <c r="HA50" t="e">
        <f>AND('UP133'!HJ11,"AAAAAHPfv9A=")</f>
        <v>#VALUE!</v>
      </c>
      <c r="HB50" t="e">
        <f>AND('UP133'!HK11,"AAAAAHPfv9E=")</f>
        <v>#VALUE!</v>
      </c>
      <c r="HC50" t="e">
        <f>AND('UP133'!HL11,"AAAAAHPfv9I=")</f>
        <v>#VALUE!</v>
      </c>
      <c r="HD50" t="e">
        <f>AND('UP133'!HM11,"AAAAAHPfv9M=")</f>
        <v>#VALUE!</v>
      </c>
      <c r="HE50" t="e">
        <f>AND('UP133'!HN11,"AAAAAHPfv9Q=")</f>
        <v>#VALUE!</v>
      </c>
      <c r="HF50" t="e">
        <f>AND('UP133'!HO11,"AAAAAHPfv9U=")</f>
        <v>#VALUE!</v>
      </c>
      <c r="HG50" t="e">
        <f>AND('UP133'!HP11,"AAAAAHPfv9Y=")</f>
        <v>#VALUE!</v>
      </c>
      <c r="HH50" t="e">
        <f>AND('UP133'!HQ11,"AAAAAHPfv9c=")</f>
        <v>#VALUE!</v>
      </c>
      <c r="HI50" t="e">
        <f>AND('UP133'!HR11,"AAAAAHPfv9g=")</f>
        <v>#VALUE!</v>
      </c>
      <c r="HJ50" t="e">
        <f>AND('UP133'!HS11,"AAAAAHPfv9k=")</f>
        <v>#VALUE!</v>
      </c>
      <c r="HK50" t="e">
        <f>AND('UP133'!HT11,"AAAAAHPfv9o=")</f>
        <v>#VALUE!</v>
      </c>
      <c r="HL50" t="e">
        <f>AND('UP133'!HU11,"AAAAAHPfv9s=")</f>
        <v>#VALUE!</v>
      </c>
      <c r="HM50" t="e">
        <f>AND('UP133'!HV11,"AAAAAHPfv9w=")</f>
        <v>#VALUE!</v>
      </c>
      <c r="HN50" t="e">
        <f>AND('UP133'!HW11,"AAAAAHPfv90=")</f>
        <v>#VALUE!</v>
      </c>
      <c r="HO50" t="e">
        <f>AND('UP133'!HX11,"AAAAAHPfv94=")</f>
        <v>#VALUE!</v>
      </c>
      <c r="HP50" t="e">
        <f>AND('UP133'!HY11,"AAAAAHPfv98=")</f>
        <v>#VALUE!</v>
      </c>
      <c r="HQ50" t="e">
        <f>AND('UP133'!HZ11,"AAAAAHPfv+A=")</f>
        <v>#VALUE!</v>
      </c>
      <c r="HR50" t="e">
        <f>AND('UP133'!IA11,"AAAAAHPfv+E=")</f>
        <v>#VALUE!</v>
      </c>
      <c r="HS50" t="e">
        <f>AND('UP133'!IB11,"AAAAAHPfv+I=")</f>
        <v>#VALUE!</v>
      </c>
      <c r="HT50" t="e">
        <f>AND('UP133'!IC11,"AAAAAHPfv+M=")</f>
        <v>#VALUE!</v>
      </c>
      <c r="HU50" t="e">
        <f>AND('UP133'!ID11,"AAAAAHPfv+Q=")</f>
        <v>#VALUE!</v>
      </c>
      <c r="HV50" t="e">
        <f>AND('UP133'!IE11,"AAAAAHPfv+U=")</f>
        <v>#VALUE!</v>
      </c>
      <c r="HW50" t="e">
        <f>AND('UP133'!IF11,"AAAAAHPfv+Y=")</f>
        <v>#VALUE!</v>
      </c>
      <c r="HX50" t="e">
        <f>AND('UP133'!IG11,"AAAAAHPfv+c=")</f>
        <v>#VALUE!</v>
      </c>
      <c r="HY50" t="e">
        <f>AND('UP133'!IH11,"AAAAAHPfv+g=")</f>
        <v>#VALUE!</v>
      </c>
      <c r="HZ50" t="e">
        <f>AND('UP133'!II11,"AAAAAHPfv+k=")</f>
        <v>#VALUE!</v>
      </c>
      <c r="IA50" t="e">
        <f>AND('UP133'!IJ11,"AAAAAHPfv+o=")</f>
        <v>#VALUE!</v>
      </c>
      <c r="IB50" t="e">
        <f>AND('UP133'!IK11,"AAAAAHPfv+s=")</f>
        <v>#VALUE!</v>
      </c>
      <c r="IC50" t="e">
        <f>AND('UP133'!IL11,"AAAAAHPfv+w=")</f>
        <v>#VALUE!</v>
      </c>
      <c r="ID50" t="e">
        <f>AND('UP133'!IM11,"AAAAAHPfv+0=")</f>
        <v>#VALUE!</v>
      </c>
      <c r="IE50" t="e">
        <f>AND('UP133'!IN11,"AAAAAHPfv+4=")</f>
        <v>#VALUE!</v>
      </c>
      <c r="IF50" t="e">
        <f>AND('UP133'!IO11,"AAAAAHPfv+8=")</f>
        <v>#VALUE!</v>
      </c>
      <c r="IG50" t="e">
        <f>AND('UP133'!IP11,"AAAAAHPfv/A=")</f>
        <v>#VALUE!</v>
      </c>
      <c r="IH50" t="e">
        <f>AND('UP133'!IQ11,"AAAAAHPfv/E=")</f>
        <v>#VALUE!</v>
      </c>
      <c r="II50">
        <f>IF('UP133'!12:12,"AAAAAHPfv/I=",0)</f>
        <v>0</v>
      </c>
      <c r="IJ50" t="e">
        <f>AND('UP133'!A12,"AAAAAHPfv/M=")</f>
        <v>#VALUE!</v>
      </c>
      <c r="IK50" t="e">
        <f>AND('UP133'!B12,"AAAAAHPfv/Q=")</f>
        <v>#VALUE!</v>
      </c>
      <c r="IL50" t="e">
        <f>AND('UP133'!C12,"AAAAAHPfv/U=")</f>
        <v>#VALUE!</v>
      </c>
      <c r="IM50" t="e">
        <f>AND('UP133'!D12,"AAAAAHPfv/Y=")</f>
        <v>#VALUE!</v>
      </c>
      <c r="IN50" t="e">
        <f>AND('UP133'!E12,"AAAAAHPfv/c=")</f>
        <v>#VALUE!</v>
      </c>
      <c r="IO50" t="e">
        <f>AND('UP133'!F12,"AAAAAHPfv/g=")</f>
        <v>#VALUE!</v>
      </c>
      <c r="IP50" t="e">
        <f>AND('UP133'!G12,"AAAAAHPfv/k=")</f>
        <v>#VALUE!</v>
      </c>
      <c r="IQ50" t="e">
        <f>AND('UP133'!H12,"AAAAAHPfv/o=")</f>
        <v>#VALUE!</v>
      </c>
      <c r="IR50" t="e">
        <f>AND('UP133'!I12,"AAAAAHPfv/s=")</f>
        <v>#VALUE!</v>
      </c>
      <c r="IS50" t="e">
        <f>AND('UP133'!J12,"AAAAAHPfv/w=")</f>
        <v>#VALUE!</v>
      </c>
      <c r="IT50" t="e">
        <f>AND('UP133'!K12,"AAAAAHPfv/0=")</f>
        <v>#VALUE!</v>
      </c>
      <c r="IU50" t="e">
        <f>AND('UP133'!L12,"AAAAAHPfv/4=")</f>
        <v>#VALUE!</v>
      </c>
      <c r="IV50" t="e">
        <f>AND('UP133'!M12,"AAAAAHPfv/8=")</f>
        <v>#VALUE!</v>
      </c>
    </row>
    <row r="51" spans="1:256">
      <c r="A51" t="e">
        <f>AND('UP133'!N12,"AAAAAHy01wA=")</f>
        <v>#VALUE!</v>
      </c>
      <c r="B51" t="e">
        <f>AND('UP133'!O12,"AAAAAHy01wE=")</f>
        <v>#VALUE!</v>
      </c>
      <c r="C51" t="e">
        <f>AND('UP133'!P12,"AAAAAHy01wI=")</f>
        <v>#VALUE!</v>
      </c>
      <c r="D51" t="e">
        <f>AND('UP133'!Q12,"AAAAAHy01wM=")</f>
        <v>#VALUE!</v>
      </c>
      <c r="E51" t="e">
        <f>AND('UP133'!R12,"AAAAAHy01wQ=")</f>
        <v>#VALUE!</v>
      </c>
      <c r="F51" t="e">
        <f>AND('UP133'!S12,"AAAAAHy01wU=")</f>
        <v>#VALUE!</v>
      </c>
      <c r="G51" t="e">
        <f>AND('UP133'!T12,"AAAAAHy01wY=")</f>
        <v>#VALUE!</v>
      </c>
      <c r="H51" t="e">
        <f>AND('UP133'!U12,"AAAAAHy01wc=")</f>
        <v>#VALUE!</v>
      </c>
      <c r="I51" t="e">
        <f>AND('UP133'!V12,"AAAAAHy01wg=")</f>
        <v>#VALUE!</v>
      </c>
      <c r="J51" t="e">
        <f>AND('UP133'!W12,"AAAAAHy01wk=")</f>
        <v>#VALUE!</v>
      </c>
      <c r="K51" t="e">
        <f>AND('UP133'!X12,"AAAAAHy01wo=")</f>
        <v>#VALUE!</v>
      </c>
      <c r="L51" t="e">
        <f>AND('UP133'!Y12,"AAAAAHy01ws=")</f>
        <v>#VALUE!</v>
      </c>
      <c r="M51" t="e">
        <f>AND('UP133'!Z12,"AAAAAHy01ww=")</f>
        <v>#VALUE!</v>
      </c>
      <c r="N51" t="e">
        <f>AND('UP133'!AA12,"AAAAAHy01w0=")</f>
        <v>#VALUE!</v>
      </c>
      <c r="O51" t="e">
        <f>AND('UP133'!AB12,"AAAAAHy01w4=")</f>
        <v>#VALUE!</v>
      </c>
      <c r="P51" t="e">
        <f>AND('UP133'!AC12,"AAAAAHy01w8=")</f>
        <v>#VALUE!</v>
      </c>
      <c r="Q51" t="e">
        <f>AND('UP133'!AD12,"AAAAAHy01xA=")</f>
        <v>#VALUE!</v>
      </c>
      <c r="R51" t="e">
        <f>AND('UP133'!AE12,"AAAAAHy01xE=")</f>
        <v>#VALUE!</v>
      </c>
      <c r="S51" t="e">
        <f>AND('UP133'!AF12,"AAAAAHy01xI=")</f>
        <v>#VALUE!</v>
      </c>
      <c r="T51" t="e">
        <f>AND('UP133'!AG12,"AAAAAHy01xM=")</f>
        <v>#VALUE!</v>
      </c>
      <c r="U51" t="e">
        <f>AND('UP133'!AH12,"AAAAAHy01xQ=")</f>
        <v>#VALUE!</v>
      </c>
      <c r="V51" t="e">
        <f>AND('UP133'!AI12,"AAAAAHy01xU=")</f>
        <v>#VALUE!</v>
      </c>
      <c r="W51" t="e">
        <f>AND('UP133'!AJ12,"AAAAAHy01xY=")</f>
        <v>#VALUE!</v>
      </c>
      <c r="X51" t="e">
        <f>AND('UP133'!AK12,"AAAAAHy01xc=")</f>
        <v>#VALUE!</v>
      </c>
      <c r="Y51" t="e">
        <f>AND('UP133'!AL12,"AAAAAHy01xg=")</f>
        <v>#VALUE!</v>
      </c>
      <c r="Z51" t="e">
        <f>AND('UP133'!AM12,"AAAAAHy01xk=")</f>
        <v>#VALUE!</v>
      </c>
      <c r="AA51" t="e">
        <f>AND('UP133'!AN12,"AAAAAHy01xo=")</f>
        <v>#VALUE!</v>
      </c>
      <c r="AB51" t="e">
        <f>AND('UP133'!AO12,"AAAAAHy01xs=")</f>
        <v>#VALUE!</v>
      </c>
      <c r="AC51" t="e">
        <f>AND('UP133'!AP12,"AAAAAHy01xw=")</f>
        <v>#VALUE!</v>
      </c>
      <c r="AD51" t="e">
        <f>AND('UP133'!AQ12,"AAAAAHy01x0=")</f>
        <v>#VALUE!</v>
      </c>
      <c r="AE51" t="e">
        <f>AND('UP133'!AR12,"AAAAAHy01x4=")</f>
        <v>#VALUE!</v>
      </c>
      <c r="AF51" t="e">
        <f>AND('UP133'!AS12,"AAAAAHy01x8=")</f>
        <v>#VALUE!</v>
      </c>
      <c r="AG51" t="e">
        <f>AND('UP133'!AT12,"AAAAAHy01yA=")</f>
        <v>#VALUE!</v>
      </c>
      <c r="AH51" t="e">
        <f>AND('UP133'!AU12,"AAAAAHy01yE=")</f>
        <v>#VALUE!</v>
      </c>
      <c r="AI51" t="e">
        <f>AND('UP133'!AV12,"AAAAAHy01yI=")</f>
        <v>#VALUE!</v>
      </c>
      <c r="AJ51" t="e">
        <f>AND('UP133'!AW12,"AAAAAHy01yM=")</f>
        <v>#VALUE!</v>
      </c>
      <c r="AK51" t="e">
        <f>AND('UP133'!AX12,"AAAAAHy01yQ=")</f>
        <v>#VALUE!</v>
      </c>
      <c r="AL51" t="e">
        <f>AND('UP133'!AY12,"AAAAAHy01yU=")</f>
        <v>#VALUE!</v>
      </c>
      <c r="AM51" t="e">
        <f>AND('UP133'!AZ12,"AAAAAHy01yY=")</f>
        <v>#VALUE!</v>
      </c>
      <c r="AN51" t="e">
        <f>AND('UP133'!BA12,"AAAAAHy01yc=")</f>
        <v>#VALUE!</v>
      </c>
      <c r="AO51" t="e">
        <f>AND('UP133'!BB12,"AAAAAHy01yg=")</f>
        <v>#VALUE!</v>
      </c>
      <c r="AP51" t="e">
        <f>AND('UP133'!BC12,"AAAAAHy01yk=")</f>
        <v>#VALUE!</v>
      </c>
      <c r="AQ51" t="e">
        <f>AND('UP133'!BD12,"AAAAAHy01yo=")</f>
        <v>#VALUE!</v>
      </c>
      <c r="AR51" t="e">
        <f>AND('UP133'!BE12,"AAAAAHy01ys=")</f>
        <v>#VALUE!</v>
      </c>
      <c r="AS51" t="e">
        <f>AND('UP133'!BF12,"AAAAAHy01yw=")</f>
        <v>#VALUE!</v>
      </c>
      <c r="AT51" t="e">
        <f>AND('UP133'!BG12,"AAAAAHy01y0=")</f>
        <v>#VALUE!</v>
      </c>
      <c r="AU51" t="e">
        <f>AND('UP133'!BH12,"AAAAAHy01y4=")</f>
        <v>#VALUE!</v>
      </c>
      <c r="AV51" t="e">
        <f>AND('UP133'!BI12,"AAAAAHy01y8=")</f>
        <v>#VALUE!</v>
      </c>
      <c r="AW51" t="e">
        <f>AND('UP133'!BJ12,"AAAAAHy01zA=")</f>
        <v>#VALUE!</v>
      </c>
      <c r="AX51" t="e">
        <f>AND('UP133'!BK12,"AAAAAHy01zE=")</f>
        <v>#VALUE!</v>
      </c>
      <c r="AY51" t="e">
        <f>AND('UP133'!BL12,"AAAAAHy01zI=")</f>
        <v>#VALUE!</v>
      </c>
      <c r="AZ51" t="e">
        <f>AND('UP133'!BM12,"AAAAAHy01zM=")</f>
        <v>#VALUE!</v>
      </c>
      <c r="BA51" t="e">
        <f>AND('UP133'!BN12,"AAAAAHy01zQ=")</f>
        <v>#VALUE!</v>
      </c>
      <c r="BB51" t="e">
        <f>AND('UP133'!BO12,"AAAAAHy01zU=")</f>
        <v>#VALUE!</v>
      </c>
      <c r="BC51" t="e">
        <f>AND('UP133'!BP12,"AAAAAHy01zY=")</f>
        <v>#VALUE!</v>
      </c>
      <c r="BD51" t="e">
        <f>AND('UP133'!BQ12,"AAAAAHy01zc=")</f>
        <v>#VALUE!</v>
      </c>
      <c r="BE51" t="e">
        <f>AND('UP133'!BR12,"AAAAAHy01zg=")</f>
        <v>#VALUE!</v>
      </c>
      <c r="BF51" t="e">
        <f>AND('UP133'!BS12,"AAAAAHy01zk=")</f>
        <v>#VALUE!</v>
      </c>
      <c r="BG51" t="e">
        <f>AND('UP133'!BT12,"AAAAAHy01zo=")</f>
        <v>#VALUE!</v>
      </c>
      <c r="BH51" t="e">
        <f>AND('UP133'!BU12,"AAAAAHy01zs=")</f>
        <v>#VALUE!</v>
      </c>
      <c r="BI51" t="e">
        <f>AND('UP133'!BV12,"AAAAAHy01zw=")</f>
        <v>#VALUE!</v>
      </c>
      <c r="BJ51" t="e">
        <f>AND('UP133'!BW12,"AAAAAHy01z0=")</f>
        <v>#VALUE!</v>
      </c>
      <c r="BK51" t="e">
        <f>AND('UP133'!BX12,"AAAAAHy01z4=")</f>
        <v>#VALUE!</v>
      </c>
      <c r="BL51" t="e">
        <f>AND('UP133'!BY12,"AAAAAHy01z8=")</f>
        <v>#VALUE!</v>
      </c>
      <c r="BM51" t="e">
        <f>AND('UP133'!BZ12,"AAAAAHy010A=")</f>
        <v>#VALUE!</v>
      </c>
      <c r="BN51" t="e">
        <f>AND('UP133'!CA12,"AAAAAHy010E=")</f>
        <v>#VALUE!</v>
      </c>
      <c r="BO51" t="e">
        <f>AND('UP133'!CB12,"AAAAAHy010I=")</f>
        <v>#VALUE!</v>
      </c>
      <c r="BP51" t="e">
        <f>AND('UP133'!CC12,"AAAAAHy010M=")</f>
        <v>#VALUE!</v>
      </c>
      <c r="BQ51" t="e">
        <f>AND('UP133'!CD12,"AAAAAHy010Q=")</f>
        <v>#VALUE!</v>
      </c>
      <c r="BR51" t="e">
        <f>AND('UP133'!CE12,"AAAAAHy010U=")</f>
        <v>#VALUE!</v>
      </c>
      <c r="BS51" t="e">
        <f>AND('UP133'!CF12,"AAAAAHy010Y=")</f>
        <v>#VALUE!</v>
      </c>
      <c r="BT51" t="e">
        <f>AND('UP133'!CG12,"AAAAAHy010c=")</f>
        <v>#VALUE!</v>
      </c>
      <c r="BU51" t="e">
        <f>AND('UP133'!CH12,"AAAAAHy010g=")</f>
        <v>#VALUE!</v>
      </c>
      <c r="BV51" t="e">
        <f>AND('UP133'!CI12,"AAAAAHy010k=")</f>
        <v>#VALUE!</v>
      </c>
      <c r="BW51" t="e">
        <f>AND('UP133'!CJ12,"AAAAAHy010o=")</f>
        <v>#VALUE!</v>
      </c>
      <c r="BX51" t="e">
        <f>AND('UP133'!CK12,"AAAAAHy010s=")</f>
        <v>#VALUE!</v>
      </c>
      <c r="BY51" t="e">
        <f>AND('UP133'!CL12,"AAAAAHy010w=")</f>
        <v>#VALUE!</v>
      </c>
      <c r="BZ51" t="e">
        <f>AND('UP133'!CM12,"AAAAAHy0100=")</f>
        <v>#VALUE!</v>
      </c>
      <c r="CA51" t="e">
        <f>AND('UP133'!CN12,"AAAAAHy0104=")</f>
        <v>#VALUE!</v>
      </c>
      <c r="CB51" t="e">
        <f>AND('UP133'!CO12,"AAAAAHy0108=")</f>
        <v>#VALUE!</v>
      </c>
      <c r="CC51" t="e">
        <f>AND('UP133'!CP12,"AAAAAHy011A=")</f>
        <v>#VALUE!</v>
      </c>
      <c r="CD51" t="e">
        <f>AND('UP133'!CQ12,"AAAAAHy011E=")</f>
        <v>#VALUE!</v>
      </c>
      <c r="CE51" t="e">
        <f>AND('UP133'!CR12,"AAAAAHy011I=")</f>
        <v>#VALUE!</v>
      </c>
      <c r="CF51" t="e">
        <f>AND('UP133'!CS12,"AAAAAHy011M=")</f>
        <v>#VALUE!</v>
      </c>
      <c r="CG51" t="e">
        <f>AND('UP133'!CT12,"AAAAAHy011Q=")</f>
        <v>#VALUE!</v>
      </c>
      <c r="CH51" t="e">
        <f>AND('UP133'!CU12,"AAAAAHy011U=")</f>
        <v>#VALUE!</v>
      </c>
      <c r="CI51" t="e">
        <f>AND('UP133'!CV12,"AAAAAHy011Y=")</f>
        <v>#VALUE!</v>
      </c>
      <c r="CJ51" t="e">
        <f>AND('UP133'!CW12,"AAAAAHy011c=")</f>
        <v>#VALUE!</v>
      </c>
      <c r="CK51" t="e">
        <f>AND('UP133'!CX12,"AAAAAHy011g=")</f>
        <v>#VALUE!</v>
      </c>
      <c r="CL51" t="e">
        <f>AND('UP133'!CY12,"AAAAAHy011k=")</f>
        <v>#VALUE!</v>
      </c>
      <c r="CM51" t="e">
        <f>AND('UP133'!CZ12,"AAAAAHy011o=")</f>
        <v>#VALUE!</v>
      </c>
      <c r="CN51" t="e">
        <f>AND('UP133'!DA12,"AAAAAHy011s=")</f>
        <v>#VALUE!</v>
      </c>
      <c r="CO51" t="e">
        <f>AND('UP133'!DB12,"AAAAAHy011w=")</f>
        <v>#VALUE!</v>
      </c>
      <c r="CP51" t="e">
        <f>AND('UP133'!DC12,"AAAAAHy0110=")</f>
        <v>#VALUE!</v>
      </c>
      <c r="CQ51" t="e">
        <f>AND('UP133'!DD12,"AAAAAHy0114=")</f>
        <v>#VALUE!</v>
      </c>
      <c r="CR51" t="e">
        <f>AND('UP133'!DE12,"AAAAAHy0118=")</f>
        <v>#VALUE!</v>
      </c>
      <c r="CS51" t="e">
        <f>AND('UP133'!DF12,"AAAAAHy012A=")</f>
        <v>#VALUE!</v>
      </c>
      <c r="CT51" t="e">
        <f>AND('UP133'!DG12,"AAAAAHy012E=")</f>
        <v>#VALUE!</v>
      </c>
      <c r="CU51" t="e">
        <f>AND('UP133'!DH12,"AAAAAHy012I=")</f>
        <v>#VALUE!</v>
      </c>
      <c r="CV51" t="e">
        <f>AND('UP133'!DI12,"AAAAAHy012M=")</f>
        <v>#VALUE!</v>
      </c>
      <c r="CW51" t="e">
        <f>AND('UP133'!DJ12,"AAAAAHy012Q=")</f>
        <v>#VALUE!</v>
      </c>
      <c r="CX51" t="e">
        <f>AND('UP133'!DK12,"AAAAAHy012U=")</f>
        <v>#VALUE!</v>
      </c>
      <c r="CY51" t="e">
        <f>AND('UP133'!DL12,"AAAAAHy012Y=")</f>
        <v>#VALUE!</v>
      </c>
      <c r="CZ51" t="e">
        <f>AND('UP133'!DM12,"AAAAAHy012c=")</f>
        <v>#VALUE!</v>
      </c>
      <c r="DA51" t="e">
        <f>AND('UP133'!DN12,"AAAAAHy012g=")</f>
        <v>#VALUE!</v>
      </c>
      <c r="DB51" t="e">
        <f>AND('UP133'!DO12,"AAAAAHy012k=")</f>
        <v>#VALUE!</v>
      </c>
      <c r="DC51" t="e">
        <f>AND('UP133'!DP12,"AAAAAHy012o=")</f>
        <v>#VALUE!</v>
      </c>
      <c r="DD51" t="e">
        <f>AND('UP133'!DQ12,"AAAAAHy012s=")</f>
        <v>#VALUE!</v>
      </c>
      <c r="DE51" t="e">
        <f>AND('UP133'!DR12,"AAAAAHy012w=")</f>
        <v>#VALUE!</v>
      </c>
      <c r="DF51" t="e">
        <f>AND('UP133'!DS12,"AAAAAHy0120=")</f>
        <v>#VALUE!</v>
      </c>
      <c r="DG51" t="e">
        <f>AND('UP133'!DT12,"AAAAAHy0124=")</f>
        <v>#VALUE!</v>
      </c>
      <c r="DH51" t="e">
        <f>AND('UP133'!DU12,"AAAAAHy0128=")</f>
        <v>#VALUE!</v>
      </c>
      <c r="DI51" t="e">
        <f>AND('UP133'!DV12,"AAAAAHy013A=")</f>
        <v>#VALUE!</v>
      </c>
      <c r="DJ51" t="e">
        <f>AND('UP133'!DW12,"AAAAAHy013E=")</f>
        <v>#VALUE!</v>
      </c>
      <c r="DK51" t="e">
        <f>AND('UP133'!DX12,"AAAAAHy013I=")</f>
        <v>#VALUE!</v>
      </c>
      <c r="DL51" t="e">
        <f>AND('UP133'!DY12,"AAAAAHy013M=")</f>
        <v>#VALUE!</v>
      </c>
      <c r="DM51" t="e">
        <f>AND('UP133'!DZ12,"AAAAAHy013Q=")</f>
        <v>#VALUE!</v>
      </c>
      <c r="DN51" t="e">
        <f>AND('UP133'!EA12,"AAAAAHy013U=")</f>
        <v>#VALUE!</v>
      </c>
      <c r="DO51" t="e">
        <f>AND('UP133'!EB12,"AAAAAHy013Y=")</f>
        <v>#VALUE!</v>
      </c>
      <c r="DP51" t="e">
        <f>AND('UP133'!EC12,"AAAAAHy013c=")</f>
        <v>#VALUE!</v>
      </c>
      <c r="DQ51" t="e">
        <f>AND('UP133'!ED12,"AAAAAHy013g=")</f>
        <v>#VALUE!</v>
      </c>
      <c r="DR51" t="e">
        <f>AND('UP133'!EE12,"AAAAAHy013k=")</f>
        <v>#VALUE!</v>
      </c>
      <c r="DS51" t="e">
        <f>AND('UP133'!EF12,"AAAAAHy013o=")</f>
        <v>#VALUE!</v>
      </c>
      <c r="DT51" t="e">
        <f>AND('UP133'!EG12,"AAAAAHy013s=")</f>
        <v>#VALUE!</v>
      </c>
      <c r="DU51" t="e">
        <f>AND('UP133'!EH12,"AAAAAHy013w=")</f>
        <v>#VALUE!</v>
      </c>
      <c r="DV51" t="e">
        <f>AND('UP133'!EI12,"AAAAAHy0130=")</f>
        <v>#VALUE!</v>
      </c>
      <c r="DW51" t="e">
        <f>AND('UP133'!EJ12,"AAAAAHy0134=")</f>
        <v>#VALUE!</v>
      </c>
      <c r="DX51" t="e">
        <f>AND('UP133'!EK12,"AAAAAHy0138=")</f>
        <v>#VALUE!</v>
      </c>
      <c r="DY51" t="e">
        <f>AND('UP133'!EL12,"AAAAAHy014A=")</f>
        <v>#VALUE!</v>
      </c>
      <c r="DZ51" t="e">
        <f>AND('UP133'!EM12,"AAAAAHy014E=")</f>
        <v>#VALUE!</v>
      </c>
      <c r="EA51" t="e">
        <f>AND('UP133'!EN12,"AAAAAHy014I=")</f>
        <v>#VALUE!</v>
      </c>
      <c r="EB51" t="e">
        <f>AND('UP133'!EO12,"AAAAAHy014M=")</f>
        <v>#VALUE!</v>
      </c>
      <c r="EC51" t="e">
        <f>AND('UP133'!EP12,"AAAAAHy014Q=")</f>
        <v>#VALUE!</v>
      </c>
      <c r="ED51" t="e">
        <f>AND('UP133'!EQ12,"AAAAAHy014U=")</f>
        <v>#VALUE!</v>
      </c>
      <c r="EE51" t="e">
        <f>AND('UP133'!ER12,"AAAAAHy014Y=")</f>
        <v>#VALUE!</v>
      </c>
      <c r="EF51" t="e">
        <f>AND('UP133'!ES12,"AAAAAHy014c=")</f>
        <v>#VALUE!</v>
      </c>
      <c r="EG51" t="e">
        <f>AND('UP133'!ET12,"AAAAAHy014g=")</f>
        <v>#VALUE!</v>
      </c>
      <c r="EH51" t="e">
        <f>AND('UP133'!EU12,"AAAAAHy014k=")</f>
        <v>#VALUE!</v>
      </c>
      <c r="EI51" t="e">
        <f>AND('UP133'!EV12,"AAAAAHy014o=")</f>
        <v>#VALUE!</v>
      </c>
      <c r="EJ51" t="e">
        <f>AND('UP133'!EW12,"AAAAAHy014s=")</f>
        <v>#VALUE!</v>
      </c>
      <c r="EK51" t="e">
        <f>AND('UP133'!EX12,"AAAAAHy014w=")</f>
        <v>#VALUE!</v>
      </c>
      <c r="EL51" t="e">
        <f>AND('UP133'!EY12,"AAAAAHy0140=")</f>
        <v>#VALUE!</v>
      </c>
      <c r="EM51" t="e">
        <f>AND('UP133'!EZ12,"AAAAAHy0144=")</f>
        <v>#VALUE!</v>
      </c>
      <c r="EN51" t="e">
        <f>AND('UP133'!FA12,"AAAAAHy0148=")</f>
        <v>#VALUE!</v>
      </c>
      <c r="EO51" t="e">
        <f>AND('UP133'!FB12,"AAAAAHy015A=")</f>
        <v>#VALUE!</v>
      </c>
      <c r="EP51" t="e">
        <f>AND('UP133'!FC12,"AAAAAHy015E=")</f>
        <v>#VALUE!</v>
      </c>
      <c r="EQ51" t="e">
        <f>AND('UP133'!FD12,"AAAAAHy015I=")</f>
        <v>#VALUE!</v>
      </c>
      <c r="ER51" t="e">
        <f>AND('UP133'!FE12,"AAAAAHy015M=")</f>
        <v>#VALUE!</v>
      </c>
      <c r="ES51" t="e">
        <f>AND('UP133'!FF12,"AAAAAHy015Q=")</f>
        <v>#VALUE!</v>
      </c>
      <c r="ET51" t="e">
        <f>AND('UP133'!FG12,"AAAAAHy015U=")</f>
        <v>#VALUE!</v>
      </c>
      <c r="EU51" t="e">
        <f>AND('UP133'!FH12,"AAAAAHy015Y=")</f>
        <v>#VALUE!</v>
      </c>
      <c r="EV51" t="e">
        <f>AND('UP133'!FI12,"AAAAAHy015c=")</f>
        <v>#VALUE!</v>
      </c>
      <c r="EW51" t="e">
        <f>AND('UP133'!FJ12,"AAAAAHy015g=")</f>
        <v>#VALUE!</v>
      </c>
      <c r="EX51" t="e">
        <f>AND('UP133'!FK12,"AAAAAHy015k=")</f>
        <v>#VALUE!</v>
      </c>
      <c r="EY51" t="e">
        <f>AND('UP133'!FL12,"AAAAAHy015o=")</f>
        <v>#VALUE!</v>
      </c>
      <c r="EZ51" t="e">
        <f>AND('UP133'!FM12,"AAAAAHy015s=")</f>
        <v>#VALUE!</v>
      </c>
      <c r="FA51" t="e">
        <f>AND('UP133'!FN12,"AAAAAHy015w=")</f>
        <v>#VALUE!</v>
      </c>
      <c r="FB51" t="e">
        <f>AND('UP133'!FO12,"AAAAAHy0150=")</f>
        <v>#VALUE!</v>
      </c>
      <c r="FC51" t="e">
        <f>AND('UP133'!FP12,"AAAAAHy0154=")</f>
        <v>#VALUE!</v>
      </c>
      <c r="FD51" t="e">
        <f>AND('UP133'!FQ12,"AAAAAHy0158=")</f>
        <v>#VALUE!</v>
      </c>
      <c r="FE51" t="e">
        <f>AND('UP133'!FR12,"AAAAAHy016A=")</f>
        <v>#VALUE!</v>
      </c>
      <c r="FF51" t="e">
        <f>AND('UP133'!FS12,"AAAAAHy016E=")</f>
        <v>#VALUE!</v>
      </c>
      <c r="FG51" t="e">
        <f>AND('UP133'!FT12,"AAAAAHy016I=")</f>
        <v>#VALUE!</v>
      </c>
      <c r="FH51" t="e">
        <f>AND('UP133'!FU12,"AAAAAHy016M=")</f>
        <v>#VALUE!</v>
      </c>
      <c r="FI51" t="e">
        <f>AND('UP133'!FV12,"AAAAAHy016Q=")</f>
        <v>#VALUE!</v>
      </c>
      <c r="FJ51" t="e">
        <f>AND('UP133'!FW12,"AAAAAHy016U=")</f>
        <v>#VALUE!</v>
      </c>
      <c r="FK51" t="e">
        <f>AND('UP133'!FX12,"AAAAAHy016Y=")</f>
        <v>#VALUE!</v>
      </c>
      <c r="FL51" t="e">
        <f>AND('UP133'!FY12,"AAAAAHy016c=")</f>
        <v>#VALUE!</v>
      </c>
      <c r="FM51" t="e">
        <f>AND('UP133'!FZ12,"AAAAAHy016g=")</f>
        <v>#VALUE!</v>
      </c>
      <c r="FN51" t="e">
        <f>AND('UP133'!GA12,"AAAAAHy016k=")</f>
        <v>#VALUE!</v>
      </c>
      <c r="FO51" t="e">
        <f>AND('UP133'!GB12,"AAAAAHy016o=")</f>
        <v>#VALUE!</v>
      </c>
      <c r="FP51" t="e">
        <f>AND('UP133'!GC12,"AAAAAHy016s=")</f>
        <v>#VALUE!</v>
      </c>
      <c r="FQ51" t="e">
        <f>AND('UP133'!GD12,"AAAAAHy016w=")</f>
        <v>#VALUE!</v>
      </c>
      <c r="FR51" t="e">
        <f>AND('UP133'!GE12,"AAAAAHy0160=")</f>
        <v>#VALUE!</v>
      </c>
      <c r="FS51" t="e">
        <f>AND('UP133'!GF12,"AAAAAHy0164=")</f>
        <v>#VALUE!</v>
      </c>
      <c r="FT51" t="e">
        <f>AND('UP133'!GG12,"AAAAAHy0168=")</f>
        <v>#VALUE!</v>
      </c>
      <c r="FU51" t="e">
        <f>AND('UP133'!GH12,"AAAAAHy017A=")</f>
        <v>#VALUE!</v>
      </c>
      <c r="FV51" t="e">
        <f>AND('UP133'!GI12,"AAAAAHy017E=")</f>
        <v>#VALUE!</v>
      </c>
      <c r="FW51" t="e">
        <f>AND('UP133'!GJ12,"AAAAAHy017I=")</f>
        <v>#VALUE!</v>
      </c>
      <c r="FX51" t="e">
        <f>AND('UP133'!GK12,"AAAAAHy017M=")</f>
        <v>#VALUE!</v>
      </c>
      <c r="FY51" t="e">
        <f>AND('UP133'!GL12,"AAAAAHy017Q=")</f>
        <v>#VALUE!</v>
      </c>
      <c r="FZ51" t="e">
        <f>AND('UP133'!GM12,"AAAAAHy017U=")</f>
        <v>#VALUE!</v>
      </c>
      <c r="GA51" t="e">
        <f>AND('UP133'!GN12,"AAAAAHy017Y=")</f>
        <v>#VALUE!</v>
      </c>
      <c r="GB51" t="e">
        <f>AND('UP133'!GO12,"AAAAAHy017c=")</f>
        <v>#VALUE!</v>
      </c>
      <c r="GC51" t="e">
        <f>AND('UP133'!GP12,"AAAAAHy017g=")</f>
        <v>#VALUE!</v>
      </c>
      <c r="GD51" t="e">
        <f>AND('UP133'!GQ12,"AAAAAHy017k=")</f>
        <v>#VALUE!</v>
      </c>
      <c r="GE51" t="e">
        <f>AND('UP133'!GR12,"AAAAAHy017o=")</f>
        <v>#VALUE!</v>
      </c>
      <c r="GF51" t="e">
        <f>AND('UP133'!GS12,"AAAAAHy017s=")</f>
        <v>#VALUE!</v>
      </c>
      <c r="GG51" t="e">
        <f>AND('UP133'!GT12,"AAAAAHy017w=")</f>
        <v>#VALUE!</v>
      </c>
      <c r="GH51" t="e">
        <f>AND('UP133'!GU12,"AAAAAHy0170=")</f>
        <v>#VALUE!</v>
      </c>
      <c r="GI51" t="e">
        <f>AND('UP133'!GV12,"AAAAAHy0174=")</f>
        <v>#VALUE!</v>
      </c>
      <c r="GJ51" t="e">
        <f>AND('UP133'!GW12,"AAAAAHy0178=")</f>
        <v>#VALUE!</v>
      </c>
      <c r="GK51" t="e">
        <f>AND('UP133'!GX12,"AAAAAHy018A=")</f>
        <v>#VALUE!</v>
      </c>
      <c r="GL51" t="e">
        <f>AND('UP133'!GY12,"AAAAAHy018E=")</f>
        <v>#VALUE!</v>
      </c>
      <c r="GM51" t="e">
        <f>AND('UP133'!GZ12,"AAAAAHy018I=")</f>
        <v>#VALUE!</v>
      </c>
      <c r="GN51" t="e">
        <f>AND('UP133'!HA12,"AAAAAHy018M=")</f>
        <v>#VALUE!</v>
      </c>
      <c r="GO51" t="e">
        <f>AND('UP133'!HB12,"AAAAAHy018Q=")</f>
        <v>#VALUE!</v>
      </c>
      <c r="GP51" t="e">
        <f>AND('UP133'!HC12,"AAAAAHy018U=")</f>
        <v>#VALUE!</v>
      </c>
      <c r="GQ51" t="e">
        <f>AND('UP133'!HD12,"AAAAAHy018Y=")</f>
        <v>#VALUE!</v>
      </c>
      <c r="GR51" t="e">
        <f>AND('UP133'!HE12,"AAAAAHy018c=")</f>
        <v>#VALUE!</v>
      </c>
      <c r="GS51" t="e">
        <f>AND('UP133'!HF12,"AAAAAHy018g=")</f>
        <v>#VALUE!</v>
      </c>
      <c r="GT51" t="e">
        <f>AND('UP133'!HG12,"AAAAAHy018k=")</f>
        <v>#VALUE!</v>
      </c>
      <c r="GU51" t="e">
        <f>AND('UP133'!HH12,"AAAAAHy018o=")</f>
        <v>#VALUE!</v>
      </c>
      <c r="GV51" t="e">
        <f>AND('UP133'!HI12,"AAAAAHy018s=")</f>
        <v>#VALUE!</v>
      </c>
      <c r="GW51" t="e">
        <f>AND('UP133'!HJ12,"AAAAAHy018w=")</f>
        <v>#VALUE!</v>
      </c>
      <c r="GX51" t="e">
        <f>AND('UP133'!HK12,"AAAAAHy0180=")</f>
        <v>#VALUE!</v>
      </c>
      <c r="GY51" t="e">
        <f>AND('UP133'!HL12,"AAAAAHy0184=")</f>
        <v>#VALUE!</v>
      </c>
      <c r="GZ51" t="e">
        <f>AND('UP133'!HM12,"AAAAAHy0188=")</f>
        <v>#VALUE!</v>
      </c>
      <c r="HA51" t="e">
        <f>AND('UP133'!HN12,"AAAAAHy019A=")</f>
        <v>#VALUE!</v>
      </c>
      <c r="HB51" t="e">
        <f>AND('UP133'!HO12,"AAAAAHy019E=")</f>
        <v>#VALUE!</v>
      </c>
      <c r="HC51" t="e">
        <f>AND('UP133'!HP12,"AAAAAHy019I=")</f>
        <v>#VALUE!</v>
      </c>
      <c r="HD51" t="e">
        <f>AND('UP133'!HQ12,"AAAAAHy019M=")</f>
        <v>#VALUE!</v>
      </c>
      <c r="HE51" t="e">
        <f>AND('UP133'!HR12,"AAAAAHy019Q=")</f>
        <v>#VALUE!</v>
      </c>
      <c r="HF51" t="e">
        <f>AND('UP133'!HS12,"AAAAAHy019U=")</f>
        <v>#VALUE!</v>
      </c>
      <c r="HG51" t="e">
        <f>AND('UP133'!HT12,"AAAAAHy019Y=")</f>
        <v>#VALUE!</v>
      </c>
      <c r="HH51" t="e">
        <f>AND('UP133'!HU12,"AAAAAHy019c=")</f>
        <v>#VALUE!</v>
      </c>
      <c r="HI51" t="e">
        <f>AND('UP133'!HV12,"AAAAAHy019g=")</f>
        <v>#VALUE!</v>
      </c>
      <c r="HJ51" t="e">
        <f>AND('UP133'!HW12,"AAAAAHy019k=")</f>
        <v>#VALUE!</v>
      </c>
      <c r="HK51" t="e">
        <f>AND('UP133'!HX12,"AAAAAHy019o=")</f>
        <v>#VALUE!</v>
      </c>
      <c r="HL51" t="e">
        <f>AND('UP133'!HY12,"AAAAAHy019s=")</f>
        <v>#VALUE!</v>
      </c>
      <c r="HM51" t="e">
        <f>AND('UP133'!HZ12,"AAAAAHy019w=")</f>
        <v>#VALUE!</v>
      </c>
      <c r="HN51" t="e">
        <f>AND('UP133'!IA12,"AAAAAHy0190=")</f>
        <v>#VALUE!</v>
      </c>
      <c r="HO51" t="e">
        <f>AND('UP133'!IB12,"AAAAAHy0194=")</f>
        <v>#VALUE!</v>
      </c>
      <c r="HP51" t="e">
        <f>AND('UP133'!IC12,"AAAAAHy0198=")</f>
        <v>#VALUE!</v>
      </c>
      <c r="HQ51" t="e">
        <f>AND('UP133'!ID12,"AAAAAHy01+A=")</f>
        <v>#VALUE!</v>
      </c>
      <c r="HR51" t="e">
        <f>AND('UP133'!IE12,"AAAAAHy01+E=")</f>
        <v>#VALUE!</v>
      </c>
      <c r="HS51" t="e">
        <f>AND('UP133'!IF12,"AAAAAHy01+I=")</f>
        <v>#VALUE!</v>
      </c>
      <c r="HT51" t="e">
        <f>AND('UP133'!IG12,"AAAAAHy01+M=")</f>
        <v>#VALUE!</v>
      </c>
      <c r="HU51" t="e">
        <f>AND('UP133'!IH12,"AAAAAHy01+Q=")</f>
        <v>#VALUE!</v>
      </c>
      <c r="HV51" t="e">
        <f>AND('UP133'!II12,"AAAAAHy01+U=")</f>
        <v>#VALUE!</v>
      </c>
      <c r="HW51" t="e">
        <f>AND('UP133'!IJ12,"AAAAAHy01+Y=")</f>
        <v>#VALUE!</v>
      </c>
      <c r="HX51" t="e">
        <f>AND('UP133'!IK12,"AAAAAHy01+c=")</f>
        <v>#VALUE!</v>
      </c>
      <c r="HY51" t="e">
        <f>AND('UP133'!IL12,"AAAAAHy01+g=")</f>
        <v>#VALUE!</v>
      </c>
      <c r="HZ51" t="e">
        <f>AND('UP133'!IM12,"AAAAAHy01+k=")</f>
        <v>#VALUE!</v>
      </c>
      <c r="IA51" t="e">
        <f>AND('UP133'!IN12,"AAAAAHy01+o=")</f>
        <v>#VALUE!</v>
      </c>
      <c r="IB51" t="e">
        <f>AND('UP133'!IO12,"AAAAAHy01+s=")</f>
        <v>#VALUE!</v>
      </c>
      <c r="IC51" t="e">
        <f>AND('UP133'!IP12,"AAAAAHy01+w=")</f>
        <v>#VALUE!</v>
      </c>
      <c r="ID51" t="e">
        <f>AND('UP133'!IQ12,"AAAAAHy01+0=")</f>
        <v>#VALUE!</v>
      </c>
      <c r="IE51">
        <f>IF('UP133'!13:13,"AAAAAHy01+4=",0)</f>
        <v>0</v>
      </c>
      <c r="IF51" t="e">
        <f>AND('UP133'!A13,"AAAAAHy01+8=")</f>
        <v>#VALUE!</v>
      </c>
      <c r="IG51" t="e">
        <f>AND('UP133'!B13,"AAAAAHy01/A=")</f>
        <v>#VALUE!</v>
      </c>
      <c r="IH51" t="e">
        <f>AND('UP133'!C13,"AAAAAHy01/E=")</f>
        <v>#VALUE!</v>
      </c>
      <c r="II51" t="e">
        <f>AND('UP133'!D13,"AAAAAHy01/I=")</f>
        <v>#VALUE!</v>
      </c>
      <c r="IJ51" t="e">
        <f>AND('UP133'!E13,"AAAAAHy01/M=")</f>
        <v>#VALUE!</v>
      </c>
      <c r="IK51" t="e">
        <f>AND('UP133'!F13,"AAAAAHy01/Q=")</f>
        <v>#VALUE!</v>
      </c>
      <c r="IL51" t="e">
        <f>AND('UP133'!G13,"AAAAAHy01/U=")</f>
        <v>#VALUE!</v>
      </c>
      <c r="IM51" t="e">
        <f>AND('UP133'!H13,"AAAAAHy01/Y=")</f>
        <v>#VALUE!</v>
      </c>
      <c r="IN51" t="e">
        <f>AND('UP133'!I13,"AAAAAHy01/c=")</f>
        <v>#VALUE!</v>
      </c>
      <c r="IO51" t="e">
        <f>AND('UP133'!J13,"AAAAAHy01/g=")</f>
        <v>#VALUE!</v>
      </c>
      <c r="IP51" t="e">
        <f>AND('UP133'!K13,"AAAAAHy01/k=")</f>
        <v>#VALUE!</v>
      </c>
      <c r="IQ51" t="e">
        <f>AND('UP133'!L13,"AAAAAHy01/o=")</f>
        <v>#VALUE!</v>
      </c>
      <c r="IR51" t="e">
        <f>AND('UP133'!M13,"AAAAAHy01/s=")</f>
        <v>#VALUE!</v>
      </c>
      <c r="IS51" t="e">
        <f>AND('UP133'!N13,"AAAAAHy01/w=")</f>
        <v>#VALUE!</v>
      </c>
      <c r="IT51" t="e">
        <f>AND('UP133'!O13,"AAAAAHy01/0=")</f>
        <v>#VALUE!</v>
      </c>
      <c r="IU51" t="e">
        <f>AND('UP133'!P13,"AAAAAHy01/4=")</f>
        <v>#VALUE!</v>
      </c>
      <c r="IV51" t="e">
        <f>AND('UP133'!Q13,"AAAAAHy01/8=")</f>
        <v>#VALUE!</v>
      </c>
    </row>
    <row r="52" spans="1:256">
      <c r="A52" t="e">
        <f>AND('UP133'!R13,"AAAAAH/I9wA=")</f>
        <v>#VALUE!</v>
      </c>
      <c r="B52" t="e">
        <f>AND('UP133'!S13,"AAAAAH/I9wE=")</f>
        <v>#VALUE!</v>
      </c>
      <c r="C52" t="e">
        <f>AND('UP133'!T13,"AAAAAH/I9wI=")</f>
        <v>#VALUE!</v>
      </c>
      <c r="D52" t="e">
        <f>AND('UP133'!U13,"AAAAAH/I9wM=")</f>
        <v>#VALUE!</v>
      </c>
      <c r="E52" t="e">
        <f>AND('UP133'!V13,"AAAAAH/I9wQ=")</f>
        <v>#VALUE!</v>
      </c>
      <c r="F52" t="e">
        <f>AND('UP133'!W13,"AAAAAH/I9wU=")</f>
        <v>#VALUE!</v>
      </c>
      <c r="G52" t="e">
        <f>AND('UP133'!X13,"AAAAAH/I9wY=")</f>
        <v>#VALUE!</v>
      </c>
      <c r="H52" t="e">
        <f>AND('UP133'!Y13,"AAAAAH/I9wc=")</f>
        <v>#VALUE!</v>
      </c>
      <c r="I52" t="e">
        <f>AND('UP133'!Z13,"AAAAAH/I9wg=")</f>
        <v>#VALUE!</v>
      </c>
      <c r="J52" t="e">
        <f>AND('UP133'!AA13,"AAAAAH/I9wk=")</f>
        <v>#VALUE!</v>
      </c>
      <c r="K52" t="e">
        <f>AND('UP133'!AB13,"AAAAAH/I9wo=")</f>
        <v>#VALUE!</v>
      </c>
      <c r="L52" t="e">
        <f>AND('UP133'!AC13,"AAAAAH/I9ws=")</f>
        <v>#VALUE!</v>
      </c>
      <c r="M52" t="e">
        <f>AND('UP133'!AD13,"AAAAAH/I9ww=")</f>
        <v>#VALUE!</v>
      </c>
      <c r="N52" t="e">
        <f>AND('UP133'!AE13,"AAAAAH/I9w0=")</f>
        <v>#VALUE!</v>
      </c>
      <c r="O52" t="e">
        <f>AND('UP133'!AF13,"AAAAAH/I9w4=")</f>
        <v>#VALUE!</v>
      </c>
      <c r="P52" t="e">
        <f>AND('UP133'!AG13,"AAAAAH/I9w8=")</f>
        <v>#VALUE!</v>
      </c>
      <c r="Q52" t="e">
        <f>AND('UP133'!AH13,"AAAAAH/I9xA=")</f>
        <v>#VALUE!</v>
      </c>
      <c r="R52" t="e">
        <f>AND('UP133'!AI13,"AAAAAH/I9xE=")</f>
        <v>#VALUE!</v>
      </c>
      <c r="S52" t="e">
        <f>AND('UP133'!AJ13,"AAAAAH/I9xI=")</f>
        <v>#VALUE!</v>
      </c>
      <c r="T52" t="e">
        <f>AND('UP133'!AK13,"AAAAAH/I9xM=")</f>
        <v>#VALUE!</v>
      </c>
      <c r="U52" t="e">
        <f>AND('UP133'!AL13,"AAAAAH/I9xQ=")</f>
        <v>#VALUE!</v>
      </c>
      <c r="V52" t="e">
        <f>AND('UP133'!AM13,"AAAAAH/I9xU=")</f>
        <v>#VALUE!</v>
      </c>
      <c r="W52" t="e">
        <f>AND('UP133'!AN13,"AAAAAH/I9xY=")</f>
        <v>#VALUE!</v>
      </c>
      <c r="X52" t="e">
        <f>AND('UP133'!AO13,"AAAAAH/I9xc=")</f>
        <v>#VALUE!</v>
      </c>
      <c r="Y52" t="e">
        <f>AND('UP133'!AP13,"AAAAAH/I9xg=")</f>
        <v>#VALUE!</v>
      </c>
      <c r="Z52" t="e">
        <f>AND('UP133'!AQ13,"AAAAAH/I9xk=")</f>
        <v>#VALUE!</v>
      </c>
      <c r="AA52" t="e">
        <f>AND('UP133'!AR13,"AAAAAH/I9xo=")</f>
        <v>#VALUE!</v>
      </c>
      <c r="AB52" t="e">
        <f>AND('UP133'!AS13,"AAAAAH/I9xs=")</f>
        <v>#VALUE!</v>
      </c>
      <c r="AC52" t="e">
        <f>AND('UP133'!AT13,"AAAAAH/I9xw=")</f>
        <v>#VALUE!</v>
      </c>
      <c r="AD52" t="e">
        <f>AND('UP133'!AU13,"AAAAAH/I9x0=")</f>
        <v>#VALUE!</v>
      </c>
      <c r="AE52" t="e">
        <f>AND('UP133'!AV13,"AAAAAH/I9x4=")</f>
        <v>#VALUE!</v>
      </c>
      <c r="AF52" t="e">
        <f>AND('UP133'!AW13,"AAAAAH/I9x8=")</f>
        <v>#VALUE!</v>
      </c>
      <c r="AG52" t="e">
        <f>AND('UP133'!AX13,"AAAAAH/I9yA=")</f>
        <v>#VALUE!</v>
      </c>
      <c r="AH52" t="e">
        <f>AND('UP133'!AY13,"AAAAAH/I9yE=")</f>
        <v>#VALUE!</v>
      </c>
      <c r="AI52" t="e">
        <f>AND('UP133'!AZ13,"AAAAAH/I9yI=")</f>
        <v>#VALUE!</v>
      </c>
      <c r="AJ52" t="e">
        <f>AND('UP133'!BA13,"AAAAAH/I9yM=")</f>
        <v>#VALUE!</v>
      </c>
      <c r="AK52" t="e">
        <f>AND('UP133'!BB13,"AAAAAH/I9yQ=")</f>
        <v>#VALUE!</v>
      </c>
      <c r="AL52" t="e">
        <f>AND('UP133'!BC13,"AAAAAH/I9yU=")</f>
        <v>#VALUE!</v>
      </c>
      <c r="AM52" t="e">
        <f>AND('UP133'!BD13,"AAAAAH/I9yY=")</f>
        <v>#VALUE!</v>
      </c>
      <c r="AN52" t="e">
        <f>AND('UP133'!BE13,"AAAAAH/I9yc=")</f>
        <v>#VALUE!</v>
      </c>
      <c r="AO52" t="e">
        <f>AND('UP133'!BF13,"AAAAAH/I9yg=")</f>
        <v>#VALUE!</v>
      </c>
      <c r="AP52" t="e">
        <f>AND('UP133'!BG13,"AAAAAH/I9yk=")</f>
        <v>#VALUE!</v>
      </c>
      <c r="AQ52" t="e">
        <f>AND('UP133'!BH13,"AAAAAH/I9yo=")</f>
        <v>#VALUE!</v>
      </c>
      <c r="AR52" t="e">
        <f>AND('UP133'!BI13,"AAAAAH/I9ys=")</f>
        <v>#VALUE!</v>
      </c>
      <c r="AS52" t="e">
        <f>AND('UP133'!BJ13,"AAAAAH/I9yw=")</f>
        <v>#VALUE!</v>
      </c>
      <c r="AT52" t="e">
        <f>AND('UP133'!BK13,"AAAAAH/I9y0=")</f>
        <v>#VALUE!</v>
      </c>
      <c r="AU52" t="e">
        <f>AND('UP133'!BL13,"AAAAAH/I9y4=")</f>
        <v>#VALUE!</v>
      </c>
      <c r="AV52" t="e">
        <f>AND('UP133'!BM13,"AAAAAH/I9y8=")</f>
        <v>#VALUE!</v>
      </c>
      <c r="AW52" t="e">
        <f>AND('UP133'!BN13,"AAAAAH/I9zA=")</f>
        <v>#VALUE!</v>
      </c>
      <c r="AX52" t="e">
        <f>AND('UP133'!BO13,"AAAAAH/I9zE=")</f>
        <v>#VALUE!</v>
      </c>
      <c r="AY52" t="e">
        <f>AND('UP133'!BP13,"AAAAAH/I9zI=")</f>
        <v>#VALUE!</v>
      </c>
      <c r="AZ52" t="e">
        <f>AND('UP133'!BQ13,"AAAAAH/I9zM=")</f>
        <v>#VALUE!</v>
      </c>
      <c r="BA52" t="e">
        <f>AND('UP133'!BR13,"AAAAAH/I9zQ=")</f>
        <v>#VALUE!</v>
      </c>
      <c r="BB52" t="e">
        <f>AND('UP133'!BS13,"AAAAAH/I9zU=")</f>
        <v>#VALUE!</v>
      </c>
      <c r="BC52" t="e">
        <f>AND('UP133'!BT13,"AAAAAH/I9zY=")</f>
        <v>#VALUE!</v>
      </c>
      <c r="BD52" t="e">
        <f>AND('UP133'!BU13,"AAAAAH/I9zc=")</f>
        <v>#VALUE!</v>
      </c>
      <c r="BE52" t="e">
        <f>AND('UP133'!BV13,"AAAAAH/I9zg=")</f>
        <v>#VALUE!</v>
      </c>
      <c r="BF52" t="e">
        <f>AND('UP133'!BW13,"AAAAAH/I9zk=")</f>
        <v>#VALUE!</v>
      </c>
      <c r="BG52" t="e">
        <f>AND('UP133'!BX13,"AAAAAH/I9zo=")</f>
        <v>#VALUE!</v>
      </c>
      <c r="BH52" t="e">
        <f>AND('UP133'!BY13,"AAAAAH/I9zs=")</f>
        <v>#VALUE!</v>
      </c>
      <c r="BI52" t="e">
        <f>AND('UP133'!BZ13,"AAAAAH/I9zw=")</f>
        <v>#VALUE!</v>
      </c>
      <c r="BJ52" t="e">
        <f>AND('UP133'!CA13,"AAAAAH/I9z0=")</f>
        <v>#VALUE!</v>
      </c>
      <c r="BK52" t="e">
        <f>AND('UP133'!CB13,"AAAAAH/I9z4=")</f>
        <v>#VALUE!</v>
      </c>
      <c r="BL52" t="e">
        <f>AND('UP133'!CC13,"AAAAAH/I9z8=")</f>
        <v>#VALUE!</v>
      </c>
      <c r="BM52" t="e">
        <f>AND('UP133'!CD13,"AAAAAH/I90A=")</f>
        <v>#VALUE!</v>
      </c>
      <c r="BN52" t="e">
        <f>AND('UP133'!CE13,"AAAAAH/I90E=")</f>
        <v>#VALUE!</v>
      </c>
      <c r="BO52" t="e">
        <f>AND('UP133'!CF13,"AAAAAH/I90I=")</f>
        <v>#VALUE!</v>
      </c>
      <c r="BP52" t="e">
        <f>AND('UP133'!CG13,"AAAAAH/I90M=")</f>
        <v>#VALUE!</v>
      </c>
      <c r="BQ52" t="e">
        <f>AND('UP133'!CH13,"AAAAAH/I90Q=")</f>
        <v>#VALUE!</v>
      </c>
      <c r="BR52" t="e">
        <f>AND('UP133'!CI13,"AAAAAH/I90U=")</f>
        <v>#VALUE!</v>
      </c>
      <c r="BS52" t="e">
        <f>AND('UP133'!CJ13,"AAAAAH/I90Y=")</f>
        <v>#VALUE!</v>
      </c>
      <c r="BT52" t="e">
        <f>AND('UP133'!CK13,"AAAAAH/I90c=")</f>
        <v>#VALUE!</v>
      </c>
      <c r="BU52" t="e">
        <f>AND('UP133'!CL13,"AAAAAH/I90g=")</f>
        <v>#VALUE!</v>
      </c>
      <c r="BV52" t="e">
        <f>AND('UP133'!CM13,"AAAAAH/I90k=")</f>
        <v>#VALUE!</v>
      </c>
      <c r="BW52" t="e">
        <f>AND('UP133'!CN13,"AAAAAH/I90o=")</f>
        <v>#VALUE!</v>
      </c>
      <c r="BX52" t="e">
        <f>AND('UP133'!CO13,"AAAAAH/I90s=")</f>
        <v>#VALUE!</v>
      </c>
      <c r="BY52" t="e">
        <f>AND('UP133'!CP13,"AAAAAH/I90w=")</f>
        <v>#VALUE!</v>
      </c>
      <c r="BZ52" t="e">
        <f>AND('UP133'!CQ13,"AAAAAH/I900=")</f>
        <v>#VALUE!</v>
      </c>
      <c r="CA52" t="e">
        <f>AND('UP133'!CR13,"AAAAAH/I904=")</f>
        <v>#VALUE!</v>
      </c>
      <c r="CB52" t="e">
        <f>AND('UP133'!CS13,"AAAAAH/I908=")</f>
        <v>#VALUE!</v>
      </c>
      <c r="CC52" t="e">
        <f>AND('UP133'!CT13,"AAAAAH/I91A=")</f>
        <v>#VALUE!</v>
      </c>
      <c r="CD52" t="e">
        <f>AND('UP133'!CU13,"AAAAAH/I91E=")</f>
        <v>#VALUE!</v>
      </c>
      <c r="CE52" t="e">
        <f>AND('UP133'!CV13,"AAAAAH/I91I=")</f>
        <v>#VALUE!</v>
      </c>
      <c r="CF52" t="e">
        <f>AND('UP133'!CW13,"AAAAAH/I91M=")</f>
        <v>#VALUE!</v>
      </c>
      <c r="CG52" t="e">
        <f>AND('UP133'!CX13,"AAAAAH/I91Q=")</f>
        <v>#VALUE!</v>
      </c>
      <c r="CH52" t="e">
        <f>AND('UP133'!CY13,"AAAAAH/I91U=")</f>
        <v>#VALUE!</v>
      </c>
      <c r="CI52" t="e">
        <f>AND('UP133'!CZ13,"AAAAAH/I91Y=")</f>
        <v>#VALUE!</v>
      </c>
      <c r="CJ52" t="e">
        <f>AND('UP133'!DA13,"AAAAAH/I91c=")</f>
        <v>#VALUE!</v>
      </c>
      <c r="CK52" t="e">
        <f>AND('UP133'!DB13,"AAAAAH/I91g=")</f>
        <v>#VALUE!</v>
      </c>
      <c r="CL52" t="e">
        <f>AND('UP133'!DC13,"AAAAAH/I91k=")</f>
        <v>#VALUE!</v>
      </c>
      <c r="CM52" t="e">
        <f>AND('UP133'!DD13,"AAAAAH/I91o=")</f>
        <v>#VALUE!</v>
      </c>
      <c r="CN52" t="e">
        <f>AND('UP133'!DE13,"AAAAAH/I91s=")</f>
        <v>#VALUE!</v>
      </c>
      <c r="CO52" t="e">
        <f>AND('UP133'!DF13,"AAAAAH/I91w=")</f>
        <v>#VALUE!</v>
      </c>
      <c r="CP52" t="e">
        <f>AND('UP133'!DG13,"AAAAAH/I910=")</f>
        <v>#VALUE!</v>
      </c>
      <c r="CQ52" t="e">
        <f>AND('UP133'!DH13,"AAAAAH/I914=")</f>
        <v>#VALUE!</v>
      </c>
      <c r="CR52" t="e">
        <f>AND('UP133'!DI13,"AAAAAH/I918=")</f>
        <v>#VALUE!</v>
      </c>
      <c r="CS52" t="e">
        <f>AND('UP133'!DJ13,"AAAAAH/I92A=")</f>
        <v>#VALUE!</v>
      </c>
      <c r="CT52" t="e">
        <f>AND('UP133'!DK13,"AAAAAH/I92E=")</f>
        <v>#VALUE!</v>
      </c>
      <c r="CU52" t="e">
        <f>AND('UP133'!DL13,"AAAAAH/I92I=")</f>
        <v>#VALUE!</v>
      </c>
      <c r="CV52" t="e">
        <f>AND('UP133'!DM13,"AAAAAH/I92M=")</f>
        <v>#VALUE!</v>
      </c>
      <c r="CW52" t="e">
        <f>AND('UP133'!DN13,"AAAAAH/I92Q=")</f>
        <v>#VALUE!</v>
      </c>
      <c r="CX52" t="e">
        <f>AND('UP133'!DO13,"AAAAAH/I92U=")</f>
        <v>#VALUE!</v>
      </c>
      <c r="CY52" t="e">
        <f>AND('UP133'!DP13,"AAAAAH/I92Y=")</f>
        <v>#VALUE!</v>
      </c>
      <c r="CZ52" t="e">
        <f>AND('UP133'!DQ13,"AAAAAH/I92c=")</f>
        <v>#VALUE!</v>
      </c>
      <c r="DA52" t="e">
        <f>AND('UP133'!DR13,"AAAAAH/I92g=")</f>
        <v>#VALUE!</v>
      </c>
      <c r="DB52" t="e">
        <f>AND('UP133'!DS13,"AAAAAH/I92k=")</f>
        <v>#VALUE!</v>
      </c>
      <c r="DC52" t="e">
        <f>AND('UP133'!DT13,"AAAAAH/I92o=")</f>
        <v>#VALUE!</v>
      </c>
      <c r="DD52" t="e">
        <f>AND('UP133'!DU13,"AAAAAH/I92s=")</f>
        <v>#VALUE!</v>
      </c>
      <c r="DE52" t="e">
        <f>AND('UP133'!DV13,"AAAAAH/I92w=")</f>
        <v>#VALUE!</v>
      </c>
      <c r="DF52" t="e">
        <f>AND('UP133'!DW13,"AAAAAH/I920=")</f>
        <v>#VALUE!</v>
      </c>
      <c r="DG52" t="e">
        <f>AND('UP133'!DX13,"AAAAAH/I924=")</f>
        <v>#VALUE!</v>
      </c>
      <c r="DH52" t="e">
        <f>AND('UP133'!DY13,"AAAAAH/I928=")</f>
        <v>#VALUE!</v>
      </c>
      <c r="DI52" t="e">
        <f>AND('UP133'!DZ13,"AAAAAH/I93A=")</f>
        <v>#VALUE!</v>
      </c>
      <c r="DJ52" t="e">
        <f>AND('UP133'!EA13,"AAAAAH/I93E=")</f>
        <v>#VALUE!</v>
      </c>
      <c r="DK52" t="e">
        <f>AND('UP133'!EB13,"AAAAAH/I93I=")</f>
        <v>#VALUE!</v>
      </c>
      <c r="DL52" t="e">
        <f>AND('UP133'!EC13,"AAAAAH/I93M=")</f>
        <v>#VALUE!</v>
      </c>
      <c r="DM52" t="e">
        <f>AND('UP133'!ED13,"AAAAAH/I93Q=")</f>
        <v>#VALUE!</v>
      </c>
      <c r="DN52" t="e">
        <f>AND('UP133'!EE13,"AAAAAH/I93U=")</f>
        <v>#VALUE!</v>
      </c>
      <c r="DO52" t="e">
        <f>AND('UP133'!EF13,"AAAAAH/I93Y=")</f>
        <v>#VALUE!</v>
      </c>
      <c r="DP52" t="e">
        <f>AND('UP133'!EG13,"AAAAAH/I93c=")</f>
        <v>#VALUE!</v>
      </c>
      <c r="DQ52" t="e">
        <f>AND('UP133'!EH13,"AAAAAH/I93g=")</f>
        <v>#VALUE!</v>
      </c>
      <c r="DR52" t="e">
        <f>AND('UP133'!EI13,"AAAAAH/I93k=")</f>
        <v>#VALUE!</v>
      </c>
      <c r="DS52" t="e">
        <f>AND('UP133'!EJ13,"AAAAAH/I93o=")</f>
        <v>#VALUE!</v>
      </c>
      <c r="DT52" t="e">
        <f>AND('UP133'!EK13,"AAAAAH/I93s=")</f>
        <v>#VALUE!</v>
      </c>
      <c r="DU52" t="e">
        <f>AND('UP133'!EL13,"AAAAAH/I93w=")</f>
        <v>#VALUE!</v>
      </c>
      <c r="DV52" t="e">
        <f>AND('UP133'!EM13,"AAAAAH/I930=")</f>
        <v>#VALUE!</v>
      </c>
      <c r="DW52" t="e">
        <f>AND('UP133'!EN13,"AAAAAH/I934=")</f>
        <v>#VALUE!</v>
      </c>
      <c r="DX52" t="e">
        <f>AND('UP133'!EO13,"AAAAAH/I938=")</f>
        <v>#VALUE!</v>
      </c>
      <c r="DY52" t="e">
        <f>AND('UP133'!EP13,"AAAAAH/I94A=")</f>
        <v>#VALUE!</v>
      </c>
      <c r="DZ52" t="e">
        <f>AND('UP133'!EQ13,"AAAAAH/I94E=")</f>
        <v>#VALUE!</v>
      </c>
      <c r="EA52" t="e">
        <f>AND('UP133'!ER13,"AAAAAH/I94I=")</f>
        <v>#VALUE!</v>
      </c>
      <c r="EB52" t="e">
        <f>AND('UP133'!ES13,"AAAAAH/I94M=")</f>
        <v>#VALUE!</v>
      </c>
      <c r="EC52" t="e">
        <f>AND('UP133'!ET13,"AAAAAH/I94Q=")</f>
        <v>#VALUE!</v>
      </c>
      <c r="ED52" t="e">
        <f>AND('UP133'!EU13,"AAAAAH/I94U=")</f>
        <v>#VALUE!</v>
      </c>
      <c r="EE52" t="e">
        <f>AND('UP133'!EV13,"AAAAAH/I94Y=")</f>
        <v>#VALUE!</v>
      </c>
      <c r="EF52" t="e">
        <f>AND('UP133'!EW13,"AAAAAH/I94c=")</f>
        <v>#VALUE!</v>
      </c>
      <c r="EG52" t="e">
        <f>AND('UP133'!EX13,"AAAAAH/I94g=")</f>
        <v>#VALUE!</v>
      </c>
      <c r="EH52" t="e">
        <f>AND('UP133'!EY13,"AAAAAH/I94k=")</f>
        <v>#VALUE!</v>
      </c>
      <c r="EI52" t="e">
        <f>AND('UP133'!EZ13,"AAAAAH/I94o=")</f>
        <v>#VALUE!</v>
      </c>
      <c r="EJ52" t="e">
        <f>AND('UP133'!FA13,"AAAAAH/I94s=")</f>
        <v>#VALUE!</v>
      </c>
      <c r="EK52" t="e">
        <f>AND('UP133'!FB13,"AAAAAH/I94w=")</f>
        <v>#VALUE!</v>
      </c>
      <c r="EL52" t="e">
        <f>AND('UP133'!FC13,"AAAAAH/I940=")</f>
        <v>#VALUE!</v>
      </c>
      <c r="EM52" t="e">
        <f>AND('UP133'!FD13,"AAAAAH/I944=")</f>
        <v>#VALUE!</v>
      </c>
      <c r="EN52" t="e">
        <f>AND('UP133'!FE13,"AAAAAH/I948=")</f>
        <v>#VALUE!</v>
      </c>
      <c r="EO52" t="e">
        <f>AND('UP133'!FF13,"AAAAAH/I95A=")</f>
        <v>#VALUE!</v>
      </c>
      <c r="EP52" t="e">
        <f>AND('UP133'!FG13,"AAAAAH/I95E=")</f>
        <v>#VALUE!</v>
      </c>
      <c r="EQ52" t="e">
        <f>AND('UP133'!FH13,"AAAAAH/I95I=")</f>
        <v>#VALUE!</v>
      </c>
      <c r="ER52" t="e">
        <f>AND('UP133'!FI13,"AAAAAH/I95M=")</f>
        <v>#VALUE!</v>
      </c>
      <c r="ES52" t="e">
        <f>AND('UP133'!FJ13,"AAAAAH/I95Q=")</f>
        <v>#VALUE!</v>
      </c>
      <c r="ET52" t="e">
        <f>AND('UP133'!FK13,"AAAAAH/I95U=")</f>
        <v>#VALUE!</v>
      </c>
      <c r="EU52" t="e">
        <f>AND('UP133'!FL13,"AAAAAH/I95Y=")</f>
        <v>#VALUE!</v>
      </c>
      <c r="EV52" t="e">
        <f>AND('UP133'!FM13,"AAAAAH/I95c=")</f>
        <v>#VALUE!</v>
      </c>
      <c r="EW52" t="e">
        <f>AND('UP133'!FN13,"AAAAAH/I95g=")</f>
        <v>#VALUE!</v>
      </c>
      <c r="EX52" t="e">
        <f>AND('UP133'!FO13,"AAAAAH/I95k=")</f>
        <v>#VALUE!</v>
      </c>
      <c r="EY52" t="e">
        <f>AND('UP133'!FP13,"AAAAAH/I95o=")</f>
        <v>#VALUE!</v>
      </c>
      <c r="EZ52" t="e">
        <f>AND('UP133'!FQ13,"AAAAAH/I95s=")</f>
        <v>#VALUE!</v>
      </c>
      <c r="FA52" t="e">
        <f>AND('UP133'!FR13,"AAAAAH/I95w=")</f>
        <v>#VALUE!</v>
      </c>
      <c r="FB52" t="e">
        <f>AND('UP133'!FS13,"AAAAAH/I950=")</f>
        <v>#VALUE!</v>
      </c>
      <c r="FC52" t="e">
        <f>AND('UP133'!FT13,"AAAAAH/I954=")</f>
        <v>#VALUE!</v>
      </c>
      <c r="FD52" t="e">
        <f>AND('UP133'!FU13,"AAAAAH/I958=")</f>
        <v>#VALUE!</v>
      </c>
      <c r="FE52" t="e">
        <f>AND('UP133'!FV13,"AAAAAH/I96A=")</f>
        <v>#VALUE!</v>
      </c>
      <c r="FF52" t="e">
        <f>AND('UP133'!FW13,"AAAAAH/I96E=")</f>
        <v>#VALUE!</v>
      </c>
      <c r="FG52" t="e">
        <f>AND('UP133'!FX13,"AAAAAH/I96I=")</f>
        <v>#VALUE!</v>
      </c>
      <c r="FH52" t="e">
        <f>AND('UP133'!FY13,"AAAAAH/I96M=")</f>
        <v>#VALUE!</v>
      </c>
      <c r="FI52" t="e">
        <f>AND('UP133'!FZ13,"AAAAAH/I96Q=")</f>
        <v>#VALUE!</v>
      </c>
      <c r="FJ52" t="e">
        <f>AND('UP133'!GA13,"AAAAAH/I96U=")</f>
        <v>#VALUE!</v>
      </c>
      <c r="FK52" t="e">
        <f>AND('UP133'!GB13,"AAAAAH/I96Y=")</f>
        <v>#VALUE!</v>
      </c>
      <c r="FL52" t="e">
        <f>AND('UP133'!GC13,"AAAAAH/I96c=")</f>
        <v>#VALUE!</v>
      </c>
      <c r="FM52" t="e">
        <f>AND('UP133'!GD13,"AAAAAH/I96g=")</f>
        <v>#VALUE!</v>
      </c>
      <c r="FN52" t="e">
        <f>AND('UP133'!GE13,"AAAAAH/I96k=")</f>
        <v>#VALUE!</v>
      </c>
      <c r="FO52" t="e">
        <f>AND('UP133'!GF13,"AAAAAH/I96o=")</f>
        <v>#VALUE!</v>
      </c>
      <c r="FP52" t="e">
        <f>AND('UP133'!GG13,"AAAAAH/I96s=")</f>
        <v>#VALUE!</v>
      </c>
      <c r="FQ52" t="e">
        <f>AND('UP133'!GH13,"AAAAAH/I96w=")</f>
        <v>#VALUE!</v>
      </c>
      <c r="FR52" t="e">
        <f>AND('UP133'!GI13,"AAAAAH/I960=")</f>
        <v>#VALUE!</v>
      </c>
      <c r="FS52" t="e">
        <f>AND('UP133'!GJ13,"AAAAAH/I964=")</f>
        <v>#VALUE!</v>
      </c>
      <c r="FT52" t="e">
        <f>AND('UP133'!GK13,"AAAAAH/I968=")</f>
        <v>#VALUE!</v>
      </c>
      <c r="FU52" t="e">
        <f>AND('UP133'!GL13,"AAAAAH/I97A=")</f>
        <v>#VALUE!</v>
      </c>
      <c r="FV52" t="e">
        <f>AND('UP133'!GM13,"AAAAAH/I97E=")</f>
        <v>#VALUE!</v>
      </c>
      <c r="FW52" t="e">
        <f>AND('UP133'!GN13,"AAAAAH/I97I=")</f>
        <v>#VALUE!</v>
      </c>
      <c r="FX52" t="e">
        <f>AND('UP133'!GO13,"AAAAAH/I97M=")</f>
        <v>#VALUE!</v>
      </c>
      <c r="FY52" t="e">
        <f>AND('UP133'!GP13,"AAAAAH/I97Q=")</f>
        <v>#VALUE!</v>
      </c>
      <c r="FZ52" t="e">
        <f>AND('UP133'!GQ13,"AAAAAH/I97U=")</f>
        <v>#VALUE!</v>
      </c>
      <c r="GA52" t="e">
        <f>AND('UP133'!GR13,"AAAAAH/I97Y=")</f>
        <v>#VALUE!</v>
      </c>
      <c r="GB52" t="e">
        <f>AND('UP133'!GS13,"AAAAAH/I97c=")</f>
        <v>#VALUE!</v>
      </c>
      <c r="GC52" t="e">
        <f>AND('UP133'!GT13,"AAAAAH/I97g=")</f>
        <v>#VALUE!</v>
      </c>
      <c r="GD52" t="e">
        <f>AND('UP133'!GU13,"AAAAAH/I97k=")</f>
        <v>#VALUE!</v>
      </c>
      <c r="GE52" t="e">
        <f>AND('UP133'!GV13,"AAAAAH/I97o=")</f>
        <v>#VALUE!</v>
      </c>
      <c r="GF52" t="e">
        <f>AND('UP133'!GW13,"AAAAAH/I97s=")</f>
        <v>#VALUE!</v>
      </c>
      <c r="GG52" t="e">
        <f>AND('UP133'!GX13,"AAAAAH/I97w=")</f>
        <v>#VALUE!</v>
      </c>
      <c r="GH52" t="e">
        <f>AND('UP133'!GY13,"AAAAAH/I970=")</f>
        <v>#VALUE!</v>
      </c>
      <c r="GI52" t="e">
        <f>AND('UP133'!GZ13,"AAAAAH/I974=")</f>
        <v>#VALUE!</v>
      </c>
      <c r="GJ52" t="e">
        <f>AND('UP133'!HA13,"AAAAAH/I978=")</f>
        <v>#VALUE!</v>
      </c>
      <c r="GK52" t="e">
        <f>AND('UP133'!HB13,"AAAAAH/I98A=")</f>
        <v>#VALUE!</v>
      </c>
      <c r="GL52" t="e">
        <f>AND('UP133'!HC13,"AAAAAH/I98E=")</f>
        <v>#VALUE!</v>
      </c>
      <c r="GM52" t="e">
        <f>AND('UP133'!HD13,"AAAAAH/I98I=")</f>
        <v>#VALUE!</v>
      </c>
      <c r="GN52" t="e">
        <f>AND('UP133'!HE13,"AAAAAH/I98M=")</f>
        <v>#VALUE!</v>
      </c>
      <c r="GO52" t="e">
        <f>AND('UP133'!HF13,"AAAAAH/I98Q=")</f>
        <v>#VALUE!</v>
      </c>
      <c r="GP52" t="e">
        <f>AND('UP133'!HG13,"AAAAAH/I98U=")</f>
        <v>#VALUE!</v>
      </c>
      <c r="GQ52" t="e">
        <f>AND('UP133'!HH13,"AAAAAH/I98Y=")</f>
        <v>#VALUE!</v>
      </c>
      <c r="GR52" t="e">
        <f>AND('UP133'!HI13,"AAAAAH/I98c=")</f>
        <v>#VALUE!</v>
      </c>
      <c r="GS52" t="e">
        <f>AND('UP133'!HJ13,"AAAAAH/I98g=")</f>
        <v>#VALUE!</v>
      </c>
      <c r="GT52" t="e">
        <f>AND('UP133'!HK13,"AAAAAH/I98k=")</f>
        <v>#VALUE!</v>
      </c>
      <c r="GU52" t="e">
        <f>AND('UP133'!HL13,"AAAAAH/I98o=")</f>
        <v>#VALUE!</v>
      </c>
      <c r="GV52" t="e">
        <f>AND('UP133'!HM13,"AAAAAH/I98s=")</f>
        <v>#VALUE!</v>
      </c>
      <c r="GW52" t="e">
        <f>AND('UP133'!HN13,"AAAAAH/I98w=")</f>
        <v>#VALUE!</v>
      </c>
      <c r="GX52" t="e">
        <f>AND('UP133'!HO13,"AAAAAH/I980=")</f>
        <v>#VALUE!</v>
      </c>
      <c r="GY52" t="e">
        <f>AND('UP133'!HP13,"AAAAAH/I984=")</f>
        <v>#VALUE!</v>
      </c>
      <c r="GZ52" t="e">
        <f>AND('UP133'!HQ13,"AAAAAH/I988=")</f>
        <v>#VALUE!</v>
      </c>
      <c r="HA52" t="e">
        <f>AND('UP133'!HR13,"AAAAAH/I99A=")</f>
        <v>#VALUE!</v>
      </c>
      <c r="HB52" t="e">
        <f>AND('UP133'!HS13,"AAAAAH/I99E=")</f>
        <v>#VALUE!</v>
      </c>
      <c r="HC52" t="e">
        <f>AND('UP133'!HT13,"AAAAAH/I99I=")</f>
        <v>#VALUE!</v>
      </c>
      <c r="HD52" t="e">
        <f>AND('UP133'!HU13,"AAAAAH/I99M=")</f>
        <v>#VALUE!</v>
      </c>
      <c r="HE52" t="e">
        <f>AND('UP133'!HV13,"AAAAAH/I99Q=")</f>
        <v>#VALUE!</v>
      </c>
      <c r="HF52" t="e">
        <f>AND('UP133'!HW13,"AAAAAH/I99U=")</f>
        <v>#VALUE!</v>
      </c>
      <c r="HG52" t="e">
        <f>AND('UP133'!HX13,"AAAAAH/I99Y=")</f>
        <v>#VALUE!</v>
      </c>
      <c r="HH52" t="e">
        <f>AND('UP133'!HY13,"AAAAAH/I99c=")</f>
        <v>#VALUE!</v>
      </c>
      <c r="HI52" t="e">
        <f>AND('UP133'!HZ13,"AAAAAH/I99g=")</f>
        <v>#VALUE!</v>
      </c>
      <c r="HJ52" t="e">
        <f>AND('UP133'!IA13,"AAAAAH/I99k=")</f>
        <v>#VALUE!</v>
      </c>
      <c r="HK52" t="e">
        <f>AND('UP133'!IB13,"AAAAAH/I99o=")</f>
        <v>#VALUE!</v>
      </c>
      <c r="HL52" t="e">
        <f>AND('UP133'!IC13,"AAAAAH/I99s=")</f>
        <v>#VALUE!</v>
      </c>
      <c r="HM52" t="e">
        <f>AND('UP133'!ID13,"AAAAAH/I99w=")</f>
        <v>#VALUE!</v>
      </c>
      <c r="HN52" t="e">
        <f>AND('UP133'!IE13,"AAAAAH/I990=")</f>
        <v>#VALUE!</v>
      </c>
      <c r="HO52" t="e">
        <f>AND('UP133'!IF13,"AAAAAH/I994=")</f>
        <v>#VALUE!</v>
      </c>
      <c r="HP52" t="e">
        <f>AND('UP133'!IG13,"AAAAAH/I998=")</f>
        <v>#VALUE!</v>
      </c>
      <c r="HQ52" t="e">
        <f>AND('UP133'!IH13,"AAAAAH/I9+A=")</f>
        <v>#VALUE!</v>
      </c>
      <c r="HR52" t="e">
        <f>AND('UP133'!II13,"AAAAAH/I9+E=")</f>
        <v>#VALUE!</v>
      </c>
      <c r="HS52" t="e">
        <f>AND('UP133'!IJ13,"AAAAAH/I9+I=")</f>
        <v>#VALUE!</v>
      </c>
      <c r="HT52" t="e">
        <f>AND('UP133'!IK13,"AAAAAH/I9+M=")</f>
        <v>#VALUE!</v>
      </c>
      <c r="HU52" t="e">
        <f>AND('UP133'!IL13,"AAAAAH/I9+Q=")</f>
        <v>#VALUE!</v>
      </c>
      <c r="HV52" t="e">
        <f>AND('UP133'!IM13,"AAAAAH/I9+U=")</f>
        <v>#VALUE!</v>
      </c>
      <c r="HW52" t="e">
        <f>AND('UP133'!IN13,"AAAAAH/I9+Y=")</f>
        <v>#VALUE!</v>
      </c>
      <c r="HX52" t="e">
        <f>AND('UP133'!IO13,"AAAAAH/I9+c=")</f>
        <v>#VALUE!</v>
      </c>
      <c r="HY52" t="e">
        <f>AND('UP133'!IP13,"AAAAAH/I9+g=")</f>
        <v>#VALUE!</v>
      </c>
      <c r="HZ52" t="e">
        <f>AND('UP133'!IQ13,"AAAAAH/I9+k=")</f>
        <v>#VALUE!</v>
      </c>
      <c r="IA52">
        <f>IF('UP133'!14:14,"AAAAAH/I9+o=",0)</f>
        <v>0</v>
      </c>
      <c r="IB52" t="e">
        <f>AND('UP133'!A14,"AAAAAH/I9+s=")</f>
        <v>#VALUE!</v>
      </c>
      <c r="IC52" t="e">
        <f>AND('UP133'!B14,"AAAAAH/I9+w=")</f>
        <v>#VALUE!</v>
      </c>
      <c r="ID52" t="e">
        <f>AND('UP133'!C14,"AAAAAH/I9+0=")</f>
        <v>#VALUE!</v>
      </c>
      <c r="IE52" t="e">
        <f>AND('UP133'!D14,"AAAAAH/I9+4=")</f>
        <v>#VALUE!</v>
      </c>
      <c r="IF52" t="e">
        <f>AND('UP133'!E14,"AAAAAH/I9+8=")</f>
        <v>#VALUE!</v>
      </c>
      <c r="IG52" t="e">
        <f>AND('UP133'!F14,"AAAAAH/I9/A=")</f>
        <v>#VALUE!</v>
      </c>
      <c r="IH52" t="e">
        <f>AND('UP133'!G14,"AAAAAH/I9/E=")</f>
        <v>#VALUE!</v>
      </c>
      <c r="II52" t="e">
        <f>AND('UP133'!H14,"AAAAAH/I9/I=")</f>
        <v>#VALUE!</v>
      </c>
      <c r="IJ52" t="e">
        <f>AND('UP133'!I14,"AAAAAH/I9/M=")</f>
        <v>#VALUE!</v>
      </c>
      <c r="IK52" t="e">
        <f>AND('UP133'!J14,"AAAAAH/I9/Q=")</f>
        <v>#VALUE!</v>
      </c>
      <c r="IL52" t="e">
        <f>AND('UP133'!K14,"AAAAAH/I9/U=")</f>
        <v>#VALUE!</v>
      </c>
      <c r="IM52" t="e">
        <f>AND('UP133'!L14,"AAAAAH/I9/Y=")</f>
        <v>#VALUE!</v>
      </c>
      <c r="IN52" t="e">
        <f>AND('UP133'!M14,"AAAAAH/I9/c=")</f>
        <v>#VALUE!</v>
      </c>
      <c r="IO52" t="e">
        <f>AND('UP133'!N14,"AAAAAH/I9/g=")</f>
        <v>#VALUE!</v>
      </c>
      <c r="IP52" t="e">
        <f>AND('UP133'!O14,"AAAAAH/I9/k=")</f>
        <v>#VALUE!</v>
      </c>
      <c r="IQ52" t="e">
        <f>AND('UP133'!P14,"AAAAAH/I9/o=")</f>
        <v>#VALUE!</v>
      </c>
      <c r="IR52" t="e">
        <f>AND('UP133'!Q14,"AAAAAH/I9/s=")</f>
        <v>#VALUE!</v>
      </c>
      <c r="IS52" t="e">
        <f>AND('UP133'!R14,"AAAAAH/I9/w=")</f>
        <v>#VALUE!</v>
      </c>
      <c r="IT52" t="e">
        <f>AND('UP133'!S14,"AAAAAH/I9/0=")</f>
        <v>#VALUE!</v>
      </c>
      <c r="IU52" t="e">
        <f>AND('UP133'!T14,"AAAAAH/I9/4=")</f>
        <v>#VALUE!</v>
      </c>
      <c r="IV52" t="e">
        <f>AND('UP133'!U14,"AAAAAH/I9/8=")</f>
        <v>#VALUE!</v>
      </c>
    </row>
    <row r="53" spans="1:256">
      <c r="A53" t="e">
        <f>AND('UP133'!V14,"AAAAAH8T2wA=")</f>
        <v>#VALUE!</v>
      </c>
      <c r="B53" t="e">
        <f>AND('UP133'!W14,"AAAAAH8T2wE=")</f>
        <v>#VALUE!</v>
      </c>
      <c r="C53" t="e">
        <f>AND('UP133'!X14,"AAAAAH8T2wI=")</f>
        <v>#VALUE!</v>
      </c>
      <c r="D53" t="e">
        <f>AND('UP133'!Y14,"AAAAAH8T2wM=")</f>
        <v>#VALUE!</v>
      </c>
      <c r="E53" t="e">
        <f>AND('UP133'!Z14,"AAAAAH8T2wQ=")</f>
        <v>#VALUE!</v>
      </c>
      <c r="F53" t="e">
        <f>AND('UP133'!AA14,"AAAAAH8T2wU=")</f>
        <v>#VALUE!</v>
      </c>
      <c r="G53" t="e">
        <f>AND('UP133'!AB14,"AAAAAH8T2wY=")</f>
        <v>#VALUE!</v>
      </c>
      <c r="H53" t="e">
        <f>AND('UP133'!AC14,"AAAAAH8T2wc=")</f>
        <v>#VALUE!</v>
      </c>
      <c r="I53" t="e">
        <f>AND('UP133'!AD14,"AAAAAH8T2wg=")</f>
        <v>#VALUE!</v>
      </c>
      <c r="J53" t="e">
        <f>AND('UP133'!AE14,"AAAAAH8T2wk=")</f>
        <v>#VALUE!</v>
      </c>
      <c r="K53" t="e">
        <f>AND('UP133'!AF14,"AAAAAH8T2wo=")</f>
        <v>#VALUE!</v>
      </c>
      <c r="L53" t="e">
        <f>AND('UP133'!AG14,"AAAAAH8T2ws=")</f>
        <v>#VALUE!</v>
      </c>
      <c r="M53" t="e">
        <f>AND('UP133'!AH14,"AAAAAH8T2ww=")</f>
        <v>#VALUE!</v>
      </c>
      <c r="N53" t="e">
        <f>AND('UP133'!AI14,"AAAAAH8T2w0=")</f>
        <v>#VALUE!</v>
      </c>
      <c r="O53" t="e">
        <f>AND('UP133'!AJ14,"AAAAAH8T2w4=")</f>
        <v>#VALUE!</v>
      </c>
      <c r="P53" t="e">
        <f>AND('UP133'!AK14,"AAAAAH8T2w8=")</f>
        <v>#VALUE!</v>
      </c>
      <c r="Q53" t="e">
        <f>AND('UP133'!AL14,"AAAAAH8T2xA=")</f>
        <v>#VALUE!</v>
      </c>
      <c r="R53" t="e">
        <f>AND('UP133'!AM14,"AAAAAH8T2xE=")</f>
        <v>#VALUE!</v>
      </c>
      <c r="S53" t="e">
        <f>AND('UP133'!AN14,"AAAAAH8T2xI=")</f>
        <v>#VALUE!</v>
      </c>
      <c r="T53" t="e">
        <f>AND('UP133'!AO14,"AAAAAH8T2xM=")</f>
        <v>#VALUE!</v>
      </c>
      <c r="U53" t="e">
        <f>AND('UP133'!AP14,"AAAAAH8T2xQ=")</f>
        <v>#VALUE!</v>
      </c>
      <c r="V53" t="e">
        <f>AND('UP133'!AQ14,"AAAAAH8T2xU=")</f>
        <v>#VALUE!</v>
      </c>
      <c r="W53" t="e">
        <f>AND('UP133'!AR14,"AAAAAH8T2xY=")</f>
        <v>#VALUE!</v>
      </c>
      <c r="X53" t="e">
        <f>AND('UP133'!AS14,"AAAAAH8T2xc=")</f>
        <v>#VALUE!</v>
      </c>
      <c r="Y53" t="e">
        <f>AND('UP133'!AT14,"AAAAAH8T2xg=")</f>
        <v>#VALUE!</v>
      </c>
      <c r="Z53" t="e">
        <f>AND('UP133'!AU14,"AAAAAH8T2xk=")</f>
        <v>#VALUE!</v>
      </c>
      <c r="AA53" t="e">
        <f>AND('UP133'!AV14,"AAAAAH8T2xo=")</f>
        <v>#VALUE!</v>
      </c>
      <c r="AB53" t="e">
        <f>AND('UP133'!AW14,"AAAAAH8T2xs=")</f>
        <v>#VALUE!</v>
      </c>
      <c r="AC53" t="e">
        <f>AND('UP133'!AX14,"AAAAAH8T2xw=")</f>
        <v>#VALUE!</v>
      </c>
      <c r="AD53" t="e">
        <f>AND('UP133'!AY14,"AAAAAH8T2x0=")</f>
        <v>#VALUE!</v>
      </c>
      <c r="AE53" t="e">
        <f>AND('UP133'!AZ14,"AAAAAH8T2x4=")</f>
        <v>#VALUE!</v>
      </c>
      <c r="AF53" t="e">
        <f>AND('UP133'!BA14,"AAAAAH8T2x8=")</f>
        <v>#VALUE!</v>
      </c>
      <c r="AG53" t="e">
        <f>AND('UP133'!BB14,"AAAAAH8T2yA=")</f>
        <v>#VALUE!</v>
      </c>
      <c r="AH53" t="e">
        <f>AND('UP133'!BC14,"AAAAAH8T2yE=")</f>
        <v>#VALUE!</v>
      </c>
      <c r="AI53" t="e">
        <f>AND('UP133'!BD14,"AAAAAH8T2yI=")</f>
        <v>#VALUE!</v>
      </c>
      <c r="AJ53" t="e">
        <f>AND('UP133'!BE14,"AAAAAH8T2yM=")</f>
        <v>#VALUE!</v>
      </c>
      <c r="AK53" t="e">
        <f>AND('UP133'!BF14,"AAAAAH8T2yQ=")</f>
        <v>#VALUE!</v>
      </c>
      <c r="AL53" t="e">
        <f>AND('UP133'!BG14,"AAAAAH8T2yU=")</f>
        <v>#VALUE!</v>
      </c>
      <c r="AM53" t="e">
        <f>AND('UP133'!BH14,"AAAAAH8T2yY=")</f>
        <v>#VALUE!</v>
      </c>
      <c r="AN53" t="e">
        <f>AND('UP133'!BI14,"AAAAAH8T2yc=")</f>
        <v>#VALUE!</v>
      </c>
      <c r="AO53" t="e">
        <f>AND('UP133'!BJ14,"AAAAAH8T2yg=")</f>
        <v>#VALUE!</v>
      </c>
      <c r="AP53" t="e">
        <f>AND('UP133'!BK14,"AAAAAH8T2yk=")</f>
        <v>#VALUE!</v>
      </c>
      <c r="AQ53" t="e">
        <f>AND('UP133'!BL14,"AAAAAH8T2yo=")</f>
        <v>#VALUE!</v>
      </c>
      <c r="AR53" t="e">
        <f>AND('UP133'!BM14,"AAAAAH8T2ys=")</f>
        <v>#VALUE!</v>
      </c>
      <c r="AS53" t="e">
        <f>AND('UP133'!BN14,"AAAAAH8T2yw=")</f>
        <v>#VALUE!</v>
      </c>
      <c r="AT53" t="e">
        <f>AND('UP133'!BO14,"AAAAAH8T2y0=")</f>
        <v>#VALUE!</v>
      </c>
      <c r="AU53" t="e">
        <f>AND('UP133'!BP14,"AAAAAH8T2y4=")</f>
        <v>#VALUE!</v>
      </c>
      <c r="AV53" t="e">
        <f>AND('UP133'!BQ14,"AAAAAH8T2y8=")</f>
        <v>#VALUE!</v>
      </c>
      <c r="AW53" t="e">
        <f>AND('UP133'!BR14,"AAAAAH8T2zA=")</f>
        <v>#VALUE!</v>
      </c>
      <c r="AX53" t="e">
        <f>AND('UP133'!BS14,"AAAAAH8T2zE=")</f>
        <v>#VALUE!</v>
      </c>
      <c r="AY53" t="e">
        <f>AND('UP133'!BT14,"AAAAAH8T2zI=")</f>
        <v>#VALUE!</v>
      </c>
      <c r="AZ53" t="e">
        <f>AND('UP133'!BU14,"AAAAAH8T2zM=")</f>
        <v>#VALUE!</v>
      </c>
      <c r="BA53" t="e">
        <f>AND('UP133'!BV14,"AAAAAH8T2zQ=")</f>
        <v>#VALUE!</v>
      </c>
      <c r="BB53" t="e">
        <f>AND('UP133'!BW14,"AAAAAH8T2zU=")</f>
        <v>#VALUE!</v>
      </c>
      <c r="BC53" t="e">
        <f>AND('UP133'!BX14,"AAAAAH8T2zY=")</f>
        <v>#VALUE!</v>
      </c>
      <c r="BD53" t="e">
        <f>AND('UP133'!BY14,"AAAAAH8T2zc=")</f>
        <v>#VALUE!</v>
      </c>
      <c r="BE53" t="e">
        <f>AND('UP133'!BZ14,"AAAAAH8T2zg=")</f>
        <v>#VALUE!</v>
      </c>
      <c r="BF53" t="e">
        <f>AND('UP133'!CA14,"AAAAAH8T2zk=")</f>
        <v>#VALUE!</v>
      </c>
      <c r="BG53" t="e">
        <f>AND('UP133'!CB14,"AAAAAH8T2zo=")</f>
        <v>#VALUE!</v>
      </c>
      <c r="BH53" t="e">
        <f>AND('UP133'!CC14,"AAAAAH8T2zs=")</f>
        <v>#VALUE!</v>
      </c>
      <c r="BI53" t="e">
        <f>AND('UP133'!CD14,"AAAAAH8T2zw=")</f>
        <v>#VALUE!</v>
      </c>
      <c r="BJ53" t="e">
        <f>AND('UP133'!CE14,"AAAAAH8T2z0=")</f>
        <v>#VALUE!</v>
      </c>
      <c r="BK53" t="e">
        <f>AND('UP133'!CF14,"AAAAAH8T2z4=")</f>
        <v>#VALUE!</v>
      </c>
      <c r="BL53" t="e">
        <f>AND('UP133'!CG14,"AAAAAH8T2z8=")</f>
        <v>#VALUE!</v>
      </c>
      <c r="BM53" t="e">
        <f>AND('UP133'!CH14,"AAAAAH8T20A=")</f>
        <v>#VALUE!</v>
      </c>
      <c r="BN53" t="e">
        <f>AND('UP133'!CI14,"AAAAAH8T20E=")</f>
        <v>#VALUE!</v>
      </c>
      <c r="BO53" t="e">
        <f>AND('UP133'!CJ14,"AAAAAH8T20I=")</f>
        <v>#VALUE!</v>
      </c>
      <c r="BP53" t="e">
        <f>AND('UP133'!CK14,"AAAAAH8T20M=")</f>
        <v>#VALUE!</v>
      </c>
      <c r="BQ53" t="e">
        <f>AND('UP133'!CL14,"AAAAAH8T20Q=")</f>
        <v>#VALUE!</v>
      </c>
      <c r="BR53" t="e">
        <f>AND('UP133'!CM14,"AAAAAH8T20U=")</f>
        <v>#VALUE!</v>
      </c>
      <c r="BS53" t="e">
        <f>AND('UP133'!CN14,"AAAAAH8T20Y=")</f>
        <v>#VALUE!</v>
      </c>
      <c r="BT53" t="e">
        <f>AND('UP133'!CO14,"AAAAAH8T20c=")</f>
        <v>#VALUE!</v>
      </c>
      <c r="BU53" t="e">
        <f>AND('UP133'!CP14,"AAAAAH8T20g=")</f>
        <v>#VALUE!</v>
      </c>
      <c r="BV53" t="e">
        <f>AND('UP133'!CQ14,"AAAAAH8T20k=")</f>
        <v>#VALUE!</v>
      </c>
      <c r="BW53" t="e">
        <f>AND('UP133'!CR14,"AAAAAH8T20o=")</f>
        <v>#VALUE!</v>
      </c>
      <c r="BX53" t="e">
        <f>AND('UP133'!CS14,"AAAAAH8T20s=")</f>
        <v>#VALUE!</v>
      </c>
      <c r="BY53" t="e">
        <f>AND('UP133'!CT14,"AAAAAH8T20w=")</f>
        <v>#VALUE!</v>
      </c>
      <c r="BZ53" t="e">
        <f>AND('UP133'!CU14,"AAAAAH8T200=")</f>
        <v>#VALUE!</v>
      </c>
      <c r="CA53" t="e">
        <f>AND('UP133'!CV14,"AAAAAH8T204=")</f>
        <v>#VALUE!</v>
      </c>
      <c r="CB53" t="e">
        <f>AND('UP133'!CW14,"AAAAAH8T208=")</f>
        <v>#VALUE!</v>
      </c>
      <c r="CC53" t="e">
        <f>AND('UP133'!CX14,"AAAAAH8T21A=")</f>
        <v>#VALUE!</v>
      </c>
      <c r="CD53" t="e">
        <f>AND('UP133'!CY14,"AAAAAH8T21E=")</f>
        <v>#VALUE!</v>
      </c>
      <c r="CE53" t="e">
        <f>AND('UP133'!CZ14,"AAAAAH8T21I=")</f>
        <v>#VALUE!</v>
      </c>
      <c r="CF53" t="e">
        <f>AND('UP133'!DA14,"AAAAAH8T21M=")</f>
        <v>#VALUE!</v>
      </c>
      <c r="CG53" t="e">
        <f>AND('UP133'!DB14,"AAAAAH8T21Q=")</f>
        <v>#VALUE!</v>
      </c>
      <c r="CH53" t="e">
        <f>AND('UP133'!DC14,"AAAAAH8T21U=")</f>
        <v>#VALUE!</v>
      </c>
      <c r="CI53" t="e">
        <f>AND('UP133'!DD14,"AAAAAH8T21Y=")</f>
        <v>#VALUE!</v>
      </c>
      <c r="CJ53" t="e">
        <f>AND('UP133'!DE14,"AAAAAH8T21c=")</f>
        <v>#VALUE!</v>
      </c>
      <c r="CK53" t="e">
        <f>AND('UP133'!DF14,"AAAAAH8T21g=")</f>
        <v>#VALUE!</v>
      </c>
      <c r="CL53" t="e">
        <f>AND('UP133'!DG14,"AAAAAH8T21k=")</f>
        <v>#VALUE!</v>
      </c>
      <c r="CM53" t="e">
        <f>AND('UP133'!DH14,"AAAAAH8T21o=")</f>
        <v>#VALUE!</v>
      </c>
      <c r="CN53" t="e">
        <f>AND('UP133'!DI14,"AAAAAH8T21s=")</f>
        <v>#VALUE!</v>
      </c>
      <c r="CO53" t="e">
        <f>AND('UP133'!DJ14,"AAAAAH8T21w=")</f>
        <v>#VALUE!</v>
      </c>
      <c r="CP53" t="e">
        <f>AND('UP133'!DK14,"AAAAAH8T210=")</f>
        <v>#VALUE!</v>
      </c>
      <c r="CQ53" t="e">
        <f>AND('UP133'!DL14,"AAAAAH8T214=")</f>
        <v>#VALUE!</v>
      </c>
      <c r="CR53" t="e">
        <f>AND('UP133'!DM14,"AAAAAH8T218=")</f>
        <v>#VALUE!</v>
      </c>
      <c r="CS53" t="e">
        <f>AND('UP133'!DN14,"AAAAAH8T22A=")</f>
        <v>#VALUE!</v>
      </c>
      <c r="CT53" t="e">
        <f>AND('UP133'!DO14,"AAAAAH8T22E=")</f>
        <v>#VALUE!</v>
      </c>
      <c r="CU53" t="e">
        <f>AND('UP133'!DP14,"AAAAAH8T22I=")</f>
        <v>#VALUE!</v>
      </c>
      <c r="CV53" t="e">
        <f>AND('UP133'!DQ14,"AAAAAH8T22M=")</f>
        <v>#VALUE!</v>
      </c>
      <c r="CW53" t="e">
        <f>AND('UP133'!DR14,"AAAAAH8T22Q=")</f>
        <v>#VALUE!</v>
      </c>
      <c r="CX53" t="e">
        <f>AND('UP133'!DS14,"AAAAAH8T22U=")</f>
        <v>#VALUE!</v>
      </c>
      <c r="CY53" t="e">
        <f>AND('UP133'!DT14,"AAAAAH8T22Y=")</f>
        <v>#VALUE!</v>
      </c>
      <c r="CZ53" t="e">
        <f>AND('UP133'!DU14,"AAAAAH8T22c=")</f>
        <v>#VALUE!</v>
      </c>
      <c r="DA53" t="e">
        <f>AND('UP133'!DV14,"AAAAAH8T22g=")</f>
        <v>#VALUE!</v>
      </c>
      <c r="DB53" t="e">
        <f>AND('UP133'!DW14,"AAAAAH8T22k=")</f>
        <v>#VALUE!</v>
      </c>
      <c r="DC53" t="e">
        <f>AND('UP133'!DX14,"AAAAAH8T22o=")</f>
        <v>#VALUE!</v>
      </c>
      <c r="DD53" t="e">
        <f>AND('UP133'!DY14,"AAAAAH8T22s=")</f>
        <v>#VALUE!</v>
      </c>
      <c r="DE53" t="e">
        <f>AND('UP133'!DZ14,"AAAAAH8T22w=")</f>
        <v>#VALUE!</v>
      </c>
      <c r="DF53" t="e">
        <f>AND('UP133'!EA14,"AAAAAH8T220=")</f>
        <v>#VALUE!</v>
      </c>
      <c r="DG53" t="e">
        <f>AND('UP133'!EB14,"AAAAAH8T224=")</f>
        <v>#VALUE!</v>
      </c>
      <c r="DH53" t="e">
        <f>AND('UP133'!EC14,"AAAAAH8T228=")</f>
        <v>#VALUE!</v>
      </c>
      <c r="DI53" t="e">
        <f>AND('UP133'!ED14,"AAAAAH8T23A=")</f>
        <v>#VALUE!</v>
      </c>
      <c r="DJ53" t="e">
        <f>AND('UP133'!EE14,"AAAAAH8T23E=")</f>
        <v>#VALUE!</v>
      </c>
      <c r="DK53" t="e">
        <f>AND('UP133'!EF14,"AAAAAH8T23I=")</f>
        <v>#VALUE!</v>
      </c>
      <c r="DL53" t="e">
        <f>AND('UP133'!EG14,"AAAAAH8T23M=")</f>
        <v>#VALUE!</v>
      </c>
      <c r="DM53" t="e">
        <f>AND('UP133'!EH14,"AAAAAH8T23Q=")</f>
        <v>#VALUE!</v>
      </c>
      <c r="DN53" t="e">
        <f>AND('UP133'!EI14,"AAAAAH8T23U=")</f>
        <v>#VALUE!</v>
      </c>
      <c r="DO53" t="e">
        <f>AND('UP133'!EJ14,"AAAAAH8T23Y=")</f>
        <v>#VALUE!</v>
      </c>
      <c r="DP53" t="e">
        <f>AND('UP133'!EK14,"AAAAAH8T23c=")</f>
        <v>#VALUE!</v>
      </c>
      <c r="DQ53" t="e">
        <f>AND('UP133'!EL14,"AAAAAH8T23g=")</f>
        <v>#VALUE!</v>
      </c>
      <c r="DR53" t="e">
        <f>AND('UP133'!EM14,"AAAAAH8T23k=")</f>
        <v>#VALUE!</v>
      </c>
      <c r="DS53" t="e">
        <f>AND('UP133'!EN14,"AAAAAH8T23o=")</f>
        <v>#VALUE!</v>
      </c>
      <c r="DT53" t="e">
        <f>AND('UP133'!EO14,"AAAAAH8T23s=")</f>
        <v>#VALUE!</v>
      </c>
      <c r="DU53" t="e">
        <f>AND('UP133'!EP14,"AAAAAH8T23w=")</f>
        <v>#VALUE!</v>
      </c>
      <c r="DV53" t="e">
        <f>AND('UP133'!EQ14,"AAAAAH8T230=")</f>
        <v>#VALUE!</v>
      </c>
      <c r="DW53" t="e">
        <f>AND('UP133'!ER14,"AAAAAH8T234=")</f>
        <v>#VALUE!</v>
      </c>
      <c r="DX53" t="e">
        <f>AND('UP133'!ES14,"AAAAAH8T238=")</f>
        <v>#VALUE!</v>
      </c>
      <c r="DY53" t="e">
        <f>AND('UP133'!ET14,"AAAAAH8T24A=")</f>
        <v>#VALUE!</v>
      </c>
      <c r="DZ53" t="e">
        <f>AND('UP133'!EU14,"AAAAAH8T24E=")</f>
        <v>#VALUE!</v>
      </c>
      <c r="EA53" t="e">
        <f>AND('UP133'!EV14,"AAAAAH8T24I=")</f>
        <v>#VALUE!</v>
      </c>
      <c r="EB53" t="e">
        <f>AND('UP133'!EW14,"AAAAAH8T24M=")</f>
        <v>#VALUE!</v>
      </c>
      <c r="EC53" t="e">
        <f>AND('UP133'!EX14,"AAAAAH8T24Q=")</f>
        <v>#VALUE!</v>
      </c>
      <c r="ED53" t="e">
        <f>AND('UP133'!EY14,"AAAAAH8T24U=")</f>
        <v>#VALUE!</v>
      </c>
      <c r="EE53" t="e">
        <f>AND('UP133'!EZ14,"AAAAAH8T24Y=")</f>
        <v>#VALUE!</v>
      </c>
      <c r="EF53" t="e">
        <f>AND('UP133'!FA14,"AAAAAH8T24c=")</f>
        <v>#VALUE!</v>
      </c>
      <c r="EG53" t="e">
        <f>AND('UP133'!FB14,"AAAAAH8T24g=")</f>
        <v>#VALUE!</v>
      </c>
      <c r="EH53" t="e">
        <f>AND('UP133'!FC14,"AAAAAH8T24k=")</f>
        <v>#VALUE!</v>
      </c>
      <c r="EI53" t="e">
        <f>AND('UP133'!FD14,"AAAAAH8T24o=")</f>
        <v>#VALUE!</v>
      </c>
      <c r="EJ53" t="e">
        <f>AND('UP133'!FE14,"AAAAAH8T24s=")</f>
        <v>#VALUE!</v>
      </c>
      <c r="EK53" t="e">
        <f>AND('UP133'!FF14,"AAAAAH8T24w=")</f>
        <v>#VALUE!</v>
      </c>
      <c r="EL53" t="e">
        <f>AND('UP133'!FG14,"AAAAAH8T240=")</f>
        <v>#VALUE!</v>
      </c>
      <c r="EM53" t="e">
        <f>AND('UP133'!FH14,"AAAAAH8T244=")</f>
        <v>#VALUE!</v>
      </c>
      <c r="EN53" t="e">
        <f>AND('UP133'!FI14,"AAAAAH8T248=")</f>
        <v>#VALUE!</v>
      </c>
      <c r="EO53" t="e">
        <f>AND('UP133'!FJ14,"AAAAAH8T25A=")</f>
        <v>#VALUE!</v>
      </c>
      <c r="EP53" t="e">
        <f>AND('UP133'!FK14,"AAAAAH8T25E=")</f>
        <v>#VALUE!</v>
      </c>
      <c r="EQ53" t="e">
        <f>AND('UP133'!FL14,"AAAAAH8T25I=")</f>
        <v>#VALUE!</v>
      </c>
      <c r="ER53" t="e">
        <f>AND('UP133'!FM14,"AAAAAH8T25M=")</f>
        <v>#VALUE!</v>
      </c>
      <c r="ES53" t="e">
        <f>AND('UP133'!FN14,"AAAAAH8T25Q=")</f>
        <v>#VALUE!</v>
      </c>
      <c r="ET53" t="e">
        <f>AND('UP133'!FO14,"AAAAAH8T25U=")</f>
        <v>#VALUE!</v>
      </c>
      <c r="EU53" t="e">
        <f>AND('UP133'!FP14,"AAAAAH8T25Y=")</f>
        <v>#VALUE!</v>
      </c>
      <c r="EV53" t="e">
        <f>AND('UP133'!FQ14,"AAAAAH8T25c=")</f>
        <v>#VALUE!</v>
      </c>
      <c r="EW53" t="e">
        <f>AND('UP133'!FR14,"AAAAAH8T25g=")</f>
        <v>#VALUE!</v>
      </c>
      <c r="EX53" t="e">
        <f>AND('UP133'!FS14,"AAAAAH8T25k=")</f>
        <v>#VALUE!</v>
      </c>
      <c r="EY53" t="e">
        <f>AND('UP133'!FT14,"AAAAAH8T25o=")</f>
        <v>#VALUE!</v>
      </c>
      <c r="EZ53" t="e">
        <f>AND('UP133'!FU14,"AAAAAH8T25s=")</f>
        <v>#VALUE!</v>
      </c>
      <c r="FA53" t="e">
        <f>AND('UP133'!FV14,"AAAAAH8T25w=")</f>
        <v>#VALUE!</v>
      </c>
      <c r="FB53" t="e">
        <f>AND('UP133'!FW14,"AAAAAH8T250=")</f>
        <v>#VALUE!</v>
      </c>
      <c r="FC53" t="e">
        <f>AND('UP133'!FX14,"AAAAAH8T254=")</f>
        <v>#VALUE!</v>
      </c>
      <c r="FD53" t="e">
        <f>AND('UP133'!FY14,"AAAAAH8T258=")</f>
        <v>#VALUE!</v>
      </c>
      <c r="FE53" t="e">
        <f>AND('UP133'!FZ14,"AAAAAH8T26A=")</f>
        <v>#VALUE!</v>
      </c>
      <c r="FF53" t="e">
        <f>AND('UP133'!GA14,"AAAAAH8T26E=")</f>
        <v>#VALUE!</v>
      </c>
      <c r="FG53" t="e">
        <f>AND('UP133'!GB14,"AAAAAH8T26I=")</f>
        <v>#VALUE!</v>
      </c>
      <c r="FH53" t="e">
        <f>AND('UP133'!GC14,"AAAAAH8T26M=")</f>
        <v>#VALUE!</v>
      </c>
      <c r="FI53" t="e">
        <f>AND('UP133'!GD14,"AAAAAH8T26Q=")</f>
        <v>#VALUE!</v>
      </c>
      <c r="FJ53" t="e">
        <f>AND('UP133'!GE14,"AAAAAH8T26U=")</f>
        <v>#VALUE!</v>
      </c>
      <c r="FK53" t="e">
        <f>AND('UP133'!GF14,"AAAAAH8T26Y=")</f>
        <v>#VALUE!</v>
      </c>
      <c r="FL53" t="e">
        <f>AND('UP133'!GG14,"AAAAAH8T26c=")</f>
        <v>#VALUE!</v>
      </c>
      <c r="FM53" t="e">
        <f>AND('UP133'!GH14,"AAAAAH8T26g=")</f>
        <v>#VALUE!</v>
      </c>
      <c r="FN53" t="e">
        <f>AND('UP133'!GI14,"AAAAAH8T26k=")</f>
        <v>#VALUE!</v>
      </c>
      <c r="FO53" t="e">
        <f>AND('UP133'!GJ14,"AAAAAH8T26o=")</f>
        <v>#VALUE!</v>
      </c>
      <c r="FP53" t="e">
        <f>AND('UP133'!GK14,"AAAAAH8T26s=")</f>
        <v>#VALUE!</v>
      </c>
      <c r="FQ53" t="e">
        <f>AND('UP133'!GL14,"AAAAAH8T26w=")</f>
        <v>#VALUE!</v>
      </c>
      <c r="FR53" t="e">
        <f>AND('UP133'!GM14,"AAAAAH8T260=")</f>
        <v>#VALUE!</v>
      </c>
      <c r="FS53" t="e">
        <f>AND('UP133'!GN14,"AAAAAH8T264=")</f>
        <v>#VALUE!</v>
      </c>
      <c r="FT53" t="e">
        <f>AND('UP133'!GO14,"AAAAAH8T268=")</f>
        <v>#VALUE!</v>
      </c>
      <c r="FU53" t="e">
        <f>AND('UP133'!GP14,"AAAAAH8T27A=")</f>
        <v>#VALUE!</v>
      </c>
      <c r="FV53" t="e">
        <f>AND('UP133'!GQ14,"AAAAAH8T27E=")</f>
        <v>#VALUE!</v>
      </c>
      <c r="FW53" t="e">
        <f>AND('UP133'!GR14,"AAAAAH8T27I=")</f>
        <v>#VALUE!</v>
      </c>
      <c r="FX53" t="e">
        <f>AND('UP133'!GS14,"AAAAAH8T27M=")</f>
        <v>#VALUE!</v>
      </c>
      <c r="FY53" t="e">
        <f>AND('UP133'!GT14,"AAAAAH8T27Q=")</f>
        <v>#VALUE!</v>
      </c>
      <c r="FZ53" t="e">
        <f>AND('UP133'!GU14,"AAAAAH8T27U=")</f>
        <v>#VALUE!</v>
      </c>
      <c r="GA53" t="e">
        <f>AND('UP133'!GV14,"AAAAAH8T27Y=")</f>
        <v>#VALUE!</v>
      </c>
      <c r="GB53" t="e">
        <f>AND('UP133'!GW14,"AAAAAH8T27c=")</f>
        <v>#VALUE!</v>
      </c>
      <c r="GC53" t="e">
        <f>AND('UP133'!GX14,"AAAAAH8T27g=")</f>
        <v>#VALUE!</v>
      </c>
      <c r="GD53" t="e">
        <f>AND('UP133'!GY14,"AAAAAH8T27k=")</f>
        <v>#VALUE!</v>
      </c>
      <c r="GE53" t="e">
        <f>AND('UP133'!GZ14,"AAAAAH8T27o=")</f>
        <v>#VALUE!</v>
      </c>
      <c r="GF53" t="e">
        <f>AND('UP133'!HA14,"AAAAAH8T27s=")</f>
        <v>#VALUE!</v>
      </c>
      <c r="GG53" t="e">
        <f>AND('UP133'!HB14,"AAAAAH8T27w=")</f>
        <v>#VALUE!</v>
      </c>
      <c r="GH53" t="e">
        <f>AND('UP133'!HC14,"AAAAAH8T270=")</f>
        <v>#VALUE!</v>
      </c>
      <c r="GI53" t="e">
        <f>AND('UP133'!HD14,"AAAAAH8T274=")</f>
        <v>#VALUE!</v>
      </c>
      <c r="GJ53" t="e">
        <f>AND('UP133'!HE14,"AAAAAH8T278=")</f>
        <v>#VALUE!</v>
      </c>
      <c r="GK53" t="e">
        <f>AND('UP133'!HF14,"AAAAAH8T28A=")</f>
        <v>#VALUE!</v>
      </c>
      <c r="GL53" t="e">
        <f>AND('UP133'!HG14,"AAAAAH8T28E=")</f>
        <v>#VALUE!</v>
      </c>
      <c r="GM53" t="e">
        <f>AND('UP133'!HH14,"AAAAAH8T28I=")</f>
        <v>#VALUE!</v>
      </c>
      <c r="GN53" t="e">
        <f>AND('UP133'!HI14,"AAAAAH8T28M=")</f>
        <v>#VALUE!</v>
      </c>
      <c r="GO53" t="e">
        <f>AND('UP133'!HJ14,"AAAAAH8T28Q=")</f>
        <v>#VALUE!</v>
      </c>
      <c r="GP53" t="e">
        <f>AND('UP133'!HK14,"AAAAAH8T28U=")</f>
        <v>#VALUE!</v>
      </c>
      <c r="GQ53" t="e">
        <f>AND('UP133'!HL14,"AAAAAH8T28Y=")</f>
        <v>#VALUE!</v>
      </c>
      <c r="GR53" t="e">
        <f>AND('UP133'!HM14,"AAAAAH8T28c=")</f>
        <v>#VALUE!</v>
      </c>
      <c r="GS53" t="e">
        <f>AND('UP133'!HN14,"AAAAAH8T28g=")</f>
        <v>#VALUE!</v>
      </c>
      <c r="GT53" t="e">
        <f>AND('UP133'!HO14,"AAAAAH8T28k=")</f>
        <v>#VALUE!</v>
      </c>
      <c r="GU53" t="e">
        <f>AND('UP133'!HP14,"AAAAAH8T28o=")</f>
        <v>#VALUE!</v>
      </c>
      <c r="GV53" t="e">
        <f>AND('UP133'!HQ14,"AAAAAH8T28s=")</f>
        <v>#VALUE!</v>
      </c>
      <c r="GW53" t="e">
        <f>AND('UP133'!HR14,"AAAAAH8T28w=")</f>
        <v>#VALUE!</v>
      </c>
      <c r="GX53" t="e">
        <f>AND('UP133'!HS14,"AAAAAH8T280=")</f>
        <v>#VALUE!</v>
      </c>
      <c r="GY53" t="e">
        <f>AND('UP133'!HT14,"AAAAAH8T284=")</f>
        <v>#VALUE!</v>
      </c>
      <c r="GZ53" t="e">
        <f>AND('UP133'!HU14,"AAAAAH8T288=")</f>
        <v>#VALUE!</v>
      </c>
      <c r="HA53" t="e">
        <f>AND('UP133'!HV14,"AAAAAH8T29A=")</f>
        <v>#VALUE!</v>
      </c>
      <c r="HB53" t="e">
        <f>AND('UP133'!HW14,"AAAAAH8T29E=")</f>
        <v>#VALUE!</v>
      </c>
      <c r="HC53" t="e">
        <f>AND('UP133'!HX14,"AAAAAH8T29I=")</f>
        <v>#VALUE!</v>
      </c>
      <c r="HD53" t="e">
        <f>AND('UP133'!HY14,"AAAAAH8T29M=")</f>
        <v>#VALUE!</v>
      </c>
      <c r="HE53" t="e">
        <f>AND('UP133'!HZ14,"AAAAAH8T29Q=")</f>
        <v>#VALUE!</v>
      </c>
      <c r="HF53" t="e">
        <f>AND('UP133'!IA14,"AAAAAH8T29U=")</f>
        <v>#VALUE!</v>
      </c>
      <c r="HG53" t="e">
        <f>AND('UP133'!IB14,"AAAAAH8T29Y=")</f>
        <v>#VALUE!</v>
      </c>
      <c r="HH53" t="e">
        <f>AND('UP133'!IC14,"AAAAAH8T29c=")</f>
        <v>#VALUE!</v>
      </c>
      <c r="HI53" t="e">
        <f>AND('UP133'!ID14,"AAAAAH8T29g=")</f>
        <v>#VALUE!</v>
      </c>
      <c r="HJ53" t="e">
        <f>AND('UP133'!IE14,"AAAAAH8T29k=")</f>
        <v>#VALUE!</v>
      </c>
      <c r="HK53" t="e">
        <f>AND('UP133'!IF14,"AAAAAH8T29o=")</f>
        <v>#VALUE!</v>
      </c>
      <c r="HL53" t="e">
        <f>AND('UP133'!IG14,"AAAAAH8T29s=")</f>
        <v>#VALUE!</v>
      </c>
      <c r="HM53" t="e">
        <f>AND('UP133'!IH14,"AAAAAH8T29w=")</f>
        <v>#VALUE!</v>
      </c>
      <c r="HN53" t="e">
        <f>AND('UP133'!II14,"AAAAAH8T290=")</f>
        <v>#VALUE!</v>
      </c>
      <c r="HO53" t="e">
        <f>AND('UP133'!IJ14,"AAAAAH8T294=")</f>
        <v>#VALUE!</v>
      </c>
      <c r="HP53" t="e">
        <f>AND('UP133'!IK14,"AAAAAH8T298=")</f>
        <v>#VALUE!</v>
      </c>
      <c r="HQ53" t="e">
        <f>AND('UP133'!IL14,"AAAAAH8T2+A=")</f>
        <v>#VALUE!</v>
      </c>
      <c r="HR53" t="e">
        <f>AND('UP133'!IM14,"AAAAAH8T2+E=")</f>
        <v>#VALUE!</v>
      </c>
      <c r="HS53" t="e">
        <f>AND('UP133'!IN14,"AAAAAH8T2+I=")</f>
        <v>#VALUE!</v>
      </c>
      <c r="HT53" t="e">
        <f>AND('UP133'!IO14,"AAAAAH8T2+M=")</f>
        <v>#VALUE!</v>
      </c>
      <c r="HU53" t="e">
        <f>AND('UP133'!IP14,"AAAAAH8T2+Q=")</f>
        <v>#VALUE!</v>
      </c>
      <c r="HV53" t="e">
        <f>AND('UP133'!IQ14,"AAAAAH8T2+U=")</f>
        <v>#VALUE!</v>
      </c>
      <c r="HW53">
        <f>IF('UP133'!15:15,"AAAAAH8T2+Y=",0)</f>
        <v>0</v>
      </c>
      <c r="HX53" t="e">
        <f>AND('UP133'!A15,"AAAAAH8T2+c=")</f>
        <v>#VALUE!</v>
      </c>
      <c r="HY53" t="e">
        <f>AND('UP133'!B15,"AAAAAH8T2+g=")</f>
        <v>#VALUE!</v>
      </c>
      <c r="HZ53" t="e">
        <f>AND('UP133'!C15,"AAAAAH8T2+k=")</f>
        <v>#VALUE!</v>
      </c>
      <c r="IA53" t="e">
        <f>AND('UP133'!D15,"AAAAAH8T2+o=")</f>
        <v>#VALUE!</v>
      </c>
      <c r="IB53" t="e">
        <f>AND('UP133'!E15,"AAAAAH8T2+s=")</f>
        <v>#VALUE!</v>
      </c>
      <c r="IC53" t="e">
        <f>AND('UP133'!F15,"AAAAAH8T2+w=")</f>
        <v>#VALUE!</v>
      </c>
      <c r="ID53" t="e">
        <f>AND('UP133'!G15,"AAAAAH8T2+0=")</f>
        <v>#VALUE!</v>
      </c>
      <c r="IE53" t="e">
        <f>AND('UP133'!H15,"AAAAAH8T2+4=")</f>
        <v>#VALUE!</v>
      </c>
      <c r="IF53" t="e">
        <f>AND('UP133'!I15,"AAAAAH8T2+8=")</f>
        <v>#VALUE!</v>
      </c>
      <c r="IG53" t="e">
        <f>AND('UP133'!J15,"AAAAAH8T2/A=")</f>
        <v>#VALUE!</v>
      </c>
      <c r="IH53" t="e">
        <f>AND('UP133'!K15,"AAAAAH8T2/E=")</f>
        <v>#VALUE!</v>
      </c>
      <c r="II53" t="e">
        <f>AND('UP133'!L15,"AAAAAH8T2/I=")</f>
        <v>#VALUE!</v>
      </c>
      <c r="IJ53" t="e">
        <f>AND('UP133'!M15,"AAAAAH8T2/M=")</f>
        <v>#VALUE!</v>
      </c>
      <c r="IK53" t="e">
        <f>AND('UP133'!N15,"AAAAAH8T2/Q=")</f>
        <v>#VALUE!</v>
      </c>
      <c r="IL53" t="e">
        <f>AND('UP133'!O15,"AAAAAH8T2/U=")</f>
        <v>#VALUE!</v>
      </c>
      <c r="IM53" t="e">
        <f>AND('UP133'!P15,"AAAAAH8T2/Y=")</f>
        <v>#VALUE!</v>
      </c>
      <c r="IN53" t="e">
        <f>AND('UP133'!Q15,"AAAAAH8T2/c=")</f>
        <v>#VALUE!</v>
      </c>
      <c r="IO53" t="e">
        <f>AND('UP133'!R15,"AAAAAH8T2/g=")</f>
        <v>#VALUE!</v>
      </c>
      <c r="IP53" t="e">
        <f>AND('UP133'!S15,"AAAAAH8T2/k=")</f>
        <v>#VALUE!</v>
      </c>
      <c r="IQ53" t="e">
        <f>AND('UP133'!T15,"AAAAAH8T2/o=")</f>
        <v>#VALUE!</v>
      </c>
      <c r="IR53" t="e">
        <f>AND('UP133'!U15,"AAAAAH8T2/s=")</f>
        <v>#VALUE!</v>
      </c>
      <c r="IS53" t="e">
        <f>AND('UP133'!V15,"AAAAAH8T2/w=")</f>
        <v>#VALUE!</v>
      </c>
      <c r="IT53" t="e">
        <f>AND('UP133'!W15,"AAAAAH8T2/0=")</f>
        <v>#VALUE!</v>
      </c>
      <c r="IU53" t="e">
        <f>AND('UP133'!X15,"AAAAAH8T2/4=")</f>
        <v>#VALUE!</v>
      </c>
      <c r="IV53" t="e">
        <f>AND('UP133'!Y15,"AAAAAH8T2/8=")</f>
        <v>#VALUE!</v>
      </c>
    </row>
    <row r="54" spans="1:256">
      <c r="A54" t="e">
        <f>AND('UP133'!Z15,"AAAAAF9//wA=")</f>
        <v>#VALUE!</v>
      </c>
      <c r="B54" t="e">
        <f>AND('UP133'!AA15,"AAAAAF9//wE=")</f>
        <v>#VALUE!</v>
      </c>
      <c r="C54" t="e">
        <f>AND('UP133'!AB15,"AAAAAF9//wI=")</f>
        <v>#VALUE!</v>
      </c>
      <c r="D54" t="e">
        <f>AND('UP133'!AC15,"AAAAAF9//wM=")</f>
        <v>#VALUE!</v>
      </c>
      <c r="E54" t="e">
        <f>AND('UP133'!AD15,"AAAAAF9//wQ=")</f>
        <v>#VALUE!</v>
      </c>
      <c r="F54" t="e">
        <f>AND('UP133'!AE15,"AAAAAF9//wU=")</f>
        <v>#VALUE!</v>
      </c>
      <c r="G54" t="e">
        <f>AND('UP133'!AF15,"AAAAAF9//wY=")</f>
        <v>#VALUE!</v>
      </c>
      <c r="H54" t="e">
        <f>AND('UP133'!AG15,"AAAAAF9//wc=")</f>
        <v>#VALUE!</v>
      </c>
      <c r="I54" t="e">
        <f>AND('UP133'!AH15,"AAAAAF9//wg=")</f>
        <v>#VALUE!</v>
      </c>
      <c r="J54" t="e">
        <f>AND('UP133'!AI15,"AAAAAF9//wk=")</f>
        <v>#VALUE!</v>
      </c>
      <c r="K54" t="e">
        <f>AND('UP133'!AJ15,"AAAAAF9//wo=")</f>
        <v>#VALUE!</v>
      </c>
      <c r="L54" t="e">
        <f>AND('UP133'!AK15,"AAAAAF9//ws=")</f>
        <v>#VALUE!</v>
      </c>
      <c r="M54" t="e">
        <f>AND('UP133'!AL15,"AAAAAF9//ww=")</f>
        <v>#VALUE!</v>
      </c>
      <c r="N54" t="e">
        <f>AND('UP133'!AM15,"AAAAAF9//w0=")</f>
        <v>#VALUE!</v>
      </c>
      <c r="O54" t="e">
        <f>AND('UP133'!AN15,"AAAAAF9//w4=")</f>
        <v>#VALUE!</v>
      </c>
      <c r="P54" t="e">
        <f>AND('UP133'!AO15,"AAAAAF9//w8=")</f>
        <v>#VALUE!</v>
      </c>
      <c r="Q54" t="e">
        <f>AND('UP133'!AP15,"AAAAAF9//xA=")</f>
        <v>#VALUE!</v>
      </c>
      <c r="R54" t="e">
        <f>AND('UP133'!AQ15,"AAAAAF9//xE=")</f>
        <v>#VALUE!</v>
      </c>
      <c r="S54" t="e">
        <f>AND('UP133'!AR15,"AAAAAF9//xI=")</f>
        <v>#VALUE!</v>
      </c>
      <c r="T54" t="e">
        <f>AND('UP133'!AS15,"AAAAAF9//xM=")</f>
        <v>#VALUE!</v>
      </c>
      <c r="U54" t="e">
        <f>AND('UP133'!AT15,"AAAAAF9//xQ=")</f>
        <v>#VALUE!</v>
      </c>
      <c r="V54" t="e">
        <f>AND('UP133'!AU15,"AAAAAF9//xU=")</f>
        <v>#VALUE!</v>
      </c>
      <c r="W54" t="e">
        <f>AND('UP133'!AV15,"AAAAAF9//xY=")</f>
        <v>#VALUE!</v>
      </c>
      <c r="X54" t="e">
        <f>AND('UP133'!AW15,"AAAAAF9//xc=")</f>
        <v>#VALUE!</v>
      </c>
      <c r="Y54" t="e">
        <f>AND('UP133'!AX15,"AAAAAF9//xg=")</f>
        <v>#VALUE!</v>
      </c>
      <c r="Z54" t="e">
        <f>AND('UP133'!AY15,"AAAAAF9//xk=")</f>
        <v>#VALUE!</v>
      </c>
      <c r="AA54" t="e">
        <f>AND('UP133'!AZ15,"AAAAAF9//xo=")</f>
        <v>#VALUE!</v>
      </c>
      <c r="AB54" t="e">
        <f>AND('UP133'!BA15,"AAAAAF9//xs=")</f>
        <v>#VALUE!</v>
      </c>
      <c r="AC54" t="e">
        <f>AND('UP133'!BB15,"AAAAAF9//xw=")</f>
        <v>#VALUE!</v>
      </c>
      <c r="AD54" t="e">
        <f>AND('UP133'!BC15,"AAAAAF9//x0=")</f>
        <v>#VALUE!</v>
      </c>
      <c r="AE54" t="e">
        <f>AND('UP133'!BD15,"AAAAAF9//x4=")</f>
        <v>#VALUE!</v>
      </c>
      <c r="AF54" t="e">
        <f>AND('UP133'!BE15,"AAAAAF9//x8=")</f>
        <v>#VALUE!</v>
      </c>
      <c r="AG54" t="e">
        <f>AND('UP133'!BF15,"AAAAAF9//yA=")</f>
        <v>#VALUE!</v>
      </c>
      <c r="AH54" t="e">
        <f>AND('UP133'!BG15,"AAAAAF9//yE=")</f>
        <v>#VALUE!</v>
      </c>
      <c r="AI54" t="e">
        <f>AND('UP133'!BH15,"AAAAAF9//yI=")</f>
        <v>#VALUE!</v>
      </c>
      <c r="AJ54" t="e">
        <f>AND('UP133'!BI15,"AAAAAF9//yM=")</f>
        <v>#VALUE!</v>
      </c>
      <c r="AK54" t="e">
        <f>AND('UP133'!BJ15,"AAAAAF9//yQ=")</f>
        <v>#VALUE!</v>
      </c>
      <c r="AL54" t="e">
        <f>AND('UP133'!BK15,"AAAAAF9//yU=")</f>
        <v>#VALUE!</v>
      </c>
      <c r="AM54" t="e">
        <f>AND('UP133'!BL15,"AAAAAF9//yY=")</f>
        <v>#VALUE!</v>
      </c>
      <c r="AN54" t="e">
        <f>AND('UP133'!BM15,"AAAAAF9//yc=")</f>
        <v>#VALUE!</v>
      </c>
      <c r="AO54" t="e">
        <f>AND('UP133'!BN15,"AAAAAF9//yg=")</f>
        <v>#VALUE!</v>
      </c>
      <c r="AP54" t="e">
        <f>AND('UP133'!BO15,"AAAAAF9//yk=")</f>
        <v>#VALUE!</v>
      </c>
      <c r="AQ54" t="e">
        <f>AND('UP133'!BP15,"AAAAAF9//yo=")</f>
        <v>#VALUE!</v>
      </c>
      <c r="AR54" t="e">
        <f>AND('UP133'!BQ15,"AAAAAF9//ys=")</f>
        <v>#VALUE!</v>
      </c>
      <c r="AS54" t="e">
        <f>AND('UP133'!BR15,"AAAAAF9//yw=")</f>
        <v>#VALUE!</v>
      </c>
      <c r="AT54" t="e">
        <f>AND('UP133'!BS15,"AAAAAF9//y0=")</f>
        <v>#VALUE!</v>
      </c>
      <c r="AU54" t="e">
        <f>AND('UP133'!BT15,"AAAAAF9//y4=")</f>
        <v>#VALUE!</v>
      </c>
      <c r="AV54" t="e">
        <f>AND('UP133'!BU15,"AAAAAF9//y8=")</f>
        <v>#VALUE!</v>
      </c>
      <c r="AW54" t="e">
        <f>AND('UP133'!BV15,"AAAAAF9//zA=")</f>
        <v>#VALUE!</v>
      </c>
      <c r="AX54" t="e">
        <f>AND('UP133'!BW15,"AAAAAF9//zE=")</f>
        <v>#VALUE!</v>
      </c>
      <c r="AY54" t="e">
        <f>AND('UP133'!BX15,"AAAAAF9//zI=")</f>
        <v>#VALUE!</v>
      </c>
      <c r="AZ54" t="e">
        <f>AND('UP133'!BY15,"AAAAAF9//zM=")</f>
        <v>#VALUE!</v>
      </c>
      <c r="BA54" t="e">
        <f>AND('UP133'!BZ15,"AAAAAF9//zQ=")</f>
        <v>#VALUE!</v>
      </c>
      <c r="BB54" t="e">
        <f>AND('UP133'!CA15,"AAAAAF9//zU=")</f>
        <v>#VALUE!</v>
      </c>
      <c r="BC54" t="e">
        <f>AND('UP133'!CB15,"AAAAAF9//zY=")</f>
        <v>#VALUE!</v>
      </c>
      <c r="BD54" t="e">
        <f>AND('UP133'!CC15,"AAAAAF9//zc=")</f>
        <v>#VALUE!</v>
      </c>
      <c r="BE54" t="e">
        <f>AND('UP133'!CD15,"AAAAAF9//zg=")</f>
        <v>#VALUE!</v>
      </c>
      <c r="BF54" t="e">
        <f>AND('UP133'!CE15,"AAAAAF9//zk=")</f>
        <v>#VALUE!</v>
      </c>
      <c r="BG54" t="e">
        <f>AND('UP133'!CF15,"AAAAAF9//zo=")</f>
        <v>#VALUE!</v>
      </c>
      <c r="BH54" t="e">
        <f>AND('UP133'!CG15,"AAAAAF9//zs=")</f>
        <v>#VALUE!</v>
      </c>
      <c r="BI54" t="e">
        <f>AND('UP133'!CH15,"AAAAAF9//zw=")</f>
        <v>#VALUE!</v>
      </c>
      <c r="BJ54" t="e">
        <f>AND('UP133'!CI15,"AAAAAF9//z0=")</f>
        <v>#VALUE!</v>
      </c>
      <c r="BK54" t="e">
        <f>AND('UP133'!CJ15,"AAAAAF9//z4=")</f>
        <v>#VALUE!</v>
      </c>
      <c r="BL54" t="e">
        <f>AND('UP133'!CK15,"AAAAAF9//z8=")</f>
        <v>#VALUE!</v>
      </c>
      <c r="BM54" t="e">
        <f>AND('UP133'!CL15,"AAAAAF9//0A=")</f>
        <v>#VALUE!</v>
      </c>
      <c r="BN54" t="e">
        <f>AND('UP133'!CM15,"AAAAAF9//0E=")</f>
        <v>#VALUE!</v>
      </c>
      <c r="BO54" t="e">
        <f>AND('UP133'!CN15,"AAAAAF9//0I=")</f>
        <v>#VALUE!</v>
      </c>
      <c r="BP54" t="e">
        <f>AND('UP133'!CO15,"AAAAAF9//0M=")</f>
        <v>#VALUE!</v>
      </c>
      <c r="BQ54" t="e">
        <f>AND('UP133'!CP15,"AAAAAF9//0Q=")</f>
        <v>#VALUE!</v>
      </c>
      <c r="BR54" t="e">
        <f>AND('UP133'!CQ15,"AAAAAF9//0U=")</f>
        <v>#VALUE!</v>
      </c>
      <c r="BS54" t="e">
        <f>AND('UP133'!CR15,"AAAAAF9//0Y=")</f>
        <v>#VALUE!</v>
      </c>
      <c r="BT54" t="e">
        <f>AND('UP133'!CS15,"AAAAAF9//0c=")</f>
        <v>#VALUE!</v>
      </c>
      <c r="BU54" t="e">
        <f>AND('UP133'!CT15,"AAAAAF9//0g=")</f>
        <v>#VALUE!</v>
      </c>
      <c r="BV54" t="e">
        <f>AND('UP133'!CU15,"AAAAAF9//0k=")</f>
        <v>#VALUE!</v>
      </c>
      <c r="BW54" t="e">
        <f>AND('UP133'!CV15,"AAAAAF9//0o=")</f>
        <v>#VALUE!</v>
      </c>
      <c r="BX54" t="e">
        <f>AND('UP133'!CW15,"AAAAAF9//0s=")</f>
        <v>#VALUE!</v>
      </c>
      <c r="BY54" t="e">
        <f>AND('UP133'!CX15,"AAAAAF9//0w=")</f>
        <v>#VALUE!</v>
      </c>
      <c r="BZ54" t="e">
        <f>AND('UP133'!CY15,"AAAAAF9//00=")</f>
        <v>#VALUE!</v>
      </c>
      <c r="CA54" t="e">
        <f>AND('UP133'!CZ15,"AAAAAF9//04=")</f>
        <v>#VALUE!</v>
      </c>
      <c r="CB54" t="e">
        <f>AND('UP133'!DA15,"AAAAAF9//08=")</f>
        <v>#VALUE!</v>
      </c>
      <c r="CC54" t="e">
        <f>AND('UP133'!DB15,"AAAAAF9//1A=")</f>
        <v>#VALUE!</v>
      </c>
      <c r="CD54" t="e">
        <f>AND('UP133'!DC15,"AAAAAF9//1E=")</f>
        <v>#VALUE!</v>
      </c>
      <c r="CE54" t="e">
        <f>AND('UP133'!DD15,"AAAAAF9//1I=")</f>
        <v>#VALUE!</v>
      </c>
      <c r="CF54" t="e">
        <f>AND('UP133'!DE15,"AAAAAF9//1M=")</f>
        <v>#VALUE!</v>
      </c>
      <c r="CG54" t="e">
        <f>AND('UP133'!DF15,"AAAAAF9//1Q=")</f>
        <v>#VALUE!</v>
      </c>
      <c r="CH54" t="e">
        <f>AND('UP133'!DG15,"AAAAAF9//1U=")</f>
        <v>#VALUE!</v>
      </c>
      <c r="CI54" t="e">
        <f>AND('UP133'!DH15,"AAAAAF9//1Y=")</f>
        <v>#VALUE!</v>
      </c>
      <c r="CJ54" t="e">
        <f>AND('UP133'!DI15,"AAAAAF9//1c=")</f>
        <v>#VALUE!</v>
      </c>
      <c r="CK54" t="e">
        <f>AND('UP133'!DJ15,"AAAAAF9//1g=")</f>
        <v>#VALUE!</v>
      </c>
      <c r="CL54" t="e">
        <f>AND('UP133'!DK15,"AAAAAF9//1k=")</f>
        <v>#VALUE!</v>
      </c>
      <c r="CM54" t="e">
        <f>AND('UP133'!DL15,"AAAAAF9//1o=")</f>
        <v>#VALUE!</v>
      </c>
      <c r="CN54" t="e">
        <f>AND('UP133'!DM15,"AAAAAF9//1s=")</f>
        <v>#VALUE!</v>
      </c>
      <c r="CO54" t="e">
        <f>AND('UP133'!DN15,"AAAAAF9//1w=")</f>
        <v>#VALUE!</v>
      </c>
      <c r="CP54" t="e">
        <f>AND('UP133'!DO15,"AAAAAF9//10=")</f>
        <v>#VALUE!</v>
      </c>
      <c r="CQ54" t="e">
        <f>AND('UP133'!DP15,"AAAAAF9//14=")</f>
        <v>#VALUE!</v>
      </c>
      <c r="CR54" t="e">
        <f>AND('UP133'!DQ15,"AAAAAF9//18=")</f>
        <v>#VALUE!</v>
      </c>
      <c r="CS54" t="e">
        <f>AND('UP133'!DR15,"AAAAAF9//2A=")</f>
        <v>#VALUE!</v>
      </c>
      <c r="CT54" t="e">
        <f>AND('UP133'!DS15,"AAAAAF9//2E=")</f>
        <v>#VALUE!</v>
      </c>
      <c r="CU54" t="e">
        <f>AND('UP133'!DT15,"AAAAAF9//2I=")</f>
        <v>#VALUE!</v>
      </c>
      <c r="CV54" t="e">
        <f>AND('UP133'!DU15,"AAAAAF9//2M=")</f>
        <v>#VALUE!</v>
      </c>
      <c r="CW54" t="e">
        <f>AND('UP133'!DV15,"AAAAAF9//2Q=")</f>
        <v>#VALUE!</v>
      </c>
      <c r="CX54" t="e">
        <f>AND('UP133'!DW15,"AAAAAF9//2U=")</f>
        <v>#VALUE!</v>
      </c>
      <c r="CY54" t="e">
        <f>AND('UP133'!DX15,"AAAAAF9//2Y=")</f>
        <v>#VALUE!</v>
      </c>
      <c r="CZ54" t="e">
        <f>AND('UP133'!DY15,"AAAAAF9//2c=")</f>
        <v>#VALUE!</v>
      </c>
      <c r="DA54" t="e">
        <f>AND('UP133'!DZ15,"AAAAAF9//2g=")</f>
        <v>#VALUE!</v>
      </c>
      <c r="DB54" t="e">
        <f>AND('UP133'!EA15,"AAAAAF9//2k=")</f>
        <v>#VALUE!</v>
      </c>
      <c r="DC54" t="e">
        <f>AND('UP133'!EB15,"AAAAAF9//2o=")</f>
        <v>#VALUE!</v>
      </c>
      <c r="DD54" t="e">
        <f>AND('UP133'!EC15,"AAAAAF9//2s=")</f>
        <v>#VALUE!</v>
      </c>
      <c r="DE54" t="e">
        <f>AND('UP133'!ED15,"AAAAAF9//2w=")</f>
        <v>#VALUE!</v>
      </c>
      <c r="DF54" t="e">
        <f>AND('UP133'!EE15,"AAAAAF9//20=")</f>
        <v>#VALUE!</v>
      </c>
      <c r="DG54" t="e">
        <f>AND('UP133'!EF15,"AAAAAF9//24=")</f>
        <v>#VALUE!</v>
      </c>
      <c r="DH54" t="e">
        <f>AND('UP133'!EG15,"AAAAAF9//28=")</f>
        <v>#VALUE!</v>
      </c>
      <c r="DI54" t="e">
        <f>AND('UP133'!EH15,"AAAAAF9//3A=")</f>
        <v>#VALUE!</v>
      </c>
      <c r="DJ54" t="e">
        <f>AND('UP133'!EI15,"AAAAAF9//3E=")</f>
        <v>#VALUE!</v>
      </c>
      <c r="DK54" t="e">
        <f>AND('UP133'!EJ15,"AAAAAF9//3I=")</f>
        <v>#VALUE!</v>
      </c>
      <c r="DL54" t="e">
        <f>AND('UP133'!EK15,"AAAAAF9//3M=")</f>
        <v>#VALUE!</v>
      </c>
      <c r="DM54" t="e">
        <f>AND('UP133'!EL15,"AAAAAF9//3Q=")</f>
        <v>#VALUE!</v>
      </c>
      <c r="DN54" t="e">
        <f>AND('UP133'!EM15,"AAAAAF9//3U=")</f>
        <v>#VALUE!</v>
      </c>
      <c r="DO54" t="e">
        <f>AND('UP133'!EN15,"AAAAAF9//3Y=")</f>
        <v>#VALUE!</v>
      </c>
      <c r="DP54" t="e">
        <f>AND('UP133'!EO15,"AAAAAF9//3c=")</f>
        <v>#VALUE!</v>
      </c>
      <c r="DQ54" t="e">
        <f>AND('UP133'!EP15,"AAAAAF9//3g=")</f>
        <v>#VALUE!</v>
      </c>
      <c r="DR54" t="e">
        <f>AND('UP133'!EQ15,"AAAAAF9//3k=")</f>
        <v>#VALUE!</v>
      </c>
      <c r="DS54" t="e">
        <f>AND('UP133'!ER15,"AAAAAF9//3o=")</f>
        <v>#VALUE!</v>
      </c>
      <c r="DT54" t="e">
        <f>AND('UP133'!ES15,"AAAAAF9//3s=")</f>
        <v>#VALUE!</v>
      </c>
      <c r="DU54" t="e">
        <f>AND('UP133'!ET15,"AAAAAF9//3w=")</f>
        <v>#VALUE!</v>
      </c>
      <c r="DV54" t="e">
        <f>AND('UP133'!EU15,"AAAAAF9//30=")</f>
        <v>#VALUE!</v>
      </c>
      <c r="DW54" t="e">
        <f>AND('UP133'!EV15,"AAAAAF9//34=")</f>
        <v>#VALUE!</v>
      </c>
      <c r="DX54" t="e">
        <f>AND('UP133'!EW15,"AAAAAF9//38=")</f>
        <v>#VALUE!</v>
      </c>
      <c r="DY54" t="e">
        <f>AND('UP133'!EX15,"AAAAAF9//4A=")</f>
        <v>#VALUE!</v>
      </c>
      <c r="DZ54" t="e">
        <f>AND('UP133'!EY15,"AAAAAF9//4E=")</f>
        <v>#VALUE!</v>
      </c>
      <c r="EA54" t="e">
        <f>AND('UP133'!EZ15,"AAAAAF9//4I=")</f>
        <v>#VALUE!</v>
      </c>
      <c r="EB54" t="e">
        <f>AND('UP133'!FA15,"AAAAAF9//4M=")</f>
        <v>#VALUE!</v>
      </c>
      <c r="EC54" t="e">
        <f>AND('UP133'!FB15,"AAAAAF9//4Q=")</f>
        <v>#VALUE!</v>
      </c>
      <c r="ED54" t="e">
        <f>AND('UP133'!FC15,"AAAAAF9//4U=")</f>
        <v>#VALUE!</v>
      </c>
      <c r="EE54" t="e">
        <f>AND('UP133'!FD15,"AAAAAF9//4Y=")</f>
        <v>#VALUE!</v>
      </c>
      <c r="EF54" t="e">
        <f>AND('UP133'!FE15,"AAAAAF9//4c=")</f>
        <v>#VALUE!</v>
      </c>
      <c r="EG54" t="e">
        <f>AND('UP133'!FF15,"AAAAAF9//4g=")</f>
        <v>#VALUE!</v>
      </c>
      <c r="EH54" t="e">
        <f>AND('UP133'!FG15,"AAAAAF9//4k=")</f>
        <v>#VALUE!</v>
      </c>
      <c r="EI54" t="e">
        <f>AND('UP133'!FH15,"AAAAAF9//4o=")</f>
        <v>#VALUE!</v>
      </c>
      <c r="EJ54" t="e">
        <f>AND('UP133'!FI15,"AAAAAF9//4s=")</f>
        <v>#VALUE!</v>
      </c>
      <c r="EK54" t="e">
        <f>AND('UP133'!FJ15,"AAAAAF9//4w=")</f>
        <v>#VALUE!</v>
      </c>
      <c r="EL54" t="e">
        <f>AND('UP133'!FK15,"AAAAAF9//40=")</f>
        <v>#VALUE!</v>
      </c>
      <c r="EM54" t="e">
        <f>AND('UP133'!FL15,"AAAAAF9//44=")</f>
        <v>#VALUE!</v>
      </c>
      <c r="EN54" t="e">
        <f>AND('UP133'!FM15,"AAAAAF9//48=")</f>
        <v>#VALUE!</v>
      </c>
      <c r="EO54" t="e">
        <f>AND('UP133'!FN15,"AAAAAF9//5A=")</f>
        <v>#VALUE!</v>
      </c>
      <c r="EP54" t="e">
        <f>AND('UP133'!FO15,"AAAAAF9//5E=")</f>
        <v>#VALUE!</v>
      </c>
      <c r="EQ54" t="e">
        <f>AND('UP133'!FP15,"AAAAAF9//5I=")</f>
        <v>#VALUE!</v>
      </c>
      <c r="ER54" t="e">
        <f>AND('UP133'!FQ15,"AAAAAF9//5M=")</f>
        <v>#VALUE!</v>
      </c>
      <c r="ES54" t="e">
        <f>AND('UP133'!FR15,"AAAAAF9//5Q=")</f>
        <v>#VALUE!</v>
      </c>
      <c r="ET54" t="e">
        <f>AND('UP133'!FS15,"AAAAAF9//5U=")</f>
        <v>#VALUE!</v>
      </c>
      <c r="EU54" t="e">
        <f>AND('UP133'!FT15,"AAAAAF9//5Y=")</f>
        <v>#VALUE!</v>
      </c>
      <c r="EV54" t="e">
        <f>AND('UP133'!FU15,"AAAAAF9//5c=")</f>
        <v>#VALUE!</v>
      </c>
      <c r="EW54" t="e">
        <f>AND('UP133'!FV15,"AAAAAF9//5g=")</f>
        <v>#VALUE!</v>
      </c>
      <c r="EX54" t="e">
        <f>AND('UP133'!FW15,"AAAAAF9//5k=")</f>
        <v>#VALUE!</v>
      </c>
      <c r="EY54" t="e">
        <f>AND('UP133'!FX15,"AAAAAF9//5o=")</f>
        <v>#VALUE!</v>
      </c>
      <c r="EZ54" t="e">
        <f>AND('UP133'!FY15,"AAAAAF9//5s=")</f>
        <v>#VALUE!</v>
      </c>
      <c r="FA54" t="e">
        <f>AND('UP133'!FZ15,"AAAAAF9//5w=")</f>
        <v>#VALUE!</v>
      </c>
      <c r="FB54" t="e">
        <f>AND('UP133'!GA15,"AAAAAF9//50=")</f>
        <v>#VALUE!</v>
      </c>
      <c r="FC54" t="e">
        <f>AND('UP133'!GB15,"AAAAAF9//54=")</f>
        <v>#VALUE!</v>
      </c>
      <c r="FD54" t="e">
        <f>AND('UP133'!GC15,"AAAAAF9//58=")</f>
        <v>#VALUE!</v>
      </c>
      <c r="FE54" t="e">
        <f>AND('UP133'!GD15,"AAAAAF9//6A=")</f>
        <v>#VALUE!</v>
      </c>
      <c r="FF54" t="e">
        <f>AND('UP133'!GE15,"AAAAAF9//6E=")</f>
        <v>#VALUE!</v>
      </c>
      <c r="FG54" t="e">
        <f>AND('UP133'!GF15,"AAAAAF9//6I=")</f>
        <v>#VALUE!</v>
      </c>
      <c r="FH54" t="e">
        <f>AND('UP133'!GG15,"AAAAAF9//6M=")</f>
        <v>#VALUE!</v>
      </c>
      <c r="FI54" t="e">
        <f>AND('UP133'!GH15,"AAAAAF9//6Q=")</f>
        <v>#VALUE!</v>
      </c>
      <c r="FJ54" t="e">
        <f>AND('UP133'!GI15,"AAAAAF9//6U=")</f>
        <v>#VALUE!</v>
      </c>
      <c r="FK54" t="e">
        <f>AND('UP133'!GJ15,"AAAAAF9//6Y=")</f>
        <v>#VALUE!</v>
      </c>
      <c r="FL54" t="e">
        <f>AND('UP133'!GK15,"AAAAAF9//6c=")</f>
        <v>#VALUE!</v>
      </c>
      <c r="FM54" t="e">
        <f>AND('UP133'!GL15,"AAAAAF9//6g=")</f>
        <v>#VALUE!</v>
      </c>
      <c r="FN54" t="e">
        <f>AND('UP133'!GM15,"AAAAAF9//6k=")</f>
        <v>#VALUE!</v>
      </c>
      <c r="FO54" t="e">
        <f>AND('UP133'!GN15,"AAAAAF9//6o=")</f>
        <v>#VALUE!</v>
      </c>
      <c r="FP54" t="e">
        <f>AND('UP133'!GO15,"AAAAAF9//6s=")</f>
        <v>#VALUE!</v>
      </c>
      <c r="FQ54" t="e">
        <f>AND('UP133'!GP15,"AAAAAF9//6w=")</f>
        <v>#VALUE!</v>
      </c>
      <c r="FR54" t="e">
        <f>AND('UP133'!GQ15,"AAAAAF9//60=")</f>
        <v>#VALUE!</v>
      </c>
      <c r="FS54" t="e">
        <f>AND('UP133'!GR15,"AAAAAF9//64=")</f>
        <v>#VALUE!</v>
      </c>
      <c r="FT54" t="e">
        <f>AND('UP133'!GS15,"AAAAAF9//68=")</f>
        <v>#VALUE!</v>
      </c>
      <c r="FU54" t="e">
        <f>AND('UP133'!GT15,"AAAAAF9//7A=")</f>
        <v>#VALUE!</v>
      </c>
      <c r="FV54" t="e">
        <f>AND('UP133'!GU15,"AAAAAF9//7E=")</f>
        <v>#VALUE!</v>
      </c>
      <c r="FW54" t="e">
        <f>AND('UP133'!GV15,"AAAAAF9//7I=")</f>
        <v>#VALUE!</v>
      </c>
      <c r="FX54" t="e">
        <f>AND('UP133'!GW15,"AAAAAF9//7M=")</f>
        <v>#VALUE!</v>
      </c>
      <c r="FY54" t="e">
        <f>AND('UP133'!GX15,"AAAAAF9//7Q=")</f>
        <v>#VALUE!</v>
      </c>
      <c r="FZ54" t="e">
        <f>AND('UP133'!GY15,"AAAAAF9//7U=")</f>
        <v>#VALUE!</v>
      </c>
      <c r="GA54" t="e">
        <f>AND('UP133'!GZ15,"AAAAAF9//7Y=")</f>
        <v>#VALUE!</v>
      </c>
      <c r="GB54" t="e">
        <f>AND('UP133'!HA15,"AAAAAF9//7c=")</f>
        <v>#VALUE!</v>
      </c>
      <c r="GC54" t="e">
        <f>AND('UP133'!HB15,"AAAAAF9//7g=")</f>
        <v>#VALUE!</v>
      </c>
      <c r="GD54" t="e">
        <f>AND('UP133'!HC15,"AAAAAF9//7k=")</f>
        <v>#VALUE!</v>
      </c>
      <c r="GE54" t="e">
        <f>AND('UP133'!HD15,"AAAAAF9//7o=")</f>
        <v>#VALUE!</v>
      </c>
      <c r="GF54" t="e">
        <f>AND('UP133'!HE15,"AAAAAF9//7s=")</f>
        <v>#VALUE!</v>
      </c>
      <c r="GG54" t="e">
        <f>AND('UP133'!HF15,"AAAAAF9//7w=")</f>
        <v>#VALUE!</v>
      </c>
      <c r="GH54" t="e">
        <f>AND('UP133'!HG15,"AAAAAF9//70=")</f>
        <v>#VALUE!</v>
      </c>
      <c r="GI54" t="e">
        <f>AND('UP133'!HH15,"AAAAAF9//74=")</f>
        <v>#VALUE!</v>
      </c>
      <c r="GJ54" t="e">
        <f>AND('UP133'!HI15,"AAAAAF9//78=")</f>
        <v>#VALUE!</v>
      </c>
      <c r="GK54" t="e">
        <f>AND('UP133'!HJ15,"AAAAAF9//8A=")</f>
        <v>#VALUE!</v>
      </c>
      <c r="GL54" t="e">
        <f>AND('UP133'!HK15,"AAAAAF9//8E=")</f>
        <v>#VALUE!</v>
      </c>
      <c r="GM54" t="e">
        <f>AND('UP133'!HL15,"AAAAAF9//8I=")</f>
        <v>#VALUE!</v>
      </c>
      <c r="GN54" t="e">
        <f>AND('UP133'!HM15,"AAAAAF9//8M=")</f>
        <v>#VALUE!</v>
      </c>
      <c r="GO54" t="e">
        <f>AND('UP133'!HN15,"AAAAAF9//8Q=")</f>
        <v>#VALUE!</v>
      </c>
      <c r="GP54" t="e">
        <f>AND('UP133'!HO15,"AAAAAF9//8U=")</f>
        <v>#VALUE!</v>
      </c>
      <c r="GQ54" t="e">
        <f>AND('UP133'!HP15,"AAAAAF9//8Y=")</f>
        <v>#VALUE!</v>
      </c>
      <c r="GR54" t="e">
        <f>AND('UP133'!HQ15,"AAAAAF9//8c=")</f>
        <v>#VALUE!</v>
      </c>
      <c r="GS54" t="e">
        <f>AND('UP133'!HR15,"AAAAAF9//8g=")</f>
        <v>#VALUE!</v>
      </c>
      <c r="GT54" t="e">
        <f>AND('UP133'!HS15,"AAAAAF9//8k=")</f>
        <v>#VALUE!</v>
      </c>
      <c r="GU54" t="e">
        <f>AND('UP133'!HT15,"AAAAAF9//8o=")</f>
        <v>#VALUE!</v>
      </c>
      <c r="GV54" t="e">
        <f>AND('UP133'!HU15,"AAAAAF9//8s=")</f>
        <v>#VALUE!</v>
      </c>
      <c r="GW54" t="e">
        <f>AND('UP133'!HV15,"AAAAAF9//8w=")</f>
        <v>#VALUE!</v>
      </c>
      <c r="GX54" t="e">
        <f>AND('UP133'!HW15,"AAAAAF9//80=")</f>
        <v>#VALUE!</v>
      </c>
      <c r="GY54" t="e">
        <f>AND('UP133'!HX15,"AAAAAF9//84=")</f>
        <v>#VALUE!</v>
      </c>
      <c r="GZ54" t="e">
        <f>AND('UP133'!HY15,"AAAAAF9//88=")</f>
        <v>#VALUE!</v>
      </c>
      <c r="HA54" t="e">
        <f>AND('UP133'!HZ15,"AAAAAF9//9A=")</f>
        <v>#VALUE!</v>
      </c>
      <c r="HB54" t="e">
        <f>AND('UP133'!IA15,"AAAAAF9//9E=")</f>
        <v>#VALUE!</v>
      </c>
      <c r="HC54" t="e">
        <f>AND('UP133'!IB15,"AAAAAF9//9I=")</f>
        <v>#VALUE!</v>
      </c>
      <c r="HD54" t="e">
        <f>AND('UP133'!IC15,"AAAAAF9//9M=")</f>
        <v>#VALUE!</v>
      </c>
      <c r="HE54" t="e">
        <f>AND('UP133'!ID15,"AAAAAF9//9Q=")</f>
        <v>#VALUE!</v>
      </c>
      <c r="HF54" t="e">
        <f>AND('UP133'!IE15,"AAAAAF9//9U=")</f>
        <v>#VALUE!</v>
      </c>
      <c r="HG54" t="e">
        <f>AND('UP133'!IF15,"AAAAAF9//9Y=")</f>
        <v>#VALUE!</v>
      </c>
      <c r="HH54" t="e">
        <f>AND('UP133'!IG15,"AAAAAF9//9c=")</f>
        <v>#VALUE!</v>
      </c>
      <c r="HI54" t="e">
        <f>AND('UP133'!IH15,"AAAAAF9//9g=")</f>
        <v>#VALUE!</v>
      </c>
      <c r="HJ54" t="e">
        <f>AND('UP133'!II15,"AAAAAF9//9k=")</f>
        <v>#VALUE!</v>
      </c>
      <c r="HK54" t="e">
        <f>AND('UP133'!IJ15,"AAAAAF9//9o=")</f>
        <v>#VALUE!</v>
      </c>
      <c r="HL54" t="e">
        <f>AND('UP133'!IK15,"AAAAAF9//9s=")</f>
        <v>#VALUE!</v>
      </c>
      <c r="HM54" t="e">
        <f>AND('UP133'!IL15,"AAAAAF9//9w=")</f>
        <v>#VALUE!</v>
      </c>
      <c r="HN54" t="e">
        <f>AND('UP133'!IM15,"AAAAAF9//90=")</f>
        <v>#VALUE!</v>
      </c>
      <c r="HO54" t="e">
        <f>AND('UP133'!IN15,"AAAAAF9//94=")</f>
        <v>#VALUE!</v>
      </c>
      <c r="HP54" t="e">
        <f>AND('UP133'!IO15,"AAAAAF9//98=")</f>
        <v>#VALUE!</v>
      </c>
      <c r="HQ54" t="e">
        <f>AND('UP133'!IP15,"AAAAAF9//+A=")</f>
        <v>#VALUE!</v>
      </c>
      <c r="HR54" t="e">
        <f>AND('UP133'!IQ15,"AAAAAF9//+E=")</f>
        <v>#VALUE!</v>
      </c>
      <c r="HS54">
        <f>IF('UP133'!16:16,"AAAAAF9//+I=",0)</f>
        <v>0</v>
      </c>
      <c r="HT54" t="e">
        <f>AND('UP133'!A16,"AAAAAF9//+M=")</f>
        <v>#VALUE!</v>
      </c>
      <c r="HU54" t="e">
        <f>AND('UP133'!B16,"AAAAAF9//+Q=")</f>
        <v>#VALUE!</v>
      </c>
      <c r="HV54" t="e">
        <f>AND('UP133'!C16,"AAAAAF9//+U=")</f>
        <v>#VALUE!</v>
      </c>
      <c r="HW54" t="e">
        <f>AND('UP133'!D16,"AAAAAF9//+Y=")</f>
        <v>#VALUE!</v>
      </c>
      <c r="HX54" t="e">
        <f>AND('UP133'!E16,"AAAAAF9//+c=")</f>
        <v>#VALUE!</v>
      </c>
      <c r="HY54" t="e">
        <f>AND('UP133'!F16,"AAAAAF9//+g=")</f>
        <v>#VALUE!</v>
      </c>
      <c r="HZ54" t="e">
        <f>AND('UP133'!G16,"AAAAAF9//+k=")</f>
        <v>#VALUE!</v>
      </c>
      <c r="IA54" t="e">
        <f>AND('UP133'!H16,"AAAAAF9//+o=")</f>
        <v>#VALUE!</v>
      </c>
      <c r="IB54" t="e">
        <f>AND('UP133'!I16,"AAAAAF9//+s=")</f>
        <v>#VALUE!</v>
      </c>
      <c r="IC54" t="e">
        <f>AND('UP133'!J16,"AAAAAF9//+w=")</f>
        <v>#VALUE!</v>
      </c>
      <c r="ID54" t="e">
        <f>AND('UP133'!K16,"AAAAAF9//+0=")</f>
        <v>#VALUE!</v>
      </c>
      <c r="IE54" t="e">
        <f>AND('UP133'!L16,"AAAAAF9//+4=")</f>
        <v>#VALUE!</v>
      </c>
      <c r="IF54" t="e">
        <f>AND('UP133'!M16,"AAAAAF9//+8=")</f>
        <v>#VALUE!</v>
      </c>
      <c r="IG54" t="e">
        <f>AND('UP133'!N16,"AAAAAF9///A=")</f>
        <v>#VALUE!</v>
      </c>
      <c r="IH54" t="e">
        <f>AND('UP133'!O16,"AAAAAF9///E=")</f>
        <v>#VALUE!</v>
      </c>
      <c r="II54" t="e">
        <f>AND('UP133'!P16,"AAAAAF9///I=")</f>
        <v>#VALUE!</v>
      </c>
      <c r="IJ54" t="e">
        <f>AND('UP133'!Q16,"AAAAAF9///M=")</f>
        <v>#VALUE!</v>
      </c>
      <c r="IK54" t="e">
        <f>AND('UP133'!R16,"AAAAAF9///Q=")</f>
        <v>#VALUE!</v>
      </c>
      <c r="IL54" t="e">
        <f>AND('UP133'!S16,"AAAAAF9///U=")</f>
        <v>#VALUE!</v>
      </c>
      <c r="IM54" t="e">
        <f>AND('UP133'!T16,"AAAAAF9///Y=")</f>
        <v>#VALUE!</v>
      </c>
      <c r="IN54" t="e">
        <f>AND('UP133'!U16,"AAAAAF9///c=")</f>
        <v>#VALUE!</v>
      </c>
      <c r="IO54" t="e">
        <f>AND('UP133'!V16,"AAAAAF9///g=")</f>
        <v>#VALUE!</v>
      </c>
      <c r="IP54" t="e">
        <f>AND('UP133'!W16,"AAAAAF9///k=")</f>
        <v>#VALUE!</v>
      </c>
      <c r="IQ54" t="e">
        <f>AND('UP133'!X16,"AAAAAF9///o=")</f>
        <v>#VALUE!</v>
      </c>
      <c r="IR54" t="e">
        <f>AND('UP133'!Y16,"AAAAAF9///s=")</f>
        <v>#VALUE!</v>
      </c>
      <c r="IS54" t="e">
        <f>AND('UP133'!Z16,"AAAAAF9///w=")</f>
        <v>#VALUE!</v>
      </c>
      <c r="IT54" t="e">
        <f>AND('UP133'!AA16,"AAAAAF9///0=")</f>
        <v>#VALUE!</v>
      </c>
      <c r="IU54" t="e">
        <f>AND('UP133'!AB16,"AAAAAF9///4=")</f>
        <v>#VALUE!</v>
      </c>
      <c r="IV54" t="e">
        <f>AND('UP133'!AC16,"AAAAAF9///8=")</f>
        <v>#VALUE!</v>
      </c>
    </row>
    <row r="55" spans="1:256">
      <c r="A55" t="e">
        <f>AND('UP133'!AD16,"AAAAAH9pdgA=")</f>
        <v>#VALUE!</v>
      </c>
      <c r="B55" t="e">
        <f>AND('UP133'!AE16,"AAAAAH9pdgE=")</f>
        <v>#VALUE!</v>
      </c>
      <c r="C55" t="e">
        <f>AND('UP133'!AF16,"AAAAAH9pdgI=")</f>
        <v>#VALUE!</v>
      </c>
      <c r="D55" t="e">
        <f>AND('UP133'!AG16,"AAAAAH9pdgM=")</f>
        <v>#VALUE!</v>
      </c>
      <c r="E55" t="e">
        <f>AND('UP133'!AH16,"AAAAAH9pdgQ=")</f>
        <v>#VALUE!</v>
      </c>
      <c r="F55" t="e">
        <f>AND('UP133'!AI16,"AAAAAH9pdgU=")</f>
        <v>#VALUE!</v>
      </c>
      <c r="G55" t="e">
        <f>AND('UP133'!AJ16,"AAAAAH9pdgY=")</f>
        <v>#VALUE!</v>
      </c>
      <c r="H55" t="e">
        <f>AND('UP133'!AK16,"AAAAAH9pdgc=")</f>
        <v>#VALUE!</v>
      </c>
      <c r="I55" t="e">
        <f>AND('UP133'!AL16,"AAAAAH9pdgg=")</f>
        <v>#VALUE!</v>
      </c>
      <c r="J55" t="e">
        <f>AND('UP133'!AM16,"AAAAAH9pdgk=")</f>
        <v>#VALUE!</v>
      </c>
      <c r="K55" t="e">
        <f>AND('UP133'!AN16,"AAAAAH9pdgo=")</f>
        <v>#VALUE!</v>
      </c>
      <c r="L55" t="e">
        <f>AND('UP133'!AO16,"AAAAAH9pdgs=")</f>
        <v>#VALUE!</v>
      </c>
      <c r="M55" t="e">
        <f>AND('UP133'!AP16,"AAAAAH9pdgw=")</f>
        <v>#VALUE!</v>
      </c>
      <c r="N55" t="e">
        <f>AND('UP133'!AQ16,"AAAAAH9pdg0=")</f>
        <v>#VALUE!</v>
      </c>
      <c r="O55" t="e">
        <f>AND('UP133'!AR16,"AAAAAH9pdg4=")</f>
        <v>#VALUE!</v>
      </c>
      <c r="P55" t="e">
        <f>AND('UP133'!AS16,"AAAAAH9pdg8=")</f>
        <v>#VALUE!</v>
      </c>
      <c r="Q55" t="e">
        <f>AND('UP133'!AT16,"AAAAAH9pdhA=")</f>
        <v>#VALUE!</v>
      </c>
      <c r="R55" t="e">
        <f>AND('UP133'!AU16,"AAAAAH9pdhE=")</f>
        <v>#VALUE!</v>
      </c>
      <c r="S55" t="e">
        <f>AND('UP133'!AV16,"AAAAAH9pdhI=")</f>
        <v>#VALUE!</v>
      </c>
      <c r="T55" t="e">
        <f>AND('UP133'!AW16,"AAAAAH9pdhM=")</f>
        <v>#VALUE!</v>
      </c>
      <c r="U55" t="e">
        <f>AND('UP133'!AX16,"AAAAAH9pdhQ=")</f>
        <v>#VALUE!</v>
      </c>
      <c r="V55" t="e">
        <f>AND('UP133'!AY16,"AAAAAH9pdhU=")</f>
        <v>#VALUE!</v>
      </c>
      <c r="W55" t="e">
        <f>AND('UP133'!AZ16,"AAAAAH9pdhY=")</f>
        <v>#VALUE!</v>
      </c>
      <c r="X55" t="e">
        <f>AND('UP133'!BA16,"AAAAAH9pdhc=")</f>
        <v>#VALUE!</v>
      </c>
      <c r="Y55" t="e">
        <f>AND('UP133'!BB16,"AAAAAH9pdhg=")</f>
        <v>#VALUE!</v>
      </c>
      <c r="Z55" t="e">
        <f>AND('UP133'!BC16,"AAAAAH9pdhk=")</f>
        <v>#VALUE!</v>
      </c>
      <c r="AA55" t="e">
        <f>AND('UP133'!BD16,"AAAAAH9pdho=")</f>
        <v>#VALUE!</v>
      </c>
      <c r="AB55" t="e">
        <f>AND('UP133'!BE16,"AAAAAH9pdhs=")</f>
        <v>#VALUE!</v>
      </c>
      <c r="AC55" t="e">
        <f>AND('UP133'!BF16,"AAAAAH9pdhw=")</f>
        <v>#VALUE!</v>
      </c>
      <c r="AD55" t="e">
        <f>AND('UP133'!BG16,"AAAAAH9pdh0=")</f>
        <v>#VALUE!</v>
      </c>
      <c r="AE55" t="e">
        <f>AND('UP133'!BH16,"AAAAAH9pdh4=")</f>
        <v>#VALUE!</v>
      </c>
      <c r="AF55" t="e">
        <f>AND('UP133'!BI16,"AAAAAH9pdh8=")</f>
        <v>#VALUE!</v>
      </c>
      <c r="AG55" t="e">
        <f>AND('UP133'!BJ16,"AAAAAH9pdiA=")</f>
        <v>#VALUE!</v>
      </c>
      <c r="AH55" t="e">
        <f>AND('UP133'!BK16,"AAAAAH9pdiE=")</f>
        <v>#VALUE!</v>
      </c>
      <c r="AI55" t="e">
        <f>AND('UP133'!BL16,"AAAAAH9pdiI=")</f>
        <v>#VALUE!</v>
      </c>
      <c r="AJ55" t="e">
        <f>AND('UP133'!BM16,"AAAAAH9pdiM=")</f>
        <v>#VALUE!</v>
      </c>
      <c r="AK55" t="e">
        <f>AND('UP133'!BN16,"AAAAAH9pdiQ=")</f>
        <v>#VALUE!</v>
      </c>
      <c r="AL55" t="e">
        <f>AND('UP133'!BO16,"AAAAAH9pdiU=")</f>
        <v>#VALUE!</v>
      </c>
      <c r="AM55" t="e">
        <f>AND('UP133'!BP16,"AAAAAH9pdiY=")</f>
        <v>#VALUE!</v>
      </c>
      <c r="AN55" t="e">
        <f>AND('UP133'!BQ16,"AAAAAH9pdic=")</f>
        <v>#VALUE!</v>
      </c>
      <c r="AO55" t="e">
        <f>AND('UP133'!BR16,"AAAAAH9pdig=")</f>
        <v>#VALUE!</v>
      </c>
      <c r="AP55" t="e">
        <f>AND('UP133'!BS16,"AAAAAH9pdik=")</f>
        <v>#VALUE!</v>
      </c>
      <c r="AQ55" t="e">
        <f>AND('UP133'!BT16,"AAAAAH9pdio=")</f>
        <v>#VALUE!</v>
      </c>
      <c r="AR55" t="e">
        <f>AND('UP133'!BU16,"AAAAAH9pdis=")</f>
        <v>#VALUE!</v>
      </c>
      <c r="AS55" t="e">
        <f>AND('UP133'!BV16,"AAAAAH9pdiw=")</f>
        <v>#VALUE!</v>
      </c>
      <c r="AT55" t="e">
        <f>AND('UP133'!BW16,"AAAAAH9pdi0=")</f>
        <v>#VALUE!</v>
      </c>
      <c r="AU55" t="e">
        <f>AND('UP133'!BX16,"AAAAAH9pdi4=")</f>
        <v>#VALUE!</v>
      </c>
      <c r="AV55" t="e">
        <f>AND('UP133'!BY16,"AAAAAH9pdi8=")</f>
        <v>#VALUE!</v>
      </c>
      <c r="AW55" t="e">
        <f>AND('UP133'!BZ16,"AAAAAH9pdjA=")</f>
        <v>#VALUE!</v>
      </c>
      <c r="AX55" t="e">
        <f>AND('UP133'!CA16,"AAAAAH9pdjE=")</f>
        <v>#VALUE!</v>
      </c>
      <c r="AY55" t="e">
        <f>AND('UP133'!CB16,"AAAAAH9pdjI=")</f>
        <v>#VALUE!</v>
      </c>
      <c r="AZ55" t="e">
        <f>AND('UP133'!CC16,"AAAAAH9pdjM=")</f>
        <v>#VALUE!</v>
      </c>
      <c r="BA55" t="e">
        <f>AND('UP133'!CD16,"AAAAAH9pdjQ=")</f>
        <v>#VALUE!</v>
      </c>
      <c r="BB55" t="e">
        <f>AND('UP133'!CE16,"AAAAAH9pdjU=")</f>
        <v>#VALUE!</v>
      </c>
      <c r="BC55" t="e">
        <f>AND('UP133'!CF16,"AAAAAH9pdjY=")</f>
        <v>#VALUE!</v>
      </c>
      <c r="BD55" t="e">
        <f>AND('UP133'!CG16,"AAAAAH9pdjc=")</f>
        <v>#VALUE!</v>
      </c>
      <c r="BE55" t="e">
        <f>AND('UP133'!CH16,"AAAAAH9pdjg=")</f>
        <v>#VALUE!</v>
      </c>
      <c r="BF55" t="e">
        <f>AND('UP133'!CI16,"AAAAAH9pdjk=")</f>
        <v>#VALUE!</v>
      </c>
      <c r="BG55" t="e">
        <f>AND('UP133'!CJ16,"AAAAAH9pdjo=")</f>
        <v>#VALUE!</v>
      </c>
      <c r="BH55" t="e">
        <f>AND('UP133'!CK16,"AAAAAH9pdjs=")</f>
        <v>#VALUE!</v>
      </c>
      <c r="BI55" t="e">
        <f>AND('UP133'!CL16,"AAAAAH9pdjw=")</f>
        <v>#VALUE!</v>
      </c>
      <c r="BJ55" t="e">
        <f>AND('UP133'!CM16,"AAAAAH9pdj0=")</f>
        <v>#VALUE!</v>
      </c>
      <c r="BK55" t="e">
        <f>AND('UP133'!CN16,"AAAAAH9pdj4=")</f>
        <v>#VALUE!</v>
      </c>
      <c r="BL55" t="e">
        <f>AND('UP133'!CO16,"AAAAAH9pdj8=")</f>
        <v>#VALUE!</v>
      </c>
      <c r="BM55" t="e">
        <f>AND('UP133'!CP16,"AAAAAH9pdkA=")</f>
        <v>#VALUE!</v>
      </c>
      <c r="BN55" t="e">
        <f>AND('UP133'!CQ16,"AAAAAH9pdkE=")</f>
        <v>#VALUE!</v>
      </c>
      <c r="BO55" t="e">
        <f>AND('UP133'!CR16,"AAAAAH9pdkI=")</f>
        <v>#VALUE!</v>
      </c>
      <c r="BP55" t="e">
        <f>AND('UP133'!CS16,"AAAAAH9pdkM=")</f>
        <v>#VALUE!</v>
      </c>
      <c r="BQ55" t="e">
        <f>AND('UP133'!CT16,"AAAAAH9pdkQ=")</f>
        <v>#VALUE!</v>
      </c>
      <c r="BR55" t="e">
        <f>AND('UP133'!CU16,"AAAAAH9pdkU=")</f>
        <v>#VALUE!</v>
      </c>
      <c r="BS55" t="e">
        <f>AND('UP133'!CV16,"AAAAAH9pdkY=")</f>
        <v>#VALUE!</v>
      </c>
      <c r="BT55" t="e">
        <f>AND('UP133'!CW16,"AAAAAH9pdkc=")</f>
        <v>#VALUE!</v>
      </c>
      <c r="BU55" t="e">
        <f>AND('UP133'!CX16,"AAAAAH9pdkg=")</f>
        <v>#VALUE!</v>
      </c>
      <c r="BV55" t="e">
        <f>AND('UP133'!CY16,"AAAAAH9pdkk=")</f>
        <v>#VALUE!</v>
      </c>
      <c r="BW55" t="e">
        <f>AND('UP133'!CZ16,"AAAAAH9pdko=")</f>
        <v>#VALUE!</v>
      </c>
      <c r="BX55" t="e">
        <f>AND('UP133'!DA16,"AAAAAH9pdks=")</f>
        <v>#VALUE!</v>
      </c>
      <c r="BY55" t="e">
        <f>AND('UP133'!DB16,"AAAAAH9pdkw=")</f>
        <v>#VALUE!</v>
      </c>
      <c r="BZ55" t="e">
        <f>AND('UP133'!DC16,"AAAAAH9pdk0=")</f>
        <v>#VALUE!</v>
      </c>
      <c r="CA55" t="e">
        <f>AND('UP133'!DD16,"AAAAAH9pdk4=")</f>
        <v>#VALUE!</v>
      </c>
      <c r="CB55" t="e">
        <f>AND('UP133'!DE16,"AAAAAH9pdk8=")</f>
        <v>#VALUE!</v>
      </c>
      <c r="CC55" t="e">
        <f>AND('UP133'!DF16,"AAAAAH9pdlA=")</f>
        <v>#VALUE!</v>
      </c>
      <c r="CD55" t="e">
        <f>AND('UP133'!DG16,"AAAAAH9pdlE=")</f>
        <v>#VALUE!</v>
      </c>
      <c r="CE55" t="e">
        <f>AND('UP133'!DH16,"AAAAAH9pdlI=")</f>
        <v>#VALUE!</v>
      </c>
      <c r="CF55" t="e">
        <f>AND('UP133'!DI16,"AAAAAH9pdlM=")</f>
        <v>#VALUE!</v>
      </c>
      <c r="CG55" t="e">
        <f>AND('UP133'!DJ16,"AAAAAH9pdlQ=")</f>
        <v>#VALUE!</v>
      </c>
      <c r="CH55" t="e">
        <f>AND('UP133'!DK16,"AAAAAH9pdlU=")</f>
        <v>#VALUE!</v>
      </c>
      <c r="CI55" t="e">
        <f>AND('UP133'!DL16,"AAAAAH9pdlY=")</f>
        <v>#VALUE!</v>
      </c>
      <c r="CJ55" t="e">
        <f>AND('UP133'!DM16,"AAAAAH9pdlc=")</f>
        <v>#VALUE!</v>
      </c>
      <c r="CK55" t="e">
        <f>AND('UP133'!DN16,"AAAAAH9pdlg=")</f>
        <v>#VALUE!</v>
      </c>
      <c r="CL55" t="e">
        <f>AND('UP133'!DO16,"AAAAAH9pdlk=")</f>
        <v>#VALUE!</v>
      </c>
      <c r="CM55" t="e">
        <f>AND('UP133'!DP16,"AAAAAH9pdlo=")</f>
        <v>#VALUE!</v>
      </c>
      <c r="CN55" t="e">
        <f>AND('UP133'!DQ16,"AAAAAH9pdls=")</f>
        <v>#VALUE!</v>
      </c>
      <c r="CO55" t="e">
        <f>AND('UP133'!DR16,"AAAAAH9pdlw=")</f>
        <v>#VALUE!</v>
      </c>
      <c r="CP55" t="e">
        <f>AND('UP133'!DS16,"AAAAAH9pdl0=")</f>
        <v>#VALUE!</v>
      </c>
      <c r="CQ55" t="e">
        <f>AND('UP133'!DT16,"AAAAAH9pdl4=")</f>
        <v>#VALUE!</v>
      </c>
      <c r="CR55" t="e">
        <f>AND('UP133'!DU16,"AAAAAH9pdl8=")</f>
        <v>#VALUE!</v>
      </c>
      <c r="CS55" t="e">
        <f>AND('UP133'!DV16,"AAAAAH9pdmA=")</f>
        <v>#VALUE!</v>
      </c>
      <c r="CT55" t="e">
        <f>AND('UP133'!DW16,"AAAAAH9pdmE=")</f>
        <v>#VALUE!</v>
      </c>
      <c r="CU55" t="e">
        <f>AND('UP133'!DX16,"AAAAAH9pdmI=")</f>
        <v>#VALUE!</v>
      </c>
      <c r="CV55" t="e">
        <f>AND('UP133'!DY16,"AAAAAH9pdmM=")</f>
        <v>#VALUE!</v>
      </c>
      <c r="CW55" t="e">
        <f>AND('UP133'!DZ16,"AAAAAH9pdmQ=")</f>
        <v>#VALUE!</v>
      </c>
      <c r="CX55" t="e">
        <f>AND('UP133'!EA16,"AAAAAH9pdmU=")</f>
        <v>#VALUE!</v>
      </c>
      <c r="CY55" t="e">
        <f>AND('UP133'!EB16,"AAAAAH9pdmY=")</f>
        <v>#VALUE!</v>
      </c>
      <c r="CZ55" t="e">
        <f>AND('UP133'!EC16,"AAAAAH9pdmc=")</f>
        <v>#VALUE!</v>
      </c>
      <c r="DA55" t="e">
        <f>AND('UP133'!ED16,"AAAAAH9pdmg=")</f>
        <v>#VALUE!</v>
      </c>
      <c r="DB55" t="e">
        <f>AND('UP133'!EE16,"AAAAAH9pdmk=")</f>
        <v>#VALUE!</v>
      </c>
      <c r="DC55" t="e">
        <f>AND('UP133'!EF16,"AAAAAH9pdmo=")</f>
        <v>#VALUE!</v>
      </c>
      <c r="DD55" t="e">
        <f>AND('UP133'!EG16,"AAAAAH9pdms=")</f>
        <v>#VALUE!</v>
      </c>
      <c r="DE55" t="e">
        <f>AND('UP133'!EH16,"AAAAAH9pdmw=")</f>
        <v>#VALUE!</v>
      </c>
      <c r="DF55" t="e">
        <f>AND('UP133'!EI16,"AAAAAH9pdm0=")</f>
        <v>#VALUE!</v>
      </c>
      <c r="DG55" t="e">
        <f>AND('UP133'!EJ16,"AAAAAH9pdm4=")</f>
        <v>#VALUE!</v>
      </c>
      <c r="DH55" t="e">
        <f>AND('UP133'!EK16,"AAAAAH9pdm8=")</f>
        <v>#VALUE!</v>
      </c>
      <c r="DI55" t="e">
        <f>AND('UP133'!EL16,"AAAAAH9pdnA=")</f>
        <v>#VALUE!</v>
      </c>
      <c r="DJ55" t="e">
        <f>AND('UP133'!EM16,"AAAAAH9pdnE=")</f>
        <v>#VALUE!</v>
      </c>
      <c r="DK55" t="e">
        <f>AND('UP133'!EN16,"AAAAAH9pdnI=")</f>
        <v>#VALUE!</v>
      </c>
      <c r="DL55" t="e">
        <f>AND('UP133'!EO16,"AAAAAH9pdnM=")</f>
        <v>#VALUE!</v>
      </c>
      <c r="DM55" t="e">
        <f>AND('UP133'!EP16,"AAAAAH9pdnQ=")</f>
        <v>#VALUE!</v>
      </c>
      <c r="DN55" t="e">
        <f>AND('UP133'!EQ16,"AAAAAH9pdnU=")</f>
        <v>#VALUE!</v>
      </c>
      <c r="DO55" t="e">
        <f>AND('UP133'!ER16,"AAAAAH9pdnY=")</f>
        <v>#VALUE!</v>
      </c>
      <c r="DP55" t="e">
        <f>AND('UP133'!ES16,"AAAAAH9pdnc=")</f>
        <v>#VALUE!</v>
      </c>
      <c r="DQ55" t="e">
        <f>AND('UP133'!ET16,"AAAAAH9pdng=")</f>
        <v>#VALUE!</v>
      </c>
      <c r="DR55" t="e">
        <f>AND('UP133'!EU16,"AAAAAH9pdnk=")</f>
        <v>#VALUE!</v>
      </c>
      <c r="DS55" t="e">
        <f>AND('UP133'!EV16,"AAAAAH9pdno=")</f>
        <v>#VALUE!</v>
      </c>
      <c r="DT55" t="e">
        <f>AND('UP133'!EW16,"AAAAAH9pdns=")</f>
        <v>#VALUE!</v>
      </c>
      <c r="DU55" t="e">
        <f>AND('UP133'!EX16,"AAAAAH9pdnw=")</f>
        <v>#VALUE!</v>
      </c>
      <c r="DV55" t="e">
        <f>AND('UP133'!EY16,"AAAAAH9pdn0=")</f>
        <v>#VALUE!</v>
      </c>
      <c r="DW55" t="e">
        <f>AND('UP133'!EZ16,"AAAAAH9pdn4=")</f>
        <v>#VALUE!</v>
      </c>
      <c r="DX55" t="e">
        <f>AND('UP133'!FA16,"AAAAAH9pdn8=")</f>
        <v>#VALUE!</v>
      </c>
      <c r="DY55" t="e">
        <f>AND('UP133'!FB16,"AAAAAH9pdoA=")</f>
        <v>#VALUE!</v>
      </c>
      <c r="DZ55" t="e">
        <f>AND('UP133'!FC16,"AAAAAH9pdoE=")</f>
        <v>#VALUE!</v>
      </c>
      <c r="EA55" t="e">
        <f>AND('UP133'!FD16,"AAAAAH9pdoI=")</f>
        <v>#VALUE!</v>
      </c>
      <c r="EB55" t="e">
        <f>AND('UP133'!FE16,"AAAAAH9pdoM=")</f>
        <v>#VALUE!</v>
      </c>
      <c r="EC55" t="e">
        <f>AND('UP133'!FF16,"AAAAAH9pdoQ=")</f>
        <v>#VALUE!</v>
      </c>
      <c r="ED55" t="e">
        <f>AND('UP133'!FG16,"AAAAAH9pdoU=")</f>
        <v>#VALUE!</v>
      </c>
      <c r="EE55" t="e">
        <f>AND('UP133'!FH16,"AAAAAH9pdoY=")</f>
        <v>#VALUE!</v>
      </c>
      <c r="EF55" t="e">
        <f>AND('UP133'!FI16,"AAAAAH9pdoc=")</f>
        <v>#VALUE!</v>
      </c>
      <c r="EG55" t="e">
        <f>AND('UP133'!FJ16,"AAAAAH9pdog=")</f>
        <v>#VALUE!</v>
      </c>
      <c r="EH55" t="e">
        <f>AND('UP133'!FK16,"AAAAAH9pdok=")</f>
        <v>#VALUE!</v>
      </c>
      <c r="EI55" t="e">
        <f>AND('UP133'!FL16,"AAAAAH9pdoo=")</f>
        <v>#VALUE!</v>
      </c>
      <c r="EJ55" t="e">
        <f>AND('UP133'!FM16,"AAAAAH9pdos=")</f>
        <v>#VALUE!</v>
      </c>
      <c r="EK55" t="e">
        <f>AND('UP133'!FN16,"AAAAAH9pdow=")</f>
        <v>#VALUE!</v>
      </c>
      <c r="EL55" t="e">
        <f>AND('UP133'!FO16,"AAAAAH9pdo0=")</f>
        <v>#VALUE!</v>
      </c>
      <c r="EM55" t="e">
        <f>AND('UP133'!FP16,"AAAAAH9pdo4=")</f>
        <v>#VALUE!</v>
      </c>
      <c r="EN55" t="e">
        <f>AND('UP133'!FQ16,"AAAAAH9pdo8=")</f>
        <v>#VALUE!</v>
      </c>
      <c r="EO55" t="e">
        <f>AND('UP133'!FR16,"AAAAAH9pdpA=")</f>
        <v>#VALUE!</v>
      </c>
      <c r="EP55" t="e">
        <f>AND('UP133'!FS16,"AAAAAH9pdpE=")</f>
        <v>#VALUE!</v>
      </c>
      <c r="EQ55" t="e">
        <f>AND('UP133'!FT16,"AAAAAH9pdpI=")</f>
        <v>#VALUE!</v>
      </c>
      <c r="ER55" t="e">
        <f>AND('UP133'!FU16,"AAAAAH9pdpM=")</f>
        <v>#VALUE!</v>
      </c>
      <c r="ES55" t="e">
        <f>AND('UP133'!FV16,"AAAAAH9pdpQ=")</f>
        <v>#VALUE!</v>
      </c>
      <c r="ET55" t="e">
        <f>AND('UP133'!FW16,"AAAAAH9pdpU=")</f>
        <v>#VALUE!</v>
      </c>
      <c r="EU55" t="e">
        <f>AND('UP133'!FX16,"AAAAAH9pdpY=")</f>
        <v>#VALUE!</v>
      </c>
      <c r="EV55" t="e">
        <f>AND('UP133'!FY16,"AAAAAH9pdpc=")</f>
        <v>#VALUE!</v>
      </c>
      <c r="EW55" t="e">
        <f>AND('UP133'!FZ16,"AAAAAH9pdpg=")</f>
        <v>#VALUE!</v>
      </c>
      <c r="EX55" t="e">
        <f>AND('UP133'!GA16,"AAAAAH9pdpk=")</f>
        <v>#VALUE!</v>
      </c>
      <c r="EY55" t="e">
        <f>AND('UP133'!GB16,"AAAAAH9pdpo=")</f>
        <v>#VALUE!</v>
      </c>
      <c r="EZ55" t="e">
        <f>AND('UP133'!GC16,"AAAAAH9pdps=")</f>
        <v>#VALUE!</v>
      </c>
      <c r="FA55" t="e">
        <f>AND('UP133'!GD16,"AAAAAH9pdpw=")</f>
        <v>#VALUE!</v>
      </c>
      <c r="FB55" t="e">
        <f>AND('UP133'!GE16,"AAAAAH9pdp0=")</f>
        <v>#VALUE!</v>
      </c>
      <c r="FC55" t="e">
        <f>AND('UP133'!GF16,"AAAAAH9pdp4=")</f>
        <v>#VALUE!</v>
      </c>
      <c r="FD55" t="e">
        <f>AND('UP133'!GG16,"AAAAAH9pdp8=")</f>
        <v>#VALUE!</v>
      </c>
      <c r="FE55" t="e">
        <f>AND('UP133'!GH16,"AAAAAH9pdqA=")</f>
        <v>#VALUE!</v>
      </c>
      <c r="FF55" t="e">
        <f>AND('UP133'!GI16,"AAAAAH9pdqE=")</f>
        <v>#VALUE!</v>
      </c>
      <c r="FG55" t="e">
        <f>AND('UP133'!GJ16,"AAAAAH9pdqI=")</f>
        <v>#VALUE!</v>
      </c>
      <c r="FH55" t="e">
        <f>AND('UP133'!GK16,"AAAAAH9pdqM=")</f>
        <v>#VALUE!</v>
      </c>
      <c r="FI55" t="e">
        <f>AND('UP133'!GL16,"AAAAAH9pdqQ=")</f>
        <v>#VALUE!</v>
      </c>
      <c r="FJ55" t="e">
        <f>AND('UP133'!GM16,"AAAAAH9pdqU=")</f>
        <v>#VALUE!</v>
      </c>
      <c r="FK55" t="e">
        <f>AND('UP133'!GN16,"AAAAAH9pdqY=")</f>
        <v>#VALUE!</v>
      </c>
      <c r="FL55" t="e">
        <f>AND('UP133'!GO16,"AAAAAH9pdqc=")</f>
        <v>#VALUE!</v>
      </c>
      <c r="FM55" t="e">
        <f>AND('UP133'!GP16,"AAAAAH9pdqg=")</f>
        <v>#VALUE!</v>
      </c>
      <c r="FN55" t="e">
        <f>AND('UP133'!GQ16,"AAAAAH9pdqk=")</f>
        <v>#VALUE!</v>
      </c>
      <c r="FO55" t="e">
        <f>AND('UP133'!GR16,"AAAAAH9pdqo=")</f>
        <v>#VALUE!</v>
      </c>
      <c r="FP55" t="e">
        <f>AND('UP133'!GS16,"AAAAAH9pdqs=")</f>
        <v>#VALUE!</v>
      </c>
      <c r="FQ55" t="e">
        <f>AND('UP133'!GT16,"AAAAAH9pdqw=")</f>
        <v>#VALUE!</v>
      </c>
      <c r="FR55" t="e">
        <f>AND('UP133'!GU16,"AAAAAH9pdq0=")</f>
        <v>#VALUE!</v>
      </c>
      <c r="FS55" t="e">
        <f>AND('UP133'!GV16,"AAAAAH9pdq4=")</f>
        <v>#VALUE!</v>
      </c>
      <c r="FT55" t="e">
        <f>AND('UP133'!GW16,"AAAAAH9pdq8=")</f>
        <v>#VALUE!</v>
      </c>
      <c r="FU55" t="e">
        <f>AND('UP133'!GX16,"AAAAAH9pdrA=")</f>
        <v>#VALUE!</v>
      </c>
      <c r="FV55" t="e">
        <f>AND('UP133'!GY16,"AAAAAH9pdrE=")</f>
        <v>#VALUE!</v>
      </c>
      <c r="FW55" t="e">
        <f>AND('UP133'!GZ16,"AAAAAH9pdrI=")</f>
        <v>#VALUE!</v>
      </c>
      <c r="FX55" t="e">
        <f>AND('UP133'!HA16,"AAAAAH9pdrM=")</f>
        <v>#VALUE!</v>
      </c>
      <c r="FY55" t="e">
        <f>AND('UP133'!HB16,"AAAAAH9pdrQ=")</f>
        <v>#VALUE!</v>
      </c>
      <c r="FZ55" t="e">
        <f>AND('UP133'!HC16,"AAAAAH9pdrU=")</f>
        <v>#VALUE!</v>
      </c>
      <c r="GA55" t="e">
        <f>AND('UP133'!HD16,"AAAAAH9pdrY=")</f>
        <v>#VALUE!</v>
      </c>
      <c r="GB55" t="e">
        <f>AND('UP133'!HE16,"AAAAAH9pdrc=")</f>
        <v>#VALUE!</v>
      </c>
      <c r="GC55" t="e">
        <f>AND('UP133'!HF16,"AAAAAH9pdrg=")</f>
        <v>#VALUE!</v>
      </c>
      <c r="GD55" t="e">
        <f>AND('UP133'!HG16,"AAAAAH9pdrk=")</f>
        <v>#VALUE!</v>
      </c>
      <c r="GE55" t="e">
        <f>AND('UP133'!HH16,"AAAAAH9pdro=")</f>
        <v>#VALUE!</v>
      </c>
      <c r="GF55" t="e">
        <f>AND('UP133'!HI16,"AAAAAH9pdrs=")</f>
        <v>#VALUE!</v>
      </c>
      <c r="GG55" t="e">
        <f>AND('UP133'!HJ16,"AAAAAH9pdrw=")</f>
        <v>#VALUE!</v>
      </c>
      <c r="GH55" t="e">
        <f>AND('UP133'!HK16,"AAAAAH9pdr0=")</f>
        <v>#VALUE!</v>
      </c>
      <c r="GI55" t="e">
        <f>AND('UP133'!HL16,"AAAAAH9pdr4=")</f>
        <v>#VALUE!</v>
      </c>
      <c r="GJ55" t="e">
        <f>AND('UP133'!HM16,"AAAAAH9pdr8=")</f>
        <v>#VALUE!</v>
      </c>
      <c r="GK55" t="e">
        <f>AND('UP133'!HN16,"AAAAAH9pdsA=")</f>
        <v>#VALUE!</v>
      </c>
      <c r="GL55" t="e">
        <f>AND('UP133'!HO16,"AAAAAH9pdsE=")</f>
        <v>#VALUE!</v>
      </c>
      <c r="GM55" t="e">
        <f>AND('UP133'!HP16,"AAAAAH9pdsI=")</f>
        <v>#VALUE!</v>
      </c>
      <c r="GN55" t="e">
        <f>AND('UP133'!HQ16,"AAAAAH9pdsM=")</f>
        <v>#VALUE!</v>
      </c>
      <c r="GO55" t="e">
        <f>AND('UP133'!HR16,"AAAAAH9pdsQ=")</f>
        <v>#VALUE!</v>
      </c>
      <c r="GP55" t="e">
        <f>AND('UP133'!HS16,"AAAAAH9pdsU=")</f>
        <v>#VALUE!</v>
      </c>
      <c r="GQ55" t="e">
        <f>AND('UP133'!HT16,"AAAAAH9pdsY=")</f>
        <v>#VALUE!</v>
      </c>
      <c r="GR55" t="e">
        <f>AND('UP133'!HU16,"AAAAAH9pdsc=")</f>
        <v>#VALUE!</v>
      </c>
      <c r="GS55" t="e">
        <f>AND('UP133'!HV16,"AAAAAH9pdsg=")</f>
        <v>#VALUE!</v>
      </c>
      <c r="GT55" t="e">
        <f>AND('UP133'!HW16,"AAAAAH9pdsk=")</f>
        <v>#VALUE!</v>
      </c>
      <c r="GU55" t="e">
        <f>AND('UP133'!HX16,"AAAAAH9pdso=")</f>
        <v>#VALUE!</v>
      </c>
      <c r="GV55" t="e">
        <f>AND('UP133'!HY16,"AAAAAH9pdss=")</f>
        <v>#VALUE!</v>
      </c>
      <c r="GW55" t="e">
        <f>AND('UP133'!HZ16,"AAAAAH9pdsw=")</f>
        <v>#VALUE!</v>
      </c>
      <c r="GX55" t="e">
        <f>AND('UP133'!IA16,"AAAAAH9pds0=")</f>
        <v>#VALUE!</v>
      </c>
      <c r="GY55" t="e">
        <f>AND('UP133'!IB16,"AAAAAH9pds4=")</f>
        <v>#VALUE!</v>
      </c>
      <c r="GZ55" t="e">
        <f>AND('UP133'!IC16,"AAAAAH9pds8=")</f>
        <v>#VALUE!</v>
      </c>
      <c r="HA55" t="e">
        <f>AND('UP133'!ID16,"AAAAAH9pdtA=")</f>
        <v>#VALUE!</v>
      </c>
      <c r="HB55" t="e">
        <f>AND('UP133'!IE16,"AAAAAH9pdtE=")</f>
        <v>#VALUE!</v>
      </c>
      <c r="HC55" t="e">
        <f>AND('UP133'!IF16,"AAAAAH9pdtI=")</f>
        <v>#VALUE!</v>
      </c>
      <c r="HD55" t="e">
        <f>AND('UP133'!IG16,"AAAAAH9pdtM=")</f>
        <v>#VALUE!</v>
      </c>
      <c r="HE55" t="e">
        <f>AND('UP133'!IH16,"AAAAAH9pdtQ=")</f>
        <v>#VALUE!</v>
      </c>
      <c r="HF55" t="e">
        <f>AND('UP133'!II16,"AAAAAH9pdtU=")</f>
        <v>#VALUE!</v>
      </c>
      <c r="HG55" t="e">
        <f>AND('UP133'!IJ16,"AAAAAH9pdtY=")</f>
        <v>#VALUE!</v>
      </c>
      <c r="HH55" t="e">
        <f>AND('UP133'!IK16,"AAAAAH9pdtc=")</f>
        <v>#VALUE!</v>
      </c>
      <c r="HI55" t="e">
        <f>AND('UP133'!IL16,"AAAAAH9pdtg=")</f>
        <v>#VALUE!</v>
      </c>
      <c r="HJ55" t="e">
        <f>AND('UP133'!IM16,"AAAAAH9pdtk=")</f>
        <v>#VALUE!</v>
      </c>
      <c r="HK55" t="e">
        <f>AND('UP133'!IN16,"AAAAAH9pdto=")</f>
        <v>#VALUE!</v>
      </c>
      <c r="HL55" t="e">
        <f>AND('UP133'!IO16,"AAAAAH9pdts=")</f>
        <v>#VALUE!</v>
      </c>
      <c r="HM55" t="e">
        <f>AND('UP133'!IP16,"AAAAAH9pdtw=")</f>
        <v>#VALUE!</v>
      </c>
      <c r="HN55" t="e">
        <f>AND('UP133'!IQ16,"AAAAAH9pdt0=")</f>
        <v>#VALUE!</v>
      </c>
      <c r="HO55">
        <f>IF('UP133'!17:17,"AAAAAH9pdt4=",0)</f>
        <v>0</v>
      </c>
      <c r="HP55" t="e">
        <f>AND('UP133'!A17,"AAAAAH9pdt8=")</f>
        <v>#VALUE!</v>
      </c>
      <c r="HQ55" t="e">
        <f>AND('UP133'!B17,"AAAAAH9pduA=")</f>
        <v>#VALUE!</v>
      </c>
      <c r="HR55" t="e">
        <f>AND('UP133'!C17,"AAAAAH9pduE=")</f>
        <v>#VALUE!</v>
      </c>
      <c r="HS55" t="e">
        <f>AND('UP133'!D17,"AAAAAH9pduI=")</f>
        <v>#VALUE!</v>
      </c>
      <c r="HT55" t="e">
        <f>AND('UP133'!E17,"AAAAAH9pduM=")</f>
        <v>#VALUE!</v>
      </c>
      <c r="HU55" t="e">
        <f>AND('UP133'!F17,"AAAAAH9pduQ=")</f>
        <v>#VALUE!</v>
      </c>
      <c r="HV55" t="e">
        <f>AND('UP133'!G17,"AAAAAH9pduU=")</f>
        <v>#VALUE!</v>
      </c>
      <c r="HW55" t="e">
        <f>AND('UP133'!H17,"AAAAAH9pduY=")</f>
        <v>#VALUE!</v>
      </c>
      <c r="HX55" t="e">
        <f>AND('UP133'!I17,"AAAAAH9pduc=")</f>
        <v>#VALUE!</v>
      </c>
      <c r="HY55" t="e">
        <f>AND('UP133'!J17,"AAAAAH9pdug=")</f>
        <v>#VALUE!</v>
      </c>
      <c r="HZ55" t="e">
        <f>AND('UP133'!K17,"AAAAAH9pduk=")</f>
        <v>#VALUE!</v>
      </c>
      <c r="IA55" t="e">
        <f>AND('UP133'!L17,"AAAAAH9pduo=")</f>
        <v>#VALUE!</v>
      </c>
      <c r="IB55" t="e">
        <f>AND('UP133'!M17,"AAAAAH9pdus=")</f>
        <v>#VALUE!</v>
      </c>
      <c r="IC55" t="e">
        <f>AND('UP133'!N17,"AAAAAH9pduw=")</f>
        <v>#VALUE!</v>
      </c>
      <c r="ID55" t="e">
        <f>AND('UP133'!O17,"AAAAAH9pdu0=")</f>
        <v>#VALUE!</v>
      </c>
      <c r="IE55" t="e">
        <f>AND('UP133'!P17,"AAAAAH9pdu4=")</f>
        <v>#VALUE!</v>
      </c>
      <c r="IF55" t="e">
        <f>AND('UP133'!Q17,"AAAAAH9pdu8=")</f>
        <v>#VALUE!</v>
      </c>
      <c r="IG55" t="e">
        <f>AND('UP133'!R17,"AAAAAH9pdvA=")</f>
        <v>#VALUE!</v>
      </c>
      <c r="IH55" t="e">
        <f>AND('UP133'!S17,"AAAAAH9pdvE=")</f>
        <v>#VALUE!</v>
      </c>
      <c r="II55" t="e">
        <f>AND('UP133'!T17,"AAAAAH9pdvI=")</f>
        <v>#VALUE!</v>
      </c>
      <c r="IJ55" t="e">
        <f>AND('UP133'!U17,"AAAAAH9pdvM=")</f>
        <v>#VALUE!</v>
      </c>
      <c r="IK55" t="e">
        <f>AND('UP133'!V17,"AAAAAH9pdvQ=")</f>
        <v>#VALUE!</v>
      </c>
      <c r="IL55" t="e">
        <f>AND('UP133'!W17,"AAAAAH9pdvU=")</f>
        <v>#VALUE!</v>
      </c>
      <c r="IM55" t="e">
        <f>AND('UP133'!X17,"AAAAAH9pdvY=")</f>
        <v>#VALUE!</v>
      </c>
      <c r="IN55" t="e">
        <f>AND('UP133'!Y17,"AAAAAH9pdvc=")</f>
        <v>#VALUE!</v>
      </c>
      <c r="IO55" t="e">
        <f>AND('UP133'!Z17,"AAAAAH9pdvg=")</f>
        <v>#VALUE!</v>
      </c>
      <c r="IP55" t="e">
        <f>AND('UP133'!AA17,"AAAAAH9pdvk=")</f>
        <v>#VALUE!</v>
      </c>
      <c r="IQ55" t="e">
        <f>AND('UP133'!AB17,"AAAAAH9pdvo=")</f>
        <v>#VALUE!</v>
      </c>
      <c r="IR55" t="e">
        <f>AND('UP133'!AC17,"AAAAAH9pdvs=")</f>
        <v>#VALUE!</v>
      </c>
      <c r="IS55" t="e">
        <f>AND('UP133'!AD17,"AAAAAH9pdvw=")</f>
        <v>#VALUE!</v>
      </c>
      <c r="IT55" t="e">
        <f>AND('UP133'!AE17,"AAAAAH9pdv0=")</f>
        <v>#VALUE!</v>
      </c>
      <c r="IU55" t="e">
        <f>AND('UP133'!AF17,"AAAAAH9pdv4=")</f>
        <v>#VALUE!</v>
      </c>
      <c r="IV55" t="e">
        <f>AND('UP133'!AG17,"AAAAAH9pdv8=")</f>
        <v>#VALUE!</v>
      </c>
    </row>
    <row r="56" spans="1:256">
      <c r="A56" t="e">
        <f>AND('UP133'!AH17,"AAAAAH814wA=")</f>
        <v>#VALUE!</v>
      </c>
      <c r="B56" t="e">
        <f>AND('UP133'!AI17,"AAAAAH814wE=")</f>
        <v>#VALUE!</v>
      </c>
      <c r="C56" t="e">
        <f>AND('UP133'!AJ17,"AAAAAH814wI=")</f>
        <v>#VALUE!</v>
      </c>
      <c r="D56" t="e">
        <f>AND('UP133'!AK17,"AAAAAH814wM=")</f>
        <v>#VALUE!</v>
      </c>
      <c r="E56" t="e">
        <f>AND('UP133'!AL17,"AAAAAH814wQ=")</f>
        <v>#VALUE!</v>
      </c>
      <c r="F56" t="e">
        <f>AND('UP133'!AM17,"AAAAAH814wU=")</f>
        <v>#VALUE!</v>
      </c>
      <c r="G56" t="e">
        <f>AND('UP133'!AN17,"AAAAAH814wY=")</f>
        <v>#VALUE!</v>
      </c>
      <c r="H56" t="e">
        <f>AND('UP133'!AO17,"AAAAAH814wc=")</f>
        <v>#VALUE!</v>
      </c>
      <c r="I56" t="e">
        <f>AND('UP133'!AP17,"AAAAAH814wg=")</f>
        <v>#VALUE!</v>
      </c>
      <c r="J56" t="e">
        <f>AND('UP133'!AQ17,"AAAAAH814wk=")</f>
        <v>#VALUE!</v>
      </c>
      <c r="K56" t="e">
        <f>AND('UP133'!AR17,"AAAAAH814wo=")</f>
        <v>#VALUE!</v>
      </c>
      <c r="L56" t="e">
        <f>AND('UP133'!AS17,"AAAAAH814ws=")</f>
        <v>#VALUE!</v>
      </c>
      <c r="M56" t="e">
        <f>AND('UP133'!AT17,"AAAAAH814ww=")</f>
        <v>#VALUE!</v>
      </c>
      <c r="N56" t="e">
        <f>AND('UP133'!AU17,"AAAAAH814w0=")</f>
        <v>#VALUE!</v>
      </c>
      <c r="O56" t="e">
        <f>AND('UP133'!AV17,"AAAAAH814w4=")</f>
        <v>#VALUE!</v>
      </c>
      <c r="P56" t="e">
        <f>AND('UP133'!AW17,"AAAAAH814w8=")</f>
        <v>#VALUE!</v>
      </c>
      <c r="Q56" t="e">
        <f>AND('UP133'!AX17,"AAAAAH814xA=")</f>
        <v>#VALUE!</v>
      </c>
      <c r="R56" t="e">
        <f>AND('UP133'!AY17,"AAAAAH814xE=")</f>
        <v>#VALUE!</v>
      </c>
      <c r="S56" t="e">
        <f>AND('UP133'!AZ17,"AAAAAH814xI=")</f>
        <v>#VALUE!</v>
      </c>
      <c r="T56" t="e">
        <f>AND('UP133'!BA17,"AAAAAH814xM=")</f>
        <v>#VALUE!</v>
      </c>
      <c r="U56" t="e">
        <f>AND('UP133'!BB17,"AAAAAH814xQ=")</f>
        <v>#VALUE!</v>
      </c>
      <c r="V56" t="e">
        <f>AND('UP133'!BC17,"AAAAAH814xU=")</f>
        <v>#VALUE!</v>
      </c>
      <c r="W56" t="e">
        <f>AND('UP133'!BD17,"AAAAAH814xY=")</f>
        <v>#VALUE!</v>
      </c>
      <c r="X56" t="e">
        <f>AND('UP133'!BE17,"AAAAAH814xc=")</f>
        <v>#VALUE!</v>
      </c>
      <c r="Y56" t="e">
        <f>AND('UP133'!BF17,"AAAAAH814xg=")</f>
        <v>#VALUE!</v>
      </c>
      <c r="Z56" t="e">
        <f>AND('UP133'!BG17,"AAAAAH814xk=")</f>
        <v>#VALUE!</v>
      </c>
      <c r="AA56" t="e">
        <f>AND('UP133'!BH17,"AAAAAH814xo=")</f>
        <v>#VALUE!</v>
      </c>
      <c r="AB56" t="e">
        <f>AND('UP133'!BI17,"AAAAAH814xs=")</f>
        <v>#VALUE!</v>
      </c>
      <c r="AC56" t="e">
        <f>AND('UP133'!BJ17,"AAAAAH814xw=")</f>
        <v>#VALUE!</v>
      </c>
      <c r="AD56" t="e">
        <f>AND('UP133'!BK17,"AAAAAH814x0=")</f>
        <v>#VALUE!</v>
      </c>
      <c r="AE56" t="e">
        <f>AND('UP133'!BL17,"AAAAAH814x4=")</f>
        <v>#VALUE!</v>
      </c>
      <c r="AF56" t="e">
        <f>AND('UP133'!BM17,"AAAAAH814x8=")</f>
        <v>#VALUE!</v>
      </c>
      <c r="AG56" t="e">
        <f>AND('UP133'!BN17,"AAAAAH814yA=")</f>
        <v>#VALUE!</v>
      </c>
      <c r="AH56" t="e">
        <f>AND('UP133'!BO17,"AAAAAH814yE=")</f>
        <v>#VALUE!</v>
      </c>
      <c r="AI56" t="e">
        <f>AND('UP133'!BP17,"AAAAAH814yI=")</f>
        <v>#VALUE!</v>
      </c>
      <c r="AJ56" t="e">
        <f>AND('UP133'!BQ17,"AAAAAH814yM=")</f>
        <v>#VALUE!</v>
      </c>
      <c r="AK56" t="e">
        <f>AND('UP133'!BR17,"AAAAAH814yQ=")</f>
        <v>#VALUE!</v>
      </c>
      <c r="AL56" t="e">
        <f>AND('UP133'!BS17,"AAAAAH814yU=")</f>
        <v>#VALUE!</v>
      </c>
      <c r="AM56" t="e">
        <f>AND('UP133'!BT17,"AAAAAH814yY=")</f>
        <v>#VALUE!</v>
      </c>
      <c r="AN56" t="e">
        <f>AND('UP133'!BU17,"AAAAAH814yc=")</f>
        <v>#VALUE!</v>
      </c>
      <c r="AO56" t="e">
        <f>AND('UP133'!BV17,"AAAAAH814yg=")</f>
        <v>#VALUE!</v>
      </c>
      <c r="AP56" t="e">
        <f>AND('UP133'!BW17,"AAAAAH814yk=")</f>
        <v>#VALUE!</v>
      </c>
      <c r="AQ56" t="e">
        <f>AND('UP133'!BX17,"AAAAAH814yo=")</f>
        <v>#VALUE!</v>
      </c>
      <c r="AR56" t="e">
        <f>AND('UP133'!BY17,"AAAAAH814ys=")</f>
        <v>#VALUE!</v>
      </c>
      <c r="AS56" t="e">
        <f>AND('UP133'!BZ17,"AAAAAH814yw=")</f>
        <v>#VALUE!</v>
      </c>
      <c r="AT56" t="e">
        <f>AND('UP133'!CA17,"AAAAAH814y0=")</f>
        <v>#VALUE!</v>
      </c>
      <c r="AU56" t="e">
        <f>AND('UP133'!CB17,"AAAAAH814y4=")</f>
        <v>#VALUE!</v>
      </c>
      <c r="AV56" t="e">
        <f>AND('UP133'!CC17,"AAAAAH814y8=")</f>
        <v>#VALUE!</v>
      </c>
      <c r="AW56" t="e">
        <f>AND('UP133'!CD17,"AAAAAH814zA=")</f>
        <v>#VALUE!</v>
      </c>
      <c r="AX56" t="e">
        <f>AND('UP133'!CE17,"AAAAAH814zE=")</f>
        <v>#VALUE!</v>
      </c>
      <c r="AY56" t="e">
        <f>AND('UP133'!CF17,"AAAAAH814zI=")</f>
        <v>#VALUE!</v>
      </c>
      <c r="AZ56" t="e">
        <f>AND('UP133'!CG17,"AAAAAH814zM=")</f>
        <v>#VALUE!</v>
      </c>
      <c r="BA56" t="e">
        <f>AND('UP133'!CH17,"AAAAAH814zQ=")</f>
        <v>#VALUE!</v>
      </c>
      <c r="BB56" t="e">
        <f>AND('UP133'!CI17,"AAAAAH814zU=")</f>
        <v>#VALUE!</v>
      </c>
      <c r="BC56" t="e">
        <f>AND('UP133'!CJ17,"AAAAAH814zY=")</f>
        <v>#VALUE!</v>
      </c>
      <c r="BD56" t="e">
        <f>AND('UP133'!CK17,"AAAAAH814zc=")</f>
        <v>#VALUE!</v>
      </c>
      <c r="BE56" t="e">
        <f>AND('UP133'!CL17,"AAAAAH814zg=")</f>
        <v>#VALUE!</v>
      </c>
      <c r="BF56" t="e">
        <f>AND('UP133'!CM17,"AAAAAH814zk=")</f>
        <v>#VALUE!</v>
      </c>
      <c r="BG56" t="e">
        <f>AND('UP133'!CN17,"AAAAAH814zo=")</f>
        <v>#VALUE!</v>
      </c>
      <c r="BH56" t="e">
        <f>AND('UP133'!CO17,"AAAAAH814zs=")</f>
        <v>#VALUE!</v>
      </c>
      <c r="BI56" t="e">
        <f>AND('UP133'!CP17,"AAAAAH814zw=")</f>
        <v>#VALUE!</v>
      </c>
      <c r="BJ56" t="e">
        <f>AND('UP133'!CQ17,"AAAAAH814z0=")</f>
        <v>#VALUE!</v>
      </c>
      <c r="BK56" t="e">
        <f>AND('UP133'!CR17,"AAAAAH814z4=")</f>
        <v>#VALUE!</v>
      </c>
      <c r="BL56" t="e">
        <f>AND('UP133'!CS17,"AAAAAH814z8=")</f>
        <v>#VALUE!</v>
      </c>
      <c r="BM56" t="e">
        <f>AND('UP133'!CT17,"AAAAAH8140A=")</f>
        <v>#VALUE!</v>
      </c>
      <c r="BN56" t="e">
        <f>AND('UP133'!CU17,"AAAAAH8140E=")</f>
        <v>#VALUE!</v>
      </c>
      <c r="BO56" t="e">
        <f>AND('UP133'!CV17,"AAAAAH8140I=")</f>
        <v>#VALUE!</v>
      </c>
      <c r="BP56" t="e">
        <f>AND('UP133'!CW17,"AAAAAH8140M=")</f>
        <v>#VALUE!</v>
      </c>
      <c r="BQ56" t="e">
        <f>AND('UP133'!CX17,"AAAAAH8140Q=")</f>
        <v>#VALUE!</v>
      </c>
      <c r="BR56" t="e">
        <f>AND('UP133'!CY17,"AAAAAH8140U=")</f>
        <v>#VALUE!</v>
      </c>
      <c r="BS56" t="e">
        <f>AND('UP133'!CZ17,"AAAAAH8140Y=")</f>
        <v>#VALUE!</v>
      </c>
      <c r="BT56" t="e">
        <f>AND('UP133'!DA17,"AAAAAH8140c=")</f>
        <v>#VALUE!</v>
      </c>
      <c r="BU56" t="e">
        <f>AND('UP133'!DB17,"AAAAAH8140g=")</f>
        <v>#VALUE!</v>
      </c>
      <c r="BV56" t="e">
        <f>AND('UP133'!DC17,"AAAAAH8140k=")</f>
        <v>#VALUE!</v>
      </c>
      <c r="BW56" t="e">
        <f>AND('UP133'!DD17,"AAAAAH8140o=")</f>
        <v>#VALUE!</v>
      </c>
      <c r="BX56" t="e">
        <f>AND('UP133'!DE17,"AAAAAH8140s=")</f>
        <v>#VALUE!</v>
      </c>
      <c r="BY56" t="e">
        <f>AND('UP133'!DF17,"AAAAAH8140w=")</f>
        <v>#VALUE!</v>
      </c>
      <c r="BZ56" t="e">
        <f>AND('UP133'!DG17,"AAAAAH81400=")</f>
        <v>#VALUE!</v>
      </c>
      <c r="CA56" t="e">
        <f>AND('UP133'!DH17,"AAAAAH81404=")</f>
        <v>#VALUE!</v>
      </c>
      <c r="CB56" t="e">
        <f>AND('UP133'!DI17,"AAAAAH81408=")</f>
        <v>#VALUE!</v>
      </c>
      <c r="CC56" t="e">
        <f>AND('UP133'!DJ17,"AAAAAH8141A=")</f>
        <v>#VALUE!</v>
      </c>
      <c r="CD56" t="e">
        <f>AND('UP133'!DK17,"AAAAAH8141E=")</f>
        <v>#VALUE!</v>
      </c>
      <c r="CE56" t="e">
        <f>AND('UP133'!DL17,"AAAAAH8141I=")</f>
        <v>#VALUE!</v>
      </c>
      <c r="CF56" t="e">
        <f>AND('UP133'!DM17,"AAAAAH8141M=")</f>
        <v>#VALUE!</v>
      </c>
      <c r="CG56" t="e">
        <f>AND('UP133'!DN17,"AAAAAH8141Q=")</f>
        <v>#VALUE!</v>
      </c>
      <c r="CH56" t="e">
        <f>AND('UP133'!DO17,"AAAAAH8141U=")</f>
        <v>#VALUE!</v>
      </c>
      <c r="CI56" t="e">
        <f>AND('UP133'!DP17,"AAAAAH8141Y=")</f>
        <v>#VALUE!</v>
      </c>
      <c r="CJ56" t="e">
        <f>AND('UP133'!DQ17,"AAAAAH8141c=")</f>
        <v>#VALUE!</v>
      </c>
      <c r="CK56" t="e">
        <f>AND('UP133'!DR17,"AAAAAH8141g=")</f>
        <v>#VALUE!</v>
      </c>
      <c r="CL56" t="e">
        <f>AND('UP133'!DS17,"AAAAAH8141k=")</f>
        <v>#VALUE!</v>
      </c>
      <c r="CM56" t="e">
        <f>AND('UP133'!DT17,"AAAAAH8141o=")</f>
        <v>#VALUE!</v>
      </c>
      <c r="CN56" t="e">
        <f>AND('UP133'!DU17,"AAAAAH8141s=")</f>
        <v>#VALUE!</v>
      </c>
      <c r="CO56" t="e">
        <f>AND('UP133'!DV17,"AAAAAH8141w=")</f>
        <v>#VALUE!</v>
      </c>
      <c r="CP56" t="e">
        <f>AND('UP133'!DW17,"AAAAAH81410=")</f>
        <v>#VALUE!</v>
      </c>
      <c r="CQ56" t="e">
        <f>AND('UP133'!DX17,"AAAAAH81414=")</f>
        <v>#VALUE!</v>
      </c>
      <c r="CR56" t="e">
        <f>AND('UP133'!DY17,"AAAAAH81418=")</f>
        <v>#VALUE!</v>
      </c>
      <c r="CS56" t="e">
        <f>AND('UP133'!DZ17,"AAAAAH8142A=")</f>
        <v>#VALUE!</v>
      </c>
      <c r="CT56" t="e">
        <f>AND('UP133'!EA17,"AAAAAH8142E=")</f>
        <v>#VALUE!</v>
      </c>
      <c r="CU56" t="e">
        <f>AND('UP133'!EB17,"AAAAAH8142I=")</f>
        <v>#VALUE!</v>
      </c>
      <c r="CV56" t="e">
        <f>AND('UP133'!EC17,"AAAAAH8142M=")</f>
        <v>#VALUE!</v>
      </c>
      <c r="CW56" t="e">
        <f>AND('UP133'!ED17,"AAAAAH8142Q=")</f>
        <v>#VALUE!</v>
      </c>
      <c r="CX56" t="e">
        <f>AND('UP133'!EE17,"AAAAAH8142U=")</f>
        <v>#VALUE!</v>
      </c>
      <c r="CY56" t="e">
        <f>AND('UP133'!EF17,"AAAAAH8142Y=")</f>
        <v>#VALUE!</v>
      </c>
      <c r="CZ56" t="e">
        <f>AND('UP133'!EG17,"AAAAAH8142c=")</f>
        <v>#VALUE!</v>
      </c>
      <c r="DA56" t="e">
        <f>AND('UP133'!EH17,"AAAAAH8142g=")</f>
        <v>#VALUE!</v>
      </c>
      <c r="DB56" t="e">
        <f>AND('UP133'!EI17,"AAAAAH8142k=")</f>
        <v>#VALUE!</v>
      </c>
      <c r="DC56" t="e">
        <f>AND('UP133'!EJ17,"AAAAAH8142o=")</f>
        <v>#VALUE!</v>
      </c>
      <c r="DD56" t="e">
        <f>AND('UP133'!EK17,"AAAAAH8142s=")</f>
        <v>#VALUE!</v>
      </c>
      <c r="DE56" t="e">
        <f>AND('UP133'!EL17,"AAAAAH8142w=")</f>
        <v>#VALUE!</v>
      </c>
      <c r="DF56" t="e">
        <f>AND('UP133'!EM17,"AAAAAH81420=")</f>
        <v>#VALUE!</v>
      </c>
      <c r="DG56" t="e">
        <f>AND('UP133'!EN17,"AAAAAH81424=")</f>
        <v>#VALUE!</v>
      </c>
      <c r="DH56" t="e">
        <f>AND('UP133'!EO17,"AAAAAH81428=")</f>
        <v>#VALUE!</v>
      </c>
      <c r="DI56" t="e">
        <f>AND('UP133'!EP17,"AAAAAH8143A=")</f>
        <v>#VALUE!</v>
      </c>
      <c r="DJ56" t="e">
        <f>AND('UP133'!EQ17,"AAAAAH8143E=")</f>
        <v>#VALUE!</v>
      </c>
      <c r="DK56" t="e">
        <f>AND('UP133'!ER17,"AAAAAH8143I=")</f>
        <v>#VALUE!</v>
      </c>
      <c r="DL56" t="e">
        <f>AND('UP133'!ES17,"AAAAAH8143M=")</f>
        <v>#VALUE!</v>
      </c>
      <c r="DM56" t="e">
        <f>AND('UP133'!ET17,"AAAAAH8143Q=")</f>
        <v>#VALUE!</v>
      </c>
      <c r="DN56" t="e">
        <f>AND('UP133'!EU17,"AAAAAH8143U=")</f>
        <v>#VALUE!</v>
      </c>
      <c r="DO56" t="e">
        <f>AND('UP133'!EV17,"AAAAAH8143Y=")</f>
        <v>#VALUE!</v>
      </c>
      <c r="DP56" t="e">
        <f>AND('UP133'!EW17,"AAAAAH8143c=")</f>
        <v>#VALUE!</v>
      </c>
      <c r="DQ56" t="e">
        <f>AND('UP133'!EX17,"AAAAAH8143g=")</f>
        <v>#VALUE!</v>
      </c>
      <c r="DR56" t="e">
        <f>AND('UP133'!EY17,"AAAAAH8143k=")</f>
        <v>#VALUE!</v>
      </c>
      <c r="DS56" t="e">
        <f>AND('UP133'!EZ17,"AAAAAH8143o=")</f>
        <v>#VALUE!</v>
      </c>
      <c r="DT56" t="e">
        <f>AND('UP133'!FA17,"AAAAAH8143s=")</f>
        <v>#VALUE!</v>
      </c>
      <c r="DU56" t="e">
        <f>AND('UP133'!FB17,"AAAAAH8143w=")</f>
        <v>#VALUE!</v>
      </c>
      <c r="DV56" t="e">
        <f>AND('UP133'!FC17,"AAAAAH81430=")</f>
        <v>#VALUE!</v>
      </c>
      <c r="DW56" t="e">
        <f>AND('UP133'!FD17,"AAAAAH81434=")</f>
        <v>#VALUE!</v>
      </c>
      <c r="DX56" t="e">
        <f>AND('UP133'!FE17,"AAAAAH81438=")</f>
        <v>#VALUE!</v>
      </c>
      <c r="DY56" t="e">
        <f>AND('UP133'!FF17,"AAAAAH8144A=")</f>
        <v>#VALUE!</v>
      </c>
      <c r="DZ56" t="e">
        <f>AND('UP133'!FG17,"AAAAAH8144E=")</f>
        <v>#VALUE!</v>
      </c>
      <c r="EA56" t="e">
        <f>AND('UP133'!FH17,"AAAAAH8144I=")</f>
        <v>#VALUE!</v>
      </c>
      <c r="EB56" t="e">
        <f>AND('UP133'!FI17,"AAAAAH8144M=")</f>
        <v>#VALUE!</v>
      </c>
      <c r="EC56" t="e">
        <f>AND('UP133'!FJ17,"AAAAAH8144Q=")</f>
        <v>#VALUE!</v>
      </c>
      <c r="ED56" t="e">
        <f>AND('UP133'!FK17,"AAAAAH8144U=")</f>
        <v>#VALUE!</v>
      </c>
      <c r="EE56" t="e">
        <f>AND('UP133'!FL17,"AAAAAH8144Y=")</f>
        <v>#VALUE!</v>
      </c>
      <c r="EF56" t="e">
        <f>AND('UP133'!FM17,"AAAAAH8144c=")</f>
        <v>#VALUE!</v>
      </c>
      <c r="EG56" t="e">
        <f>AND('UP133'!FN17,"AAAAAH8144g=")</f>
        <v>#VALUE!</v>
      </c>
      <c r="EH56" t="e">
        <f>AND('UP133'!FO17,"AAAAAH8144k=")</f>
        <v>#VALUE!</v>
      </c>
      <c r="EI56" t="e">
        <f>AND('UP133'!FP17,"AAAAAH8144o=")</f>
        <v>#VALUE!</v>
      </c>
      <c r="EJ56" t="e">
        <f>AND('UP133'!FQ17,"AAAAAH8144s=")</f>
        <v>#VALUE!</v>
      </c>
      <c r="EK56" t="e">
        <f>AND('UP133'!FR17,"AAAAAH8144w=")</f>
        <v>#VALUE!</v>
      </c>
      <c r="EL56" t="e">
        <f>AND('UP133'!FS17,"AAAAAH81440=")</f>
        <v>#VALUE!</v>
      </c>
      <c r="EM56" t="e">
        <f>AND('UP133'!FT17,"AAAAAH81444=")</f>
        <v>#VALUE!</v>
      </c>
      <c r="EN56" t="e">
        <f>AND('UP133'!FU17,"AAAAAH81448=")</f>
        <v>#VALUE!</v>
      </c>
      <c r="EO56" t="e">
        <f>AND('UP133'!FV17,"AAAAAH8145A=")</f>
        <v>#VALUE!</v>
      </c>
      <c r="EP56" t="e">
        <f>AND('UP133'!FW17,"AAAAAH8145E=")</f>
        <v>#VALUE!</v>
      </c>
      <c r="EQ56" t="e">
        <f>AND('UP133'!FX17,"AAAAAH8145I=")</f>
        <v>#VALUE!</v>
      </c>
      <c r="ER56" t="e">
        <f>AND('UP133'!FY17,"AAAAAH8145M=")</f>
        <v>#VALUE!</v>
      </c>
      <c r="ES56" t="e">
        <f>AND('UP133'!FZ17,"AAAAAH8145Q=")</f>
        <v>#VALUE!</v>
      </c>
      <c r="ET56" t="e">
        <f>AND('UP133'!GA17,"AAAAAH8145U=")</f>
        <v>#VALUE!</v>
      </c>
      <c r="EU56" t="e">
        <f>AND('UP133'!GB17,"AAAAAH8145Y=")</f>
        <v>#VALUE!</v>
      </c>
      <c r="EV56" t="e">
        <f>AND('UP133'!GC17,"AAAAAH8145c=")</f>
        <v>#VALUE!</v>
      </c>
      <c r="EW56" t="e">
        <f>AND('UP133'!GD17,"AAAAAH8145g=")</f>
        <v>#VALUE!</v>
      </c>
      <c r="EX56" t="e">
        <f>AND('UP133'!GE17,"AAAAAH8145k=")</f>
        <v>#VALUE!</v>
      </c>
      <c r="EY56" t="e">
        <f>AND('UP133'!GF17,"AAAAAH8145o=")</f>
        <v>#VALUE!</v>
      </c>
      <c r="EZ56" t="e">
        <f>AND('UP133'!GG17,"AAAAAH8145s=")</f>
        <v>#VALUE!</v>
      </c>
      <c r="FA56" t="e">
        <f>AND('UP133'!GH17,"AAAAAH8145w=")</f>
        <v>#VALUE!</v>
      </c>
      <c r="FB56" t="e">
        <f>AND('UP133'!GI17,"AAAAAH81450=")</f>
        <v>#VALUE!</v>
      </c>
      <c r="FC56" t="e">
        <f>AND('UP133'!GJ17,"AAAAAH81454=")</f>
        <v>#VALUE!</v>
      </c>
      <c r="FD56" t="e">
        <f>AND('UP133'!GK17,"AAAAAH81458=")</f>
        <v>#VALUE!</v>
      </c>
      <c r="FE56" t="e">
        <f>AND('UP133'!GL17,"AAAAAH8146A=")</f>
        <v>#VALUE!</v>
      </c>
      <c r="FF56" t="e">
        <f>AND('UP133'!GM17,"AAAAAH8146E=")</f>
        <v>#VALUE!</v>
      </c>
      <c r="FG56" t="e">
        <f>AND('UP133'!GN17,"AAAAAH8146I=")</f>
        <v>#VALUE!</v>
      </c>
      <c r="FH56" t="e">
        <f>AND('UP133'!GO17,"AAAAAH8146M=")</f>
        <v>#VALUE!</v>
      </c>
      <c r="FI56" t="e">
        <f>AND('UP133'!GP17,"AAAAAH8146Q=")</f>
        <v>#VALUE!</v>
      </c>
      <c r="FJ56" t="e">
        <f>AND('UP133'!GQ17,"AAAAAH8146U=")</f>
        <v>#VALUE!</v>
      </c>
      <c r="FK56" t="e">
        <f>AND('UP133'!GR17,"AAAAAH8146Y=")</f>
        <v>#VALUE!</v>
      </c>
      <c r="FL56" t="e">
        <f>AND('UP133'!GS17,"AAAAAH8146c=")</f>
        <v>#VALUE!</v>
      </c>
      <c r="FM56" t="e">
        <f>AND('UP133'!GT17,"AAAAAH8146g=")</f>
        <v>#VALUE!</v>
      </c>
      <c r="FN56" t="e">
        <f>AND('UP133'!GU17,"AAAAAH8146k=")</f>
        <v>#VALUE!</v>
      </c>
      <c r="FO56" t="e">
        <f>AND('UP133'!GV17,"AAAAAH8146o=")</f>
        <v>#VALUE!</v>
      </c>
      <c r="FP56" t="e">
        <f>AND('UP133'!GW17,"AAAAAH8146s=")</f>
        <v>#VALUE!</v>
      </c>
      <c r="FQ56" t="e">
        <f>AND('UP133'!GX17,"AAAAAH8146w=")</f>
        <v>#VALUE!</v>
      </c>
      <c r="FR56" t="e">
        <f>AND('UP133'!GY17,"AAAAAH81460=")</f>
        <v>#VALUE!</v>
      </c>
      <c r="FS56" t="e">
        <f>AND('UP133'!GZ17,"AAAAAH81464=")</f>
        <v>#VALUE!</v>
      </c>
      <c r="FT56" t="e">
        <f>AND('UP133'!HA17,"AAAAAH81468=")</f>
        <v>#VALUE!</v>
      </c>
      <c r="FU56" t="e">
        <f>AND('UP133'!HB17,"AAAAAH8147A=")</f>
        <v>#VALUE!</v>
      </c>
      <c r="FV56" t="e">
        <f>AND('UP133'!HC17,"AAAAAH8147E=")</f>
        <v>#VALUE!</v>
      </c>
      <c r="FW56" t="e">
        <f>AND('UP133'!HD17,"AAAAAH8147I=")</f>
        <v>#VALUE!</v>
      </c>
      <c r="FX56" t="e">
        <f>AND('UP133'!HE17,"AAAAAH8147M=")</f>
        <v>#VALUE!</v>
      </c>
      <c r="FY56" t="e">
        <f>AND('UP133'!HF17,"AAAAAH8147Q=")</f>
        <v>#VALUE!</v>
      </c>
      <c r="FZ56" t="e">
        <f>AND('UP133'!HG17,"AAAAAH8147U=")</f>
        <v>#VALUE!</v>
      </c>
      <c r="GA56" t="e">
        <f>AND('UP133'!HH17,"AAAAAH8147Y=")</f>
        <v>#VALUE!</v>
      </c>
      <c r="GB56" t="e">
        <f>AND('UP133'!HI17,"AAAAAH8147c=")</f>
        <v>#VALUE!</v>
      </c>
      <c r="GC56" t="e">
        <f>AND('UP133'!HJ17,"AAAAAH8147g=")</f>
        <v>#VALUE!</v>
      </c>
      <c r="GD56" t="e">
        <f>AND('UP133'!HK17,"AAAAAH8147k=")</f>
        <v>#VALUE!</v>
      </c>
      <c r="GE56" t="e">
        <f>AND('UP133'!HL17,"AAAAAH8147o=")</f>
        <v>#VALUE!</v>
      </c>
      <c r="GF56" t="e">
        <f>AND('UP133'!HM17,"AAAAAH8147s=")</f>
        <v>#VALUE!</v>
      </c>
      <c r="GG56" t="e">
        <f>AND('UP133'!HN17,"AAAAAH8147w=")</f>
        <v>#VALUE!</v>
      </c>
      <c r="GH56" t="e">
        <f>AND('UP133'!HO17,"AAAAAH81470=")</f>
        <v>#VALUE!</v>
      </c>
      <c r="GI56" t="e">
        <f>AND('UP133'!HP17,"AAAAAH81474=")</f>
        <v>#VALUE!</v>
      </c>
      <c r="GJ56" t="e">
        <f>AND('UP133'!HQ17,"AAAAAH81478=")</f>
        <v>#VALUE!</v>
      </c>
      <c r="GK56" t="e">
        <f>AND('UP133'!HR17,"AAAAAH8148A=")</f>
        <v>#VALUE!</v>
      </c>
      <c r="GL56" t="e">
        <f>AND('UP133'!HS17,"AAAAAH8148E=")</f>
        <v>#VALUE!</v>
      </c>
      <c r="GM56" t="e">
        <f>AND('UP133'!HT17,"AAAAAH8148I=")</f>
        <v>#VALUE!</v>
      </c>
      <c r="GN56" t="e">
        <f>AND('UP133'!HU17,"AAAAAH8148M=")</f>
        <v>#VALUE!</v>
      </c>
      <c r="GO56" t="e">
        <f>AND('UP133'!HV17,"AAAAAH8148Q=")</f>
        <v>#VALUE!</v>
      </c>
      <c r="GP56" t="e">
        <f>AND('UP133'!HW17,"AAAAAH8148U=")</f>
        <v>#VALUE!</v>
      </c>
      <c r="GQ56" t="e">
        <f>AND('UP133'!HX17,"AAAAAH8148Y=")</f>
        <v>#VALUE!</v>
      </c>
      <c r="GR56" t="e">
        <f>AND('UP133'!HY17,"AAAAAH8148c=")</f>
        <v>#VALUE!</v>
      </c>
      <c r="GS56" t="e">
        <f>AND('UP133'!HZ17,"AAAAAH8148g=")</f>
        <v>#VALUE!</v>
      </c>
      <c r="GT56" t="e">
        <f>AND('UP133'!IA17,"AAAAAH8148k=")</f>
        <v>#VALUE!</v>
      </c>
      <c r="GU56" t="e">
        <f>AND('UP133'!IB17,"AAAAAH8148o=")</f>
        <v>#VALUE!</v>
      </c>
      <c r="GV56" t="e">
        <f>AND('UP133'!IC17,"AAAAAH8148s=")</f>
        <v>#VALUE!</v>
      </c>
      <c r="GW56" t="e">
        <f>AND('UP133'!ID17,"AAAAAH8148w=")</f>
        <v>#VALUE!</v>
      </c>
      <c r="GX56" t="e">
        <f>AND('UP133'!IE17,"AAAAAH81480=")</f>
        <v>#VALUE!</v>
      </c>
      <c r="GY56" t="e">
        <f>AND('UP133'!IF17,"AAAAAH81484=")</f>
        <v>#VALUE!</v>
      </c>
      <c r="GZ56" t="e">
        <f>AND('UP133'!IG17,"AAAAAH81488=")</f>
        <v>#VALUE!</v>
      </c>
      <c r="HA56" t="e">
        <f>AND('UP133'!IH17,"AAAAAH8149A=")</f>
        <v>#VALUE!</v>
      </c>
      <c r="HB56" t="e">
        <f>AND('UP133'!II17,"AAAAAH8149E=")</f>
        <v>#VALUE!</v>
      </c>
      <c r="HC56" t="e">
        <f>AND('UP133'!IJ17,"AAAAAH8149I=")</f>
        <v>#VALUE!</v>
      </c>
      <c r="HD56" t="e">
        <f>AND('UP133'!IK17,"AAAAAH8149M=")</f>
        <v>#VALUE!</v>
      </c>
      <c r="HE56" t="e">
        <f>AND('UP133'!IL17,"AAAAAH8149Q=")</f>
        <v>#VALUE!</v>
      </c>
      <c r="HF56" t="e">
        <f>AND('UP133'!IM17,"AAAAAH8149U=")</f>
        <v>#VALUE!</v>
      </c>
      <c r="HG56" t="e">
        <f>AND('UP133'!IN17,"AAAAAH8149Y=")</f>
        <v>#VALUE!</v>
      </c>
      <c r="HH56" t="e">
        <f>AND('UP133'!IO17,"AAAAAH8149c=")</f>
        <v>#VALUE!</v>
      </c>
      <c r="HI56" t="e">
        <f>AND('UP133'!IP17,"AAAAAH8149g=")</f>
        <v>#VALUE!</v>
      </c>
      <c r="HJ56" t="e">
        <f>AND('UP133'!IQ17,"AAAAAH8149k=")</f>
        <v>#VALUE!</v>
      </c>
      <c r="HK56">
        <f>IF('UP133'!18:18,"AAAAAH8149o=",0)</f>
        <v>0</v>
      </c>
      <c r="HL56" t="e">
        <f>AND('UP133'!A18,"AAAAAH8149s=")</f>
        <v>#VALUE!</v>
      </c>
      <c r="HM56" t="e">
        <f>AND('UP133'!B18,"AAAAAH8149w=")</f>
        <v>#VALUE!</v>
      </c>
      <c r="HN56" t="e">
        <f>AND('UP133'!C18,"AAAAAH81490=")</f>
        <v>#VALUE!</v>
      </c>
      <c r="HO56" t="e">
        <f>AND('UP133'!D18,"AAAAAH81494=")</f>
        <v>#VALUE!</v>
      </c>
      <c r="HP56" t="e">
        <f>AND('UP133'!E18,"AAAAAH81498=")</f>
        <v>#VALUE!</v>
      </c>
      <c r="HQ56" t="e">
        <f>AND('UP133'!F18,"AAAAAH814+A=")</f>
        <v>#VALUE!</v>
      </c>
      <c r="HR56" t="e">
        <f>AND('UP133'!G18,"AAAAAH814+E=")</f>
        <v>#VALUE!</v>
      </c>
      <c r="HS56" t="e">
        <f>AND('UP133'!H18,"AAAAAH814+I=")</f>
        <v>#VALUE!</v>
      </c>
      <c r="HT56" t="e">
        <f>AND('UP133'!I18,"AAAAAH814+M=")</f>
        <v>#VALUE!</v>
      </c>
      <c r="HU56" t="e">
        <f>AND('UP133'!J18,"AAAAAH814+Q=")</f>
        <v>#VALUE!</v>
      </c>
      <c r="HV56" t="e">
        <f>AND('UP133'!K18,"AAAAAH814+U=")</f>
        <v>#VALUE!</v>
      </c>
      <c r="HW56" t="e">
        <f>AND('UP133'!L18,"AAAAAH814+Y=")</f>
        <v>#VALUE!</v>
      </c>
      <c r="HX56" t="e">
        <f>AND('UP133'!M18,"AAAAAH814+c=")</f>
        <v>#VALUE!</v>
      </c>
      <c r="HY56" t="e">
        <f>AND('UP133'!N18,"AAAAAH814+g=")</f>
        <v>#VALUE!</v>
      </c>
      <c r="HZ56" t="e">
        <f>AND('UP133'!O18,"AAAAAH814+k=")</f>
        <v>#VALUE!</v>
      </c>
      <c r="IA56" t="e">
        <f>AND('UP133'!P18,"AAAAAH814+o=")</f>
        <v>#VALUE!</v>
      </c>
      <c r="IB56" t="e">
        <f>AND('UP133'!Q18,"AAAAAH814+s=")</f>
        <v>#VALUE!</v>
      </c>
      <c r="IC56" t="e">
        <f>AND('UP133'!R18,"AAAAAH814+w=")</f>
        <v>#VALUE!</v>
      </c>
      <c r="ID56" t="e">
        <f>AND('UP133'!S18,"AAAAAH814+0=")</f>
        <v>#VALUE!</v>
      </c>
      <c r="IE56" t="e">
        <f>AND('UP133'!T18,"AAAAAH814+4=")</f>
        <v>#VALUE!</v>
      </c>
      <c r="IF56" t="e">
        <f>AND('UP133'!U18,"AAAAAH814+8=")</f>
        <v>#VALUE!</v>
      </c>
      <c r="IG56" t="e">
        <f>AND('UP133'!V18,"AAAAAH814/A=")</f>
        <v>#VALUE!</v>
      </c>
      <c r="IH56" t="e">
        <f>AND('UP133'!W18,"AAAAAH814/E=")</f>
        <v>#VALUE!</v>
      </c>
      <c r="II56" t="e">
        <f>AND('UP133'!X18,"AAAAAH814/I=")</f>
        <v>#VALUE!</v>
      </c>
      <c r="IJ56" t="e">
        <f>AND('UP133'!Y18,"AAAAAH814/M=")</f>
        <v>#VALUE!</v>
      </c>
      <c r="IK56" t="e">
        <f>AND('UP133'!Z18,"AAAAAH814/Q=")</f>
        <v>#VALUE!</v>
      </c>
      <c r="IL56" t="e">
        <f>AND('UP133'!AA18,"AAAAAH814/U=")</f>
        <v>#VALUE!</v>
      </c>
      <c r="IM56" t="e">
        <f>AND('UP133'!AB18,"AAAAAH814/Y=")</f>
        <v>#VALUE!</v>
      </c>
      <c r="IN56" t="e">
        <f>AND('UP133'!AC18,"AAAAAH814/c=")</f>
        <v>#VALUE!</v>
      </c>
      <c r="IO56" t="e">
        <f>AND('UP133'!AD18,"AAAAAH814/g=")</f>
        <v>#VALUE!</v>
      </c>
      <c r="IP56" t="e">
        <f>AND('UP133'!AE18,"AAAAAH814/k=")</f>
        <v>#VALUE!</v>
      </c>
      <c r="IQ56" t="e">
        <f>AND('UP133'!AF18,"AAAAAH814/o=")</f>
        <v>#VALUE!</v>
      </c>
      <c r="IR56" t="e">
        <f>AND('UP133'!AG18,"AAAAAH814/s=")</f>
        <v>#VALUE!</v>
      </c>
      <c r="IS56" t="e">
        <f>AND('UP133'!AH18,"AAAAAH814/w=")</f>
        <v>#VALUE!</v>
      </c>
      <c r="IT56" t="e">
        <f>AND('UP133'!AI18,"AAAAAH814/0=")</f>
        <v>#VALUE!</v>
      </c>
      <c r="IU56" t="e">
        <f>AND('UP133'!AJ18,"AAAAAH814/4=")</f>
        <v>#VALUE!</v>
      </c>
      <c r="IV56" t="e">
        <f>AND('UP133'!AK18,"AAAAAH814/8=")</f>
        <v>#VALUE!</v>
      </c>
    </row>
    <row r="57" spans="1:256">
      <c r="A57" t="e">
        <f>AND('UP133'!AL18,"AAAAAG863wA=")</f>
        <v>#VALUE!</v>
      </c>
      <c r="B57" t="e">
        <f>AND('UP133'!AM18,"AAAAAG863wE=")</f>
        <v>#VALUE!</v>
      </c>
      <c r="C57" t="e">
        <f>AND('UP133'!AN18,"AAAAAG863wI=")</f>
        <v>#VALUE!</v>
      </c>
      <c r="D57" t="e">
        <f>AND('UP133'!AO18,"AAAAAG863wM=")</f>
        <v>#VALUE!</v>
      </c>
      <c r="E57" t="e">
        <f>AND('UP133'!AP18,"AAAAAG863wQ=")</f>
        <v>#VALUE!</v>
      </c>
      <c r="F57" t="e">
        <f>AND('UP133'!AQ18,"AAAAAG863wU=")</f>
        <v>#VALUE!</v>
      </c>
      <c r="G57" t="e">
        <f>AND('UP133'!AR18,"AAAAAG863wY=")</f>
        <v>#VALUE!</v>
      </c>
      <c r="H57" t="e">
        <f>AND('UP133'!AS18,"AAAAAG863wc=")</f>
        <v>#VALUE!</v>
      </c>
      <c r="I57" t="e">
        <f>AND('UP133'!AT18,"AAAAAG863wg=")</f>
        <v>#VALUE!</v>
      </c>
      <c r="J57" t="e">
        <f>AND('UP133'!AU18,"AAAAAG863wk=")</f>
        <v>#VALUE!</v>
      </c>
      <c r="K57" t="e">
        <f>AND('UP133'!AV18,"AAAAAG863wo=")</f>
        <v>#VALUE!</v>
      </c>
      <c r="L57" t="e">
        <f>AND('UP133'!AW18,"AAAAAG863ws=")</f>
        <v>#VALUE!</v>
      </c>
      <c r="M57" t="e">
        <f>AND('UP133'!AX18,"AAAAAG863ww=")</f>
        <v>#VALUE!</v>
      </c>
      <c r="N57" t="e">
        <f>AND('UP133'!AY18,"AAAAAG863w0=")</f>
        <v>#VALUE!</v>
      </c>
      <c r="O57" t="e">
        <f>AND('UP133'!AZ18,"AAAAAG863w4=")</f>
        <v>#VALUE!</v>
      </c>
      <c r="P57" t="e">
        <f>AND('UP133'!BA18,"AAAAAG863w8=")</f>
        <v>#VALUE!</v>
      </c>
      <c r="Q57" t="e">
        <f>AND('UP133'!BB18,"AAAAAG863xA=")</f>
        <v>#VALUE!</v>
      </c>
      <c r="R57" t="e">
        <f>AND('UP133'!BC18,"AAAAAG863xE=")</f>
        <v>#VALUE!</v>
      </c>
      <c r="S57" t="e">
        <f>AND('UP133'!BD18,"AAAAAG863xI=")</f>
        <v>#VALUE!</v>
      </c>
      <c r="T57" t="e">
        <f>AND('UP133'!BE18,"AAAAAG863xM=")</f>
        <v>#VALUE!</v>
      </c>
      <c r="U57" t="e">
        <f>AND('UP133'!BF18,"AAAAAG863xQ=")</f>
        <v>#VALUE!</v>
      </c>
      <c r="V57" t="e">
        <f>AND('UP133'!BG18,"AAAAAG863xU=")</f>
        <v>#VALUE!</v>
      </c>
      <c r="W57" t="e">
        <f>AND('UP133'!BH18,"AAAAAG863xY=")</f>
        <v>#VALUE!</v>
      </c>
      <c r="X57" t="e">
        <f>AND('UP133'!BI18,"AAAAAG863xc=")</f>
        <v>#VALUE!</v>
      </c>
      <c r="Y57" t="e">
        <f>AND('UP133'!BJ18,"AAAAAG863xg=")</f>
        <v>#VALUE!</v>
      </c>
      <c r="Z57" t="e">
        <f>AND('UP133'!BK18,"AAAAAG863xk=")</f>
        <v>#VALUE!</v>
      </c>
      <c r="AA57" t="e">
        <f>AND('UP133'!BL18,"AAAAAG863xo=")</f>
        <v>#VALUE!</v>
      </c>
      <c r="AB57" t="e">
        <f>AND('UP133'!BM18,"AAAAAG863xs=")</f>
        <v>#VALUE!</v>
      </c>
      <c r="AC57" t="e">
        <f>AND('UP133'!BN18,"AAAAAG863xw=")</f>
        <v>#VALUE!</v>
      </c>
      <c r="AD57" t="e">
        <f>AND('UP133'!BO18,"AAAAAG863x0=")</f>
        <v>#VALUE!</v>
      </c>
      <c r="AE57" t="e">
        <f>AND('UP133'!BP18,"AAAAAG863x4=")</f>
        <v>#VALUE!</v>
      </c>
      <c r="AF57" t="e">
        <f>AND('UP133'!BQ18,"AAAAAG863x8=")</f>
        <v>#VALUE!</v>
      </c>
      <c r="AG57" t="e">
        <f>AND('UP133'!BR18,"AAAAAG863yA=")</f>
        <v>#VALUE!</v>
      </c>
      <c r="AH57" t="e">
        <f>AND('UP133'!BS18,"AAAAAG863yE=")</f>
        <v>#VALUE!</v>
      </c>
      <c r="AI57" t="e">
        <f>AND('UP133'!BT18,"AAAAAG863yI=")</f>
        <v>#VALUE!</v>
      </c>
      <c r="AJ57" t="e">
        <f>AND('UP133'!BU18,"AAAAAG863yM=")</f>
        <v>#VALUE!</v>
      </c>
      <c r="AK57" t="e">
        <f>AND('UP133'!BV18,"AAAAAG863yQ=")</f>
        <v>#VALUE!</v>
      </c>
      <c r="AL57" t="e">
        <f>AND('UP133'!BW18,"AAAAAG863yU=")</f>
        <v>#VALUE!</v>
      </c>
      <c r="AM57" t="e">
        <f>AND('UP133'!BX18,"AAAAAG863yY=")</f>
        <v>#VALUE!</v>
      </c>
      <c r="AN57" t="e">
        <f>AND('UP133'!BY18,"AAAAAG863yc=")</f>
        <v>#VALUE!</v>
      </c>
      <c r="AO57" t="e">
        <f>AND('UP133'!BZ18,"AAAAAG863yg=")</f>
        <v>#VALUE!</v>
      </c>
      <c r="AP57" t="e">
        <f>AND('UP133'!CA18,"AAAAAG863yk=")</f>
        <v>#VALUE!</v>
      </c>
      <c r="AQ57" t="e">
        <f>AND('UP133'!CB18,"AAAAAG863yo=")</f>
        <v>#VALUE!</v>
      </c>
      <c r="AR57" t="e">
        <f>AND('UP133'!CC18,"AAAAAG863ys=")</f>
        <v>#VALUE!</v>
      </c>
      <c r="AS57" t="e">
        <f>AND('UP133'!CD18,"AAAAAG863yw=")</f>
        <v>#VALUE!</v>
      </c>
      <c r="AT57" t="e">
        <f>AND('UP133'!CE18,"AAAAAG863y0=")</f>
        <v>#VALUE!</v>
      </c>
      <c r="AU57" t="e">
        <f>AND('UP133'!CF18,"AAAAAG863y4=")</f>
        <v>#VALUE!</v>
      </c>
      <c r="AV57" t="e">
        <f>AND('UP133'!CG18,"AAAAAG863y8=")</f>
        <v>#VALUE!</v>
      </c>
      <c r="AW57" t="e">
        <f>AND('UP133'!CH18,"AAAAAG863zA=")</f>
        <v>#VALUE!</v>
      </c>
      <c r="AX57" t="e">
        <f>AND('UP133'!CI18,"AAAAAG863zE=")</f>
        <v>#VALUE!</v>
      </c>
      <c r="AY57" t="e">
        <f>AND('UP133'!CJ18,"AAAAAG863zI=")</f>
        <v>#VALUE!</v>
      </c>
      <c r="AZ57" t="e">
        <f>AND('UP133'!CK18,"AAAAAG863zM=")</f>
        <v>#VALUE!</v>
      </c>
      <c r="BA57" t="e">
        <f>AND('UP133'!CL18,"AAAAAG863zQ=")</f>
        <v>#VALUE!</v>
      </c>
      <c r="BB57" t="e">
        <f>AND('UP133'!CM18,"AAAAAG863zU=")</f>
        <v>#VALUE!</v>
      </c>
      <c r="BC57" t="e">
        <f>AND('UP133'!CN18,"AAAAAG863zY=")</f>
        <v>#VALUE!</v>
      </c>
      <c r="BD57" t="e">
        <f>AND('UP133'!CO18,"AAAAAG863zc=")</f>
        <v>#VALUE!</v>
      </c>
      <c r="BE57" t="e">
        <f>AND('UP133'!CP18,"AAAAAG863zg=")</f>
        <v>#VALUE!</v>
      </c>
      <c r="BF57" t="e">
        <f>AND('UP133'!CQ18,"AAAAAG863zk=")</f>
        <v>#VALUE!</v>
      </c>
      <c r="BG57" t="e">
        <f>AND('UP133'!CR18,"AAAAAG863zo=")</f>
        <v>#VALUE!</v>
      </c>
      <c r="BH57" t="e">
        <f>AND('UP133'!CS18,"AAAAAG863zs=")</f>
        <v>#VALUE!</v>
      </c>
      <c r="BI57" t="e">
        <f>AND('UP133'!CT18,"AAAAAG863zw=")</f>
        <v>#VALUE!</v>
      </c>
      <c r="BJ57" t="e">
        <f>AND('UP133'!CU18,"AAAAAG863z0=")</f>
        <v>#VALUE!</v>
      </c>
      <c r="BK57" t="e">
        <f>AND('UP133'!CV18,"AAAAAG863z4=")</f>
        <v>#VALUE!</v>
      </c>
      <c r="BL57" t="e">
        <f>AND('UP133'!CW18,"AAAAAG863z8=")</f>
        <v>#VALUE!</v>
      </c>
      <c r="BM57" t="e">
        <f>AND('UP133'!CX18,"AAAAAG8630A=")</f>
        <v>#VALUE!</v>
      </c>
      <c r="BN57" t="e">
        <f>AND('UP133'!CY18,"AAAAAG8630E=")</f>
        <v>#VALUE!</v>
      </c>
      <c r="BO57" t="e">
        <f>AND('UP133'!CZ18,"AAAAAG8630I=")</f>
        <v>#VALUE!</v>
      </c>
      <c r="BP57" t="e">
        <f>AND('UP133'!DA18,"AAAAAG8630M=")</f>
        <v>#VALUE!</v>
      </c>
      <c r="BQ57" t="e">
        <f>AND('UP133'!DB18,"AAAAAG8630Q=")</f>
        <v>#VALUE!</v>
      </c>
      <c r="BR57" t="e">
        <f>AND('UP133'!DC18,"AAAAAG8630U=")</f>
        <v>#VALUE!</v>
      </c>
      <c r="BS57" t="e">
        <f>AND('UP133'!DD18,"AAAAAG8630Y=")</f>
        <v>#VALUE!</v>
      </c>
      <c r="BT57" t="e">
        <f>AND('UP133'!DE18,"AAAAAG8630c=")</f>
        <v>#VALUE!</v>
      </c>
      <c r="BU57" t="e">
        <f>AND('UP133'!DF18,"AAAAAG8630g=")</f>
        <v>#VALUE!</v>
      </c>
      <c r="BV57" t="e">
        <f>AND('UP133'!DG18,"AAAAAG8630k=")</f>
        <v>#VALUE!</v>
      </c>
      <c r="BW57" t="e">
        <f>AND('UP133'!DH18,"AAAAAG8630o=")</f>
        <v>#VALUE!</v>
      </c>
      <c r="BX57" t="e">
        <f>AND('UP133'!DI18,"AAAAAG8630s=")</f>
        <v>#VALUE!</v>
      </c>
      <c r="BY57" t="e">
        <f>AND('UP133'!DJ18,"AAAAAG8630w=")</f>
        <v>#VALUE!</v>
      </c>
      <c r="BZ57" t="e">
        <f>AND('UP133'!DK18,"AAAAAG86300=")</f>
        <v>#VALUE!</v>
      </c>
      <c r="CA57" t="e">
        <f>AND('UP133'!DL18,"AAAAAG86304=")</f>
        <v>#VALUE!</v>
      </c>
      <c r="CB57" t="e">
        <f>AND('UP133'!DM18,"AAAAAG86308=")</f>
        <v>#VALUE!</v>
      </c>
      <c r="CC57" t="e">
        <f>AND('UP133'!DN18,"AAAAAG8631A=")</f>
        <v>#VALUE!</v>
      </c>
      <c r="CD57" t="e">
        <f>AND('UP133'!DO18,"AAAAAG8631E=")</f>
        <v>#VALUE!</v>
      </c>
      <c r="CE57" t="e">
        <f>AND('UP133'!DP18,"AAAAAG8631I=")</f>
        <v>#VALUE!</v>
      </c>
      <c r="CF57" t="e">
        <f>AND('UP133'!DQ18,"AAAAAG8631M=")</f>
        <v>#VALUE!</v>
      </c>
      <c r="CG57" t="e">
        <f>AND('UP133'!DR18,"AAAAAG8631Q=")</f>
        <v>#VALUE!</v>
      </c>
      <c r="CH57" t="e">
        <f>AND('UP133'!DS18,"AAAAAG8631U=")</f>
        <v>#VALUE!</v>
      </c>
      <c r="CI57" t="e">
        <f>AND('UP133'!DT18,"AAAAAG8631Y=")</f>
        <v>#VALUE!</v>
      </c>
      <c r="CJ57" t="e">
        <f>AND('UP133'!DU18,"AAAAAG8631c=")</f>
        <v>#VALUE!</v>
      </c>
      <c r="CK57" t="e">
        <f>AND('UP133'!DV18,"AAAAAG8631g=")</f>
        <v>#VALUE!</v>
      </c>
      <c r="CL57" t="e">
        <f>AND('UP133'!DW18,"AAAAAG8631k=")</f>
        <v>#VALUE!</v>
      </c>
      <c r="CM57" t="e">
        <f>AND('UP133'!DX18,"AAAAAG8631o=")</f>
        <v>#VALUE!</v>
      </c>
      <c r="CN57" t="e">
        <f>AND('UP133'!DY18,"AAAAAG8631s=")</f>
        <v>#VALUE!</v>
      </c>
      <c r="CO57" t="e">
        <f>AND('UP133'!DZ18,"AAAAAG8631w=")</f>
        <v>#VALUE!</v>
      </c>
      <c r="CP57" t="e">
        <f>AND('UP133'!EA18,"AAAAAG86310=")</f>
        <v>#VALUE!</v>
      </c>
      <c r="CQ57" t="e">
        <f>AND('UP133'!EB18,"AAAAAG86314=")</f>
        <v>#VALUE!</v>
      </c>
      <c r="CR57" t="e">
        <f>AND('UP133'!EC18,"AAAAAG86318=")</f>
        <v>#VALUE!</v>
      </c>
      <c r="CS57" t="e">
        <f>AND('UP133'!ED18,"AAAAAG8632A=")</f>
        <v>#VALUE!</v>
      </c>
      <c r="CT57" t="e">
        <f>AND('UP133'!EE18,"AAAAAG8632E=")</f>
        <v>#VALUE!</v>
      </c>
      <c r="CU57" t="e">
        <f>AND('UP133'!EF18,"AAAAAG8632I=")</f>
        <v>#VALUE!</v>
      </c>
      <c r="CV57" t="e">
        <f>AND('UP133'!EG18,"AAAAAG8632M=")</f>
        <v>#VALUE!</v>
      </c>
      <c r="CW57" t="e">
        <f>AND('UP133'!EH18,"AAAAAG8632Q=")</f>
        <v>#VALUE!</v>
      </c>
      <c r="CX57" t="e">
        <f>AND('UP133'!EI18,"AAAAAG8632U=")</f>
        <v>#VALUE!</v>
      </c>
      <c r="CY57" t="e">
        <f>AND('UP133'!EJ18,"AAAAAG8632Y=")</f>
        <v>#VALUE!</v>
      </c>
      <c r="CZ57" t="e">
        <f>AND('UP133'!EK18,"AAAAAG8632c=")</f>
        <v>#VALUE!</v>
      </c>
      <c r="DA57" t="e">
        <f>AND('UP133'!EL18,"AAAAAG8632g=")</f>
        <v>#VALUE!</v>
      </c>
      <c r="DB57" t="e">
        <f>AND('UP133'!EM18,"AAAAAG8632k=")</f>
        <v>#VALUE!</v>
      </c>
      <c r="DC57" t="e">
        <f>AND('UP133'!EN18,"AAAAAG8632o=")</f>
        <v>#VALUE!</v>
      </c>
      <c r="DD57" t="e">
        <f>AND('UP133'!EO18,"AAAAAG8632s=")</f>
        <v>#VALUE!</v>
      </c>
      <c r="DE57" t="e">
        <f>AND('UP133'!EP18,"AAAAAG8632w=")</f>
        <v>#VALUE!</v>
      </c>
      <c r="DF57" t="e">
        <f>AND('UP133'!EQ18,"AAAAAG86320=")</f>
        <v>#VALUE!</v>
      </c>
      <c r="DG57" t="e">
        <f>AND('UP133'!ER18,"AAAAAG86324=")</f>
        <v>#VALUE!</v>
      </c>
      <c r="DH57" t="e">
        <f>AND('UP133'!ES18,"AAAAAG86328=")</f>
        <v>#VALUE!</v>
      </c>
      <c r="DI57" t="e">
        <f>AND('UP133'!ET18,"AAAAAG8633A=")</f>
        <v>#VALUE!</v>
      </c>
      <c r="DJ57" t="e">
        <f>AND('UP133'!EU18,"AAAAAG8633E=")</f>
        <v>#VALUE!</v>
      </c>
      <c r="DK57" t="e">
        <f>AND('UP133'!EV18,"AAAAAG8633I=")</f>
        <v>#VALUE!</v>
      </c>
      <c r="DL57" t="e">
        <f>AND('UP133'!EW18,"AAAAAG8633M=")</f>
        <v>#VALUE!</v>
      </c>
      <c r="DM57" t="e">
        <f>AND('UP133'!EX18,"AAAAAG8633Q=")</f>
        <v>#VALUE!</v>
      </c>
      <c r="DN57" t="e">
        <f>AND('UP133'!EY18,"AAAAAG8633U=")</f>
        <v>#VALUE!</v>
      </c>
      <c r="DO57" t="e">
        <f>AND('UP133'!EZ18,"AAAAAG8633Y=")</f>
        <v>#VALUE!</v>
      </c>
      <c r="DP57" t="e">
        <f>AND('UP133'!FA18,"AAAAAG8633c=")</f>
        <v>#VALUE!</v>
      </c>
      <c r="DQ57" t="e">
        <f>AND('UP133'!FB18,"AAAAAG8633g=")</f>
        <v>#VALUE!</v>
      </c>
      <c r="DR57" t="e">
        <f>AND('UP133'!FC18,"AAAAAG8633k=")</f>
        <v>#VALUE!</v>
      </c>
      <c r="DS57" t="e">
        <f>AND('UP133'!FD18,"AAAAAG8633o=")</f>
        <v>#VALUE!</v>
      </c>
      <c r="DT57" t="e">
        <f>AND('UP133'!FE18,"AAAAAG8633s=")</f>
        <v>#VALUE!</v>
      </c>
      <c r="DU57" t="e">
        <f>AND('UP133'!FF18,"AAAAAG8633w=")</f>
        <v>#VALUE!</v>
      </c>
      <c r="DV57" t="e">
        <f>AND('UP133'!FG18,"AAAAAG86330=")</f>
        <v>#VALUE!</v>
      </c>
      <c r="DW57" t="e">
        <f>AND('UP133'!FH18,"AAAAAG86334=")</f>
        <v>#VALUE!</v>
      </c>
      <c r="DX57" t="e">
        <f>AND('UP133'!FI18,"AAAAAG86338=")</f>
        <v>#VALUE!</v>
      </c>
      <c r="DY57" t="e">
        <f>AND('UP133'!FJ18,"AAAAAG8634A=")</f>
        <v>#VALUE!</v>
      </c>
      <c r="DZ57" t="e">
        <f>AND('UP133'!FK18,"AAAAAG8634E=")</f>
        <v>#VALUE!</v>
      </c>
      <c r="EA57" t="e">
        <f>AND('UP133'!FL18,"AAAAAG8634I=")</f>
        <v>#VALUE!</v>
      </c>
      <c r="EB57" t="e">
        <f>AND('UP133'!FM18,"AAAAAG8634M=")</f>
        <v>#VALUE!</v>
      </c>
      <c r="EC57" t="e">
        <f>AND('UP133'!FN18,"AAAAAG8634Q=")</f>
        <v>#VALUE!</v>
      </c>
      <c r="ED57" t="e">
        <f>AND('UP133'!FO18,"AAAAAG8634U=")</f>
        <v>#VALUE!</v>
      </c>
      <c r="EE57" t="e">
        <f>AND('UP133'!FP18,"AAAAAG8634Y=")</f>
        <v>#VALUE!</v>
      </c>
      <c r="EF57" t="e">
        <f>AND('UP133'!FQ18,"AAAAAG8634c=")</f>
        <v>#VALUE!</v>
      </c>
      <c r="EG57" t="e">
        <f>AND('UP133'!FR18,"AAAAAG8634g=")</f>
        <v>#VALUE!</v>
      </c>
      <c r="EH57" t="e">
        <f>AND('UP133'!FS18,"AAAAAG8634k=")</f>
        <v>#VALUE!</v>
      </c>
      <c r="EI57" t="e">
        <f>AND('UP133'!FT18,"AAAAAG8634o=")</f>
        <v>#VALUE!</v>
      </c>
      <c r="EJ57" t="e">
        <f>AND('UP133'!FU18,"AAAAAG8634s=")</f>
        <v>#VALUE!</v>
      </c>
      <c r="EK57" t="e">
        <f>AND('UP133'!FV18,"AAAAAG8634w=")</f>
        <v>#VALUE!</v>
      </c>
      <c r="EL57" t="e">
        <f>AND('UP133'!FW18,"AAAAAG86340=")</f>
        <v>#VALUE!</v>
      </c>
      <c r="EM57" t="e">
        <f>AND('UP133'!FX18,"AAAAAG86344=")</f>
        <v>#VALUE!</v>
      </c>
      <c r="EN57" t="e">
        <f>AND('UP133'!FY18,"AAAAAG86348=")</f>
        <v>#VALUE!</v>
      </c>
      <c r="EO57" t="e">
        <f>AND('UP133'!FZ18,"AAAAAG8635A=")</f>
        <v>#VALUE!</v>
      </c>
      <c r="EP57" t="e">
        <f>AND('UP133'!GA18,"AAAAAG8635E=")</f>
        <v>#VALUE!</v>
      </c>
      <c r="EQ57" t="e">
        <f>AND('UP133'!GB18,"AAAAAG8635I=")</f>
        <v>#VALUE!</v>
      </c>
      <c r="ER57" t="e">
        <f>AND('UP133'!GC18,"AAAAAG8635M=")</f>
        <v>#VALUE!</v>
      </c>
      <c r="ES57" t="e">
        <f>AND('UP133'!GD18,"AAAAAG8635Q=")</f>
        <v>#VALUE!</v>
      </c>
      <c r="ET57" t="e">
        <f>AND('UP133'!GE18,"AAAAAG8635U=")</f>
        <v>#VALUE!</v>
      </c>
      <c r="EU57" t="e">
        <f>AND('UP133'!GF18,"AAAAAG8635Y=")</f>
        <v>#VALUE!</v>
      </c>
      <c r="EV57" t="e">
        <f>AND('UP133'!GG18,"AAAAAG8635c=")</f>
        <v>#VALUE!</v>
      </c>
      <c r="EW57" t="e">
        <f>AND('UP133'!GH18,"AAAAAG8635g=")</f>
        <v>#VALUE!</v>
      </c>
      <c r="EX57" t="e">
        <f>AND('UP133'!GI18,"AAAAAG8635k=")</f>
        <v>#VALUE!</v>
      </c>
      <c r="EY57" t="e">
        <f>AND('UP133'!GJ18,"AAAAAG8635o=")</f>
        <v>#VALUE!</v>
      </c>
      <c r="EZ57" t="e">
        <f>AND('UP133'!GK18,"AAAAAG8635s=")</f>
        <v>#VALUE!</v>
      </c>
      <c r="FA57" t="e">
        <f>AND('UP133'!GL18,"AAAAAG8635w=")</f>
        <v>#VALUE!</v>
      </c>
      <c r="FB57" t="e">
        <f>AND('UP133'!GM18,"AAAAAG86350=")</f>
        <v>#VALUE!</v>
      </c>
      <c r="FC57" t="e">
        <f>AND('UP133'!GN18,"AAAAAG86354=")</f>
        <v>#VALUE!</v>
      </c>
      <c r="FD57" t="e">
        <f>AND('UP133'!GO18,"AAAAAG86358=")</f>
        <v>#VALUE!</v>
      </c>
      <c r="FE57" t="e">
        <f>AND('UP133'!GP18,"AAAAAG8636A=")</f>
        <v>#VALUE!</v>
      </c>
      <c r="FF57" t="e">
        <f>AND('UP133'!GQ18,"AAAAAG8636E=")</f>
        <v>#VALUE!</v>
      </c>
      <c r="FG57" t="e">
        <f>AND('UP133'!GR18,"AAAAAG8636I=")</f>
        <v>#VALUE!</v>
      </c>
      <c r="FH57" t="e">
        <f>AND('UP133'!GS18,"AAAAAG8636M=")</f>
        <v>#VALUE!</v>
      </c>
      <c r="FI57" t="e">
        <f>AND('UP133'!GT18,"AAAAAG8636Q=")</f>
        <v>#VALUE!</v>
      </c>
      <c r="FJ57" t="e">
        <f>AND('UP133'!GU18,"AAAAAG8636U=")</f>
        <v>#VALUE!</v>
      </c>
      <c r="FK57" t="e">
        <f>AND('UP133'!GV18,"AAAAAG8636Y=")</f>
        <v>#VALUE!</v>
      </c>
      <c r="FL57" t="e">
        <f>AND('UP133'!GW18,"AAAAAG8636c=")</f>
        <v>#VALUE!</v>
      </c>
      <c r="FM57" t="e">
        <f>AND('UP133'!GX18,"AAAAAG8636g=")</f>
        <v>#VALUE!</v>
      </c>
      <c r="FN57" t="e">
        <f>AND('UP133'!GY18,"AAAAAG8636k=")</f>
        <v>#VALUE!</v>
      </c>
      <c r="FO57" t="e">
        <f>AND('UP133'!GZ18,"AAAAAG8636o=")</f>
        <v>#VALUE!</v>
      </c>
      <c r="FP57" t="e">
        <f>AND('UP133'!HA18,"AAAAAG8636s=")</f>
        <v>#VALUE!</v>
      </c>
      <c r="FQ57" t="e">
        <f>AND('UP133'!HB18,"AAAAAG8636w=")</f>
        <v>#VALUE!</v>
      </c>
      <c r="FR57" t="e">
        <f>AND('UP133'!HC18,"AAAAAG86360=")</f>
        <v>#VALUE!</v>
      </c>
      <c r="FS57" t="e">
        <f>AND('UP133'!HD18,"AAAAAG86364=")</f>
        <v>#VALUE!</v>
      </c>
      <c r="FT57" t="e">
        <f>AND('UP133'!HE18,"AAAAAG86368=")</f>
        <v>#VALUE!</v>
      </c>
      <c r="FU57" t="e">
        <f>AND('UP133'!HF18,"AAAAAG8637A=")</f>
        <v>#VALUE!</v>
      </c>
      <c r="FV57" t="e">
        <f>AND('UP133'!HG18,"AAAAAG8637E=")</f>
        <v>#VALUE!</v>
      </c>
      <c r="FW57" t="e">
        <f>AND('UP133'!HH18,"AAAAAG8637I=")</f>
        <v>#VALUE!</v>
      </c>
      <c r="FX57" t="e">
        <f>AND('UP133'!HI18,"AAAAAG8637M=")</f>
        <v>#VALUE!</v>
      </c>
      <c r="FY57" t="e">
        <f>AND('UP133'!HJ18,"AAAAAG8637Q=")</f>
        <v>#VALUE!</v>
      </c>
      <c r="FZ57" t="e">
        <f>AND('UP133'!HK18,"AAAAAG8637U=")</f>
        <v>#VALUE!</v>
      </c>
      <c r="GA57" t="e">
        <f>AND('UP133'!HL18,"AAAAAG8637Y=")</f>
        <v>#VALUE!</v>
      </c>
      <c r="GB57" t="e">
        <f>AND('UP133'!HM18,"AAAAAG8637c=")</f>
        <v>#VALUE!</v>
      </c>
      <c r="GC57" t="e">
        <f>AND('UP133'!HN18,"AAAAAG8637g=")</f>
        <v>#VALUE!</v>
      </c>
      <c r="GD57" t="e">
        <f>AND('UP133'!HO18,"AAAAAG8637k=")</f>
        <v>#VALUE!</v>
      </c>
      <c r="GE57" t="e">
        <f>AND('UP133'!HP18,"AAAAAG8637o=")</f>
        <v>#VALUE!</v>
      </c>
      <c r="GF57" t="e">
        <f>AND('UP133'!HQ18,"AAAAAG8637s=")</f>
        <v>#VALUE!</v>
      </c>
      <c r="GG57" t="e">
        <f>AND('UP133'!HR18,"AAAAAG8637w=")</f>
        <v>#VALUE!</v>
      </c>
      <c r="GH57" t="e">
        <f>AND('UP133'!HS18,"AAAAAG86370=")</f>
        <v>#VALUE!</v>
      </c>
      <c r="GI57" t="e">
        <f>AND('UP133'!HT18,"AAAAAG86374=")</f>
        <v>#VALUE!</v>
      </c>
      <c r="GJ57" t="e">
        <f>AND('UP133'!HU18,"AAAAAG86378=")</f>
        <v>#VALUE!</v>
      </c>
      <c r="GK57" t="e">
        <f>AND('UP133'!HV18,"AAAAAG8638A=")</f>
        <v>#VALUE!</v>
      </c>
      <c r="GL57" t="e">
        <f>AND('UP133'!HW18,"AAAAAG8638E=")</f>
        <v>#VALUE!</v>
      </c>
      <c r="GM57" t="e">
        <f>AND('UP133'!HX18,"AAAAAG8638I=")</f>
        <v>#VALUE!</v>
      </c>
      <c r="GN57" t="e">
        <f>AND('UP133'!HY18,"AAAAAG8638M=")</f>
        <v>#VALUE!</v>
      </c>
      <c r="GO57" t="e">
        <f>AND('UP133'!HZ18,"AAAAAG8638Q=")</f>
        <v>#VALUE!</v>
      </c>
      <c r="GP57" t="e">
        <f>AND('UP133'!IA18,"AAAAAG8638U=")</f>
        <v>#VALUE!</v>
      </c>
      <c r="GQ57" t="e">
        <f>AND('UP133'!IB18,"AAAAAG8638Y=")</f>
        <v>#VALUE!</v>
      </c>
      <c r="GR57" t="e">
        <f>AND('UP133'!IC18,"AAAAAG8638c=")</f>
        <v>#VALUE!</v>
      </c>
      <c r="GS57" t="e">
        <f>AND('UP133'!ID18,"AAAAAG8638g=")</f>
        <v>#VALUE!</v>
      </c>
      <c r="GT57" t="e">
        <f>AND('UP133'!IE18,"AAAAAG8638k=")</f>
        <v>#VALUE!</v>
      </c>
      <c r="GU57" t="e">
        <f>AND('UP133'!IF18,"AAAAAG8638o=")</f>
        <v>#VALUE!</v>
      </c>
      <c r="GV57" t="e">
        <f>AND('UP133'!IG18,"AAAAAG8638s=")</f>
        <v>#VALUE!</v>
      </c>
      <c r="GW57" t="e">
        <f>AND('UP133'!IH18,"AAAAAG8638w=")</f>
        <v>#VALUE!</v>
      </c>
      <c r="GX57" t="e">
        <f>AND('UP133'!II18,"AAAAAG86380=")</f>
        <v>#VALUE!</v>
      </c>
      <c r="GY57" t="e">
        <f>AND('UP133'!IJ18,"AAAAAG86384=")</f>
        <v>#VALUE!</v>
      </c>
      <c r="GZ57" t="e">
        <f>AND('UP133'!IK18,"AAAAAG86388=")</f>
        <v>#VALUE!</v>
      </c>
      <c r="HA57" t="e">
        <f>AND('UP133'!IL18,"AAAAAG8639A=")</f>
        <v>#VALUE!</v>
      </c>
      <c r="HB57" t="e">
        <f>AND('UP133'!IM18,"AAAAAG8639E=")</f>
        <v>#VALUE!</v>
      </c>
      <c r="HC57" t="e">
        <f>AND('UP133'!IN18,"AAAAAG8639I=")</f>
        <v>#VALUE!</v>
      </c>
      <c r="HD57" t="e">
        <f>AND('UP133'!IO18,"AAAAAG8639M=")</f>
        <v>#VALUE!</v>
      </c>
      <c r="HE57" t="e">
        <f>AND('UP133'!IP18,"AAAAAG8639Q=")</f>
        <v>#VALUE!</v>
      </c>
      <c r="HF57" t="e">
        <f>AND('UP133'!IQ18,"AAAAAG8639U=")</f>
        <v>#VALUE!</v>
      </c>
      <c r="HG57">
        <f>IF('UP133'!19:19,"AAAAAG8639Y=",0)</f>
        <v>0</v>
      </c>
      <c r="HH57" t="e">
        <f>AND('UP133'!A19,"AAAAAG8639c=")</f>
        <v>#VALUE!</v>
      </c>
      <c r="HI57" t="e">
        <f>AND('UP133'!B19,"AAAAAG8639g=")</f>
        <v>#VALUE!</v>
      </c>
      <c r="HJ57" t="e">
        <f>AND('UP133'!C19,"AAAAAG8639k=")</f>
        <v>#VALUE!</v>
      </c>
      <c r="HK57" t="e">
        <f>AND('UP133'!D19,"AAAAAG8639o=")</f>
        <v>#VALUE!</v>
      </c>
      <c r="HL57" t="e">
        <f>AND('UP133'!E19,"AAAAAG8639s=")</f>
        <v>#VALUE!</v>
      </c>
      <c r="HM57" t="e">
        <f>AND('UP133'!F19,"AAAAAG8639w=")</f>
        <v>#VALUE!</v>
      </c>
      <c r="HN57" t="e">
        <f>AND('UP133'!G19,"AAAAAG86390=")</f>
        <v>#VALUE!</v>
      </c>
      <c r="HO57" t="e">
        <f>AND('UP133'!H19,"AAAAAG86394=")</f>
        <v>#VALUE!</v>
      </c>
      <c r="HP57" t="e">
        <f>AND('UP133'!I19,"AAAAAG86398=")</f>
        <v>#VALUE!</v>
      </c>
      <c r="HQ57" t="e">
        <f>AND('UP133'!J19,"AAAAAG863+A=")</f>
        <v>#VALUE!</v>
      </c>
      <c r="HR57" t="e">
        <f>AND('UP133'!K19,"AAAAAG863+E=")</f>
        <v>#VALUE!</v>
      </c>
      <c r="HS57" t="e">
        <f>AND('UP133'!L19,"AAAAAG863+I=")</f>
        <v>#VALUE!</v>
      </c>
      <c r="HT57" t="e">
        <f>AND('UP133'!M19,"AAAAAG863+M=")</f>
        <v>#VALUE!</v>
      </c>
      <c r="HU57" t="e">
        <f>AND('UP133'!N19,"AAAAAG863+Q=")</f>
        <v>#VALUE!</v>
      </c>
      <c r="HV57" t="e">
        <f>AND('UP133'!O19,"AAAAAG863+U=")</f>
        <v>#VALUE!</v>
      </c>
      <c r="HW57" t="e">
        <f>AND('UP133'!P19,"AAAAAG863+Y=")</f>
        <v>#VALUE!</v>
      </c>
      <c r="HX57" t="e">
        <f>AND('UP133'!Q19,"AAAAAG863+c=")</f>
        <v>#VALUE!</v>
      </c>
      <c r="HY57" t="e">
        <f>AND('UP133'!R19,"AAAAAG863+g=")</f>
        <v>#VALUE!</v>
      </c>
      <c r="HZ57" t="e">
        <f>AND('UP133'!S19,"AAAAAG863+k=")</f>
        <v>#VALUE!</v>
      </c>
      <c r="IA57" t="e">
        <f>AND('UP133'!T19,"AAAAAG863+o=")</f>
        <v>#VALUE!</v>
      </c>
      <c r="IB57" t="e">
        <f>AND('UP133'!U19,"AAAAAG863+s=")</f>
        <v>#VALUE!</v>
      </c>
      <c r="IC57" t="e">
        <f>AND('UP133'!V19,"AAAAAG863+w=")</f>
        <v>#VALUE!</v>
      </c>
      <c r="ID57" t="e">
        <f>AND('UP133'!W19,"AAAAAG863+0=")</f>
        <v>#VALUE!</v>
      </c>
      <c r="IE57" t="e">
        <f>AND('UP133'!X19,"AAAAAG863+4=")</f>
        <v>#VALUE!</v>
      </c>
      <c r="IF57" t="e">
        <f>AND('UP133'!Y19,"AAAAAG863+8=")</f>
        <v>#VALUE!</v>
      </c>
      <c r="IG57" t="e">
        <f>AND('UP133'!Z19,"AAAAAG863/A=")</f>
        <v>#VALUE!</v>
      </c>
      <c r="IH57" t="e">
        <f>AND('UP133'!AA19,"AAAAAG863/E=")</f>
        <v>#VALUE!</v>
      </c>
      <c r="II57" t="e">
        <f>AND('UP133'!AB19,"AAAAAG863/I=")</f>
        <v>#VALUE!</v>
      </c>
      <c r="IJ57" t="e">
        <f>AND('UP133'!AC19,"AAAAAG863/M=")</f>
        <v>#VALUE!</v>
      </c>
      <c r="IK57" t="e">
        <f>AND('UP133'!AD19,"AAAAAG863/Q=")</f>
        <v>#VALUE!</v>
      </c>
      <c r="IL57" t="e">
        <f>AND('UP133'!AE19,"AAAAAG863/U=")</f>
        <v>#VALUE!</v>
      </c>
      <c r="IM57" t="e">
        <f>AND('UP133'!AF19,"AAAAAG863/Y=")</f>
        <v>#VALUE!</v>
      </c>
      <c r="IN57" t="e">
        <f>AND('UP133'!AG19,"AAAAAG863/c=")</f>
        <v>#VALUE!</v>
      </c>
      <c r="IO57" t="e">
        <f>AND('UP133'!AH19,"AAAAAG863/g=")</f>
        <v>#VALUE!</v>
      </c>
      <c r="IP57" t="e">
        <f>AND('UP133'!AI19,"AAAAAG863/k=")</f>
        <v>#VALUE!</v>
      </c>
      <c r="IQ57" t="e">
        <f>AND('UP133'!AJ19,"AAAAAG863/o=")</f>
        <v>#VALUE!</v>
      </c>
      <c r="IR57" t="e">
        <f>AND('UP133'!AK19,"AAAAAG863/s=")</f>
        <v>#VALUE!</v>
      </c>
      <c r="IS57" t="e">
        <f>AND('UP133'!AL19,"AAAAAG863/w=")</f>
        <v>#VALUE!</v>
      </c>
      <c r="IT57" t="e">
        <f>AND('UP133'!AM19,"AAAAAG863/0=")</f>
        <v>#VALUE!</v>
      </c>
      <c r="IU57" t="e">
        <f>AND('UP133'!AN19,"AAAAAG863/4=")</f>
        <v>#VALUE!</v>
      </c>
      <c r="IV57" t="e">
        <f>AND('UP133'!AO19,"AAAAAG863/8=")</f>
        <v>#VALUE!</v>
      </c>
    </row>
    <row r="58" spans="1:256">
      <c r="A58" t="e">
        <f>AND('UP133'!AP19,"AAAAAFf/fQA=")</f>
        <v>#VALUE!</v>
      </c>
      <c r="B58" t="e">
        <f>AND('UP133'!AQ19,"AAAAAFf/fQE=")</f>
        <v>#VALUE!</v>
      </c>
      <c r="C58" t="e">
        <f>AND('UP133'!AR19,"AAAAAFf/fQI=")</f>
        <v>#VALUE!</v>
      </c>
      <c r="D58" t="e">
        <f>AND('UP133'!AS19,"AAAAAFf/fQM=")</f>
        <v>#VALUE!</v>
      </c>
      <c r="E58" t="e">
        <f>AND('UP133'!AT19,"AAAAAFf/fQQ=")</f>
        <v>#VALUE!</v>
      </c>
      <c r="F58" t="e">
        <f>AND('UP133'!AU19,"AAAAAFf/fQU=")</f>
        <v>#VALUE!</v>
      </c>
      <c r="G58" t="e">
        <f>AND('UP133'!AV19,"AAAAAFf/fQY=")</f>
        <v>#VALUE!</v>
      </c>
      <c r="H58" t="e">
        <f>AND('UP133'!AW19,"AAAAAFf/fQc=")</f>
        <v>#VALUE!</v>
      </c>
      <c r="I58" t="e">
        <f>AND('UP133'!AX19,"AAAAAFf/fQg=")</f>
        <v>#VALUE!</v>
      </c>
      <c r="J58" t="e">
        <f>AND('UP133'!AY19,"AAAAAFf/fQk=")</f>
        <v>#VALUE!</v>
      </c>
      <c r="K58" t="e">
        <f>AND('UP133'!AZ19,"AAAAAFf/fQo=")</f>
        <v>#VALUE!</v>
      </c>
      <c r="L58" t="e">
        <f>AND('UP133'!BA19,"AAAAAFf/fQs=")</f>
        <v>#VALUE!</v>
      </c>
      <c r="M58" t="e">
        <f>AND('UP133'!BB19,"AAAAAFf/fQw=")</f>
        <v>#VALUE!</v>
      </c>
      <c r="N58" t="e">
        <f>AND('UP133'!BC19,"AAAAAFf/fQ0=")</f>
        <v>#VALUE!</v>
      </c>
      <c r="O58" t="e">
        <f>AND('UP133'!BD19,"AAAAAFf/fQ4=")</f>
        <v>#VALUE!</v>
      </c>
      <c r="P58" t="e">
        <f>AND('UP133'!BE19,"AAAAAFf/fQ8=")</f>
        <v>#VALUE!</v>
      </c>
      <c r="Q58" t="e">
        <f>AND('UP133'!BF19,"AAAAAFf/fRA=")</f>
        <v>#VALUE!</v>
      </c>
      <c r="R58" t="e">
        <f>AND('UP133'!BG19,"AAAAAFf/fRE=")</f>
        <v>#VALUE!</v>
      </c>
      <c r="S58" t="e">
        <f>AND('UP133'!BH19,"AAAAAFf/fRI=")</f>
        <v>#VALUE!</v>
      </c>
      <c r="T58" t="e">
        <f>AND('UP133'!BI19,"AAAAAFf/fRM=")</f>
        <v>#VALUE!</v>
      </c>
      <c r="U58" t="e">
        <f>AND('UP133'!BJ19,"AAAAAFf/fRQ=")</f>
        <v>#VALUE!</v>
      </c>
      <c r="V58" t="e">
        <f>AND('UP133'!BK19,"AAAAAFf/fRU=")</f>
        <v>#VALUE!</v>
      </c>
      <c r="W58" t="e">
        <f>AND('UP133'!BL19,"AAAAAFf/fRY=")</f>
        <v>#VALUE!</v>
      </c>
      <c r="X58" t="e">
        <f>AND('UP133'!BM19,"AAAAAFf/fRc=")</f>
        <v>#VALUE!</v>
      </c>
      <c r="Y58" t="e">
        <f>AND('UP133'!BN19,"AAAAAFf/fRg=")</f>
        <v>#VALUE!</v>
      </c>
      <c r="Z58" t="e">
        <f>AND('UP133'!BO19,"AAAAAFf/fRk=")</f>
        <v>#VALUE!</v>
      </c>
      <c r="AA58" t="e">
        <f>AND('UP133'!BP19,"AAAAAFf/fRo=")</f>
        <v>#VALUE!</v>
      </c>
      <c r="AB58" t="e">
        <f>AND('UP133'!BQ19,"AAAAAFf/fRs=")</f>
        <v>#VALUE!</v>
      </c>
      <c r="AC58" t="e">
        <f>AND('UP133'!BR19,"AAAAAFf/fRw=")</f>
        <v>#VALUE!</v>
      </c>
      <c r="AD58" t="e">
        <f>AND('UP133'!BS19,"AAAAAFf/fR0=")</f>
        <v>#VALUE!</v>
      </c>
      <c r="AE58" t="e">
        <f>AND('UP133'!BT19,"AAAAAFf/fR4=")</f>
        <v>#VALUE!</v>
      </c>
      <c r="AF58" t="e">
        <f>AND('UP133'!BU19,"AAAAAFf/fR8=")</f>
        <v>#VALUE!</v>
      </c>
      <c r="AG58" t="e">
        <f>AND('UP133'!BV19,"AAAAAFf/fSA=")</f>
        <v>#VALUE!</v>
      </c>
      <c r="AH58" t="e">
        <f>AND('UP133'!BW19,"AAAAAFf/fSE=")</f>
        <v>#VALUE!</v>
      </c>
      <c r="AI58" t="e">
        <f>AND('UP133'!BX19,"AAAAAFf/fSI=")</f>
        <v>#VALUE!</v>
      </c>
      <c r="AJ58" t="e">
        <f>AND('UP133'!BY19,"AAAAAFf/fSM=")</f>
        <v>#VALUE!</v>
      </c>
      <c r="AK58" t="e">
        <f>AND('UP133'!BZ19,"AAAAAFf/fSQ=")</f>
        <v>#VALUE!</v>
      </c>
      <c r="AL58" t="e">
        <f>AND('UP133'!CA19,"AAAAAFf/fSU=")</f>
        <v>#VALUE!</v>
      </c>
      <c r="AM58" t="e">
        <f>AND('UP133'!CB19,"AAAAAFf/fSY=")</f>
        <v>#VALUE!</v>
      </c>
      <c r="AN58" t="e">
        <f>AND('UP133'!CC19,"AAAAAFf/fSc=")</f>
        <v>#VALUE!</v>
      </c>
      <c r="AO58" t="e">
        <f>AND('UP133'!CD19,"AAAAAFf/fSg=")</f>
        <v>#VALUE!</v>
      </c>
      <c r="AP58" t="e">
        <f>AND('UP133'!CE19,"AAAAAFf/fSk=")</f>
        <v>#VALUE!</v>
      </c>
      <c r="AQ58" t="e">
        <f>AND('UP133'!CF19,"AAAAAFf/fSo=")</f>
        <v>#VALUE!</v>
      </c>
      <c r="AR58" t="e">
        <f>AND('UP133'!CG19,"AAAAAFf/fSs=")</f>
        <v>#VALUE!</v>
      </c>
      <c r="AS58" t="e">
        <f>AND('UP133'!CH19,"AAAAAFf/fSw=")</f>
        <v>#VALUE!</v>
      </c>
      <c r="AT58" t="e">
        <f>AND('UP133'!CI19,"AAAAAFf/fS0=")</f>
        <v>#VALUE!</v>
      </c>
      <c r="AU58" t="e">
        <f>AND('UP133'!CJ19,"AAAAAFf/fS4=")</f>
        <v>#VALUE!</v>
      </c>
      <c r="AV58" t="e">
        <f>AND('UP133'!CK19,"AAAAAFf/fS8=")</f>
        <v>#VALUE!</v>
      </c>
      <c r="AW58" t="e">
        <f>AND('UP133'!CL19,"AAAAAFf/fTA=")</f>
        <v>#VALUE!</v>
      </c>
      <c r="AX58" t="e">
        <f>AND('UP133'!CM19,"AAAAAFf/fTE=")</f>
        <v>#VALUE!</v>
      </c>
      <c r="AY58" t="e">
        <f>AND('UP133'!CN19,"AAAAAFf/fTI=")</f>
        <v>#VALUE!</v>
      </c>
      <c r="AZ58" t="e">
        <f>AND('UP133'!CO19,"AAAAAFf/fTM=")</f>
        <v>#VALUE!</v>
      </c>
      <c r="BA58" t="e">
        <f>AND('UP133'!CP19,"AAAAAFf/fTQ=")</f>
        <v>#VALUE!</v>
      </c>
      <c r="BB58" t="e">
        <f>AND('UP133'!CQ19,"AAAAAFf/fTU=")</f>
        <v>#VALUE!</v>
      </c>
      <c r="BC58" t="e">
        <f>AND('UP133'!CR19,"AAAAAFf/fTY=")</f>
        <v>#VALUE!</v>
      </c>
      <c r="BD58" t="e">
        <f>AND('UP133'!CS19,"AAAAAFf/fTc=")</f>
        <v>#VALUE!</v>
      </c>
      <c r="BE58" t="e">
        <f>AND('UP133'!CT19,"AAAAAFf/fTg=")</f>
        <v>#VALUE!</v>
      </c>
      <c r="BF58" t="e">
        <f>AND('UP133'!CU19,"AAAAAFf/fTk=")</f>
        <v>#VALUE!</v>
      </c>
      <c r="BG58" t="e">
        <f>AND('UP133'!CV19,"AAAAAFf/fTo=")</f>
        <v>#VALUE!</v>
      </c>
      <c r="BH58" t="e">
        <f>AND('UP133'!CW19,"AAAAAFf/fTs=")</f>
        <v>#VALUE!</v>
      </c>
      <c r="BI58" t="e">
        <f>AND('UP133'!CX19,"AAAAAFf/fTw=")</f>
        <v>#VALUE!</v>
      </c>
      <c r="BJ58" t="e">
        <f>AND('UP133'!CY19,"AAAAAFf/fT0=")</f>
        <v>#VALUE!</v>
      </c>
      <c r="BK58" t="e">
        <f>AND('UP133'!CZ19,"AAAAAFf/fT4=")</f>
        <v>#VALUE!</v>
      </c>
      <c r="BL58" t="e">
        <f>AND('UP133'!DA19,"AAAAAFf/fT8=")</f>
        <v>#VALUE!</v>
      </c>
      <c r="BM58" t="e">
        <f>AND('UP133'!DB19,"AAAAAFf/fUA=")</f>
        <v>#VALUE!</v>
      </c>
      <c r="BN58" t="e">
        <f>AND('UP133'!DC19,"AAAAAFf/fUE=")</f>
        <v>#VALUE!</v>
      </c>
      <c r="BO58" t="e">
        <f>AND('UP133'!DD19,"AAAAAFf/fUI=")</f>
        <v>#VALUE!</v>
      </c>
      <c r="BP58" t="e">
        <f>AND('UP133'!DE19,"AAAAAFf/fUM=")</f>
        <v>#VALUE!</v>
      </c>
      <c r="BQ58" t="e">
        <f>AND('UP133'!DF19,"AAAAAFf/fUQ=")</f>
        <v>#VALUE!</v>
      </c>
      <c r="BR58" t="e">
        <f>AND('UP133'!DG19,"AAAAAFf/fUU=")</f>
        <v>#VALUE!</v>
      </c>
      <c r="BS58" t="e">
        <f>AND('UP133'!DH19,"AAAAAFf/fUY=")</f>
        <v>#VALUE!</v>
      </c>
      <c r="BT58" t="e">
        <f>AND('UP133'!DI19,"AAAAAFf/fUc=")</f>
        <v>#VALUE!</v>
      </c>
      <c r="BU58" t="e">
        <f>AND('UP133'!DJ19,"AAAAAFf/fUg=")</f>
        <v>#VALUE!</v>
      </c>
      <c r="BV58" t="e">
        <f>AND('UP133'!DK19,"AAAAAFf/fUk=")</f>
        <v>#VALUE!</v>
      </c>
      <c r="BW58" t="e">
        <f>AND('UP133'!DL19,"AAAAAFf/fUo=")</f>
        <v>#VALUE!</v>
      </c>
      <c r="BX58" t="e">
        <f>AND('UP133'!DM19,"AAAAAFf/fUs=")</f>
        <v>#VALUE!</v>
      </c>
      <c r="BY58" t="e">
        <f>AND('UP133'!DN19,"AAAAAFf/fUw=")</f>
        <v>#VALUE!</v>
      </c>
      <c r="BZ58" t="e">
        <f>AND('UP133'!DO19,"AAAAAFf/fU0=")</f>
        <v>#VALUE!</v>
      </c>
      <c r="CA58" t="e">
        <f>AND('UP133'!DP19,"AAAAAFf/fU4=")</f>
        <v>#VALUE!</v>
      </c>
      <c r="CB58" t="e">
        <f>AND('UP133'!DQ19,"AAAAAFf/fU8=")</f>
        <v>#VALUE!</v>
      </c>
      <c r="CC58" t="e">
        <f>AND('UP133'!DR19,"AAAAAFf/fVA=")</f>
        <v>#VALUE!</v>
      </c>
      <c r="CD58" t="e">
        <f>AND('UP133'!DS19,"AAAAAFf/fVE=")</f>
        <v>#VALUE!</v>
      </c>
      <c r="CE58" t="e">
        <f>AND('UP133'!DT19,"AAAAAFf/fVI=")</f>
        <v>#VALUE!</v>
      </c>
      <c r="CF58" t="e">
        <f>AND('UP133'!DU19,"AAAAAFf/fVM=")</f>
        <v>#VALUE!</v>
      </c>
      <c r="CG58" t="e">
        <f>AND('UP133'!DV19,"AAAAAFf/fVQ=")</f>
        <v>#VALUE!</v>
      </c>
      <c r="CH58" t="e">
        <f>AND('UP133'!DW19,"AAAAAFf/fVU=")</f>
        <v>#VALUE!</v>
      </c>
      <c r="CI58" t="e">
        <f>AND('UP133'!DX19,"AAAAAFf/fVY=")</f>
        <v>#VALUE!</v>
      </c>
      <c r="CJ58" t="e">
        <f>AND('UP133'!DY19,"AAAAAFf/fVc=")</f>
        <v>#VALUE!</v>
      </c>
      <c r="CK58" t="e">
        <f>AND('UP133'!DZ19,"AAAAAFf/fVg=")</f>
        <v>#VALUE!</v>
      </c>
      <c r="CL58" t="e">
        <f>AND('UP133'!EA19,"AAAAAFf/fVk=")</f>
        <v>#VALUE!</v>
      </c>
      <c r="CM58" t="e">
        <f>AND('UP133'!EB19,"AAAAAFf/fVo=")</f>
        <v>#VALUE!</v>
      </c>
      <c r="CN58" t="e">
        <f>AND('UP133'!EC19,"AAAAAFf/fVs=")</f>
        <v>#VALUE!</v>
      </c>
      <c r="CO58" t="e">
        <f>AND('UP133'!ED19,"AAAAAFf/fVw=")</f>
        <v>#VALUE!</v>
      </c>
      <c r="CP58" t="e">
        <f>AND('UP133'!EE19,"AAAAAFf/fV0=")</f>
        <v>#VALUE!</v>
      </c>
      <c r="CQ58" t="e">
        <f>AND('UP133'!EF19,"AAAAAFf/fV4=")</f>
        <v>#VALUE!</v>
      </c>
      <c r="CR58" t="e">
        <f>AND('UP133'!EG19,"AAAAAFf/fV8=")</f>
        <v>#VALUE!</v>
      </c>
      <c r="CS58" t="e">
        <f>AND('UP133'!EH19,"AAAAAFf/fWA=")</f>
        <v>#VALUE!</v>
      </c>
      <c r="CT58" t="e">
        <f>AND('UP133'!EI19,"AAAAAFf/fWE=")</f>
        <v>#VALUE!</v>
      </c>
      <c r="CU58" t="e">
        <f>AND('UP133'!EJ19,"AAAAAFf/fWI=")</f>
        <v>#VALUE!</v>
      </c>
      <c r="CV58" t="e">
        <f>AND('UP133'!EK19,"AAAAAFf/fWM=")</f>
        <v>#VALUE!</v>
      </c>
      <c r="CW58" t="e">
        <f>AND('UP133'!EL19,"AAAAAFf/fWQ=")</f>
        <v>#VALUE!</v>
      </c>
      <c r="CX58" t="e">
        <f>AND('UP133'!EM19,"AAAAAFf/fWU=")</f>
        <v>#VALUE!</v>
      </c>
      <c r="CY58" t="e">
        <f>AND('UP133'!EN19,"AAAAAFf/fWY=")</f>
        <v>#VALUE!</v>
      </c>
      <c r="CZ58" t="e">
        <f>AND('UP133'!EO19,"AAAAAFf/fWc=")</f>
        <v>#VALUE!</v>
      </c>
      <c r="DA58" t="e">
        <f>AND('UP133'!EP19,"AAAAAFf/fWg=")</f>
        <v>#VALUE!</v>
      </c>
      <c r="DB58" t="e">
        <f>AND('UP133'!EQ19,"AAAAAFf/fWk=")</f>
        <v>#VALUE!</v>
      </c>
      <c r="DC58" t="e">
        <f>AND('UP133'!ER19,"AAAAAFf/fWo=")</f>
        <v>#VALUE!</v>
      </c>
      <c r="DD58" t="e">
        <f>AND('UP133'!ES19,"AAAAAFf/fWs=")</f>
        <v>#VALUE!</v>
      </c>
      <c r="DE58" t="e">
        <f>AND('UP133'!ET19,"AAAAAFf/fWw=")</f>
        <v>#VALUE!</v>
      </c>
      <c r="DF58" t="e">
        <f>AND('UP133'!EU19,"AAAAAFf/fW0=")</f>
        <v>#VALUE!</v>
      </c>
      <c r="DG58" t="e">
        <f>AND('UP133'!EV19,"AAAAAFf/fW4=")</f>
        <v>#VALUE!</v>
      </c>
      <c r="DH58" t="e">
        <f>AND('UP133'!EW19,"AAAAAFf/fW8=")</f>
        <v>#VALUE!</v>
      </c>
      <c r="DI58" t="e">
        <f>AND('UP133'!EX19,"AAAAAFf/fXA=")</f>
        <v>#VALUE!</v>
      </c>
      <c r="DJ58" t="e">
        <f>AND('UP133'!EY19,"AAAAAFf/fXE=")</f>
        <v>#VALUE!</v>
      </c>
      <c r="DK58" t="e">
        <f>AND('UP133'!EZ19,"AAAAAFf/fXI=")</f>
        <v>#VALUE!</v>
      </c>
      <c r="DL58" t="e">
        <f>AND('UP133'!FA19,"AAAAAFf/fXM=")</f>
        <v>#VALUE!</v>
      </c>
      <c r="DM58" t="e">
        <f>AND('UP133'!FB19,"AAAAAFf/fXQ=")</f>
        <v>#VALUE!</v>
      </c>
      <c r="DN58" t="e">
        <f>AND('UP133'!FC19,"AAAAAFf/fXU=")</f>
        <v>#VALUE!</v>
      </c>
      <c r="DO58" t="e">
        <f>AND('UP133'!FD19,"AAAAAFf/fXY=")</f>
        <v>#VALUE!</v>
      </c>
      <c r="DP58" t="e">
        <f>AND('UP133'!FE19,"AAAAAFf/fXc=")</f>
        <v>#VALUE!</v>
      </c>
      <c r="DQ58" t="e">
        <f>AND('UP133'!FF19,"AAAAAFf/fXg=")</f>
        <v>#VALUE!</v>
      </c>
      <c r="DR58" t="e">
        <f>AND('UP133'!FG19,"AAAAAFf/fXk=")</f>
        <v>#VALUE!</v>
      </c>
      <c r="DS58" t="e">
        <f>AND('UP133'!FH19,"AAAAAFf/fXo=")</f>
        <v>#VALUE!</v>
      </c>
      <c r="DT58" t="e">
        <f>AND('UP133'!FI19,"AAAAAFf/fXs=")</f>
        <v>#VALUE!</v>
      </c>
      <c r="DU58" t="e">
        <f>AND('UP133'!FJ19,"AAAAAFf/fXw=")</f>
        <v>#VALUE!</v>
      </c>
      <c r="DV58" t="e">
        <f>AND('UP133'!FK19,"AAAAAFf/fX0=")</f>
        <v>#VALUE!</v>
      </c>
      <c r="DW58" t="e">
        <f>AND('UP133'!FL19,"AAAAAFf/fX4=")</f>
        <v>#VALUE!</v>
      </c>
      <c r="DX58" t="e">
        <f>AND('UP133'!FM19,"AAAAAFf/fX8=")</f>
        <v>#VALUE!</v>
      </c>
      <c r="DY58" t="e">
        <f>AND('UP133'!FN19,"AAAAAFf/fYA=")</f>
        <v>#VALUE!</v>
      </c>
      <c r="DZ58" t="e">
        <f>AND('UP133'!FO19,"AAAAAFf/fYE=")</f>
        <v>#VALUE!</v>
      </c>
      <c r="EA58" t="e">
        <f>AND('UP133'!FP19,"AAAAAFf/fYI=")</f>
        <v>#VALUE!</v>
      </c>
      <c r="EB58" t="e">
        <f>AND('UP133'!FQ19,"AAAAAFf/fYM=")</f>
        <v>#VALUE!</v>
      </c>
      <c r="EC58" t="e">
        <f>AND('UP133'!FR19,"AAAAAFf/fYQ=")</f>
        <v>#VALUE!</v>
      </c>
      <c r="ED58" t="e">
        <f>AND('UP133'!FS19,"AAAAAFf/fYU=")</f>
        <v>#VALUE!</v>
      </c>
      <c r="EE58" t="e">
        <f>AND('UP133'!FT19,"AAAAAFf/fYY=")</f>
        <v>#VALUE!</v>
      </c>
      <c r="EF58" t="e">
        <f>AND('UP133'!FU19,"AAAAAFf/fYc=")</f>
        <v>#VALUE!</v>
      </c>
      <c r="EG58" t="e">
        <f>AND('UP133'!FV19,"AAAAAFf/fYg=")</f>
        <v>#VALUE!</v>
      </c>
      <c r="EH58" t="e">
        <f>AND('UP133'!FW19,"AAAAAFf/fYk=")</f>
        <v>#VALUE!</v>
      </c>
      <c r="EI58" t="e">
        <f>AND('UP133'!FX19,"AAAAAFf/fYo=")</f>
        <v>#VALUE!</v>
      </c>
      <c r="EJ58" t="e">
        <f>AND('UP133'!FY19,"AAAAAFf/fYs=")</f>
        <v>#VALUE!</v>
      </c>
      <c r="EK58" t="e">
        <f>AND('UP133'!FZ19,"AAAAAFf/fYw=")</f>
        <v>#VALUE!</v>
      </c>
      <c r="EL58" t="e">
        <f>AND('UP133'!GA19,"AAAAAFf/fY0=")</f>
        <v>#VALUE!</v>
      </c>
      <c r="EM58" t="e">
        <f>AND('UP133'!GB19,"AAAAAFf/fY4=")</f>
        <v>#VALUE!</v>
      </c>
      <c r="EN58" t="e">
        <f>AND('UP133'!GC19,"AAAAAFf/fY8=")</f>
        <v>#VALUE!</v>
      </c>
      <c r="EO58" t="e">
        <f>AND('UP133'!GD19,"AAAAAFf/fZA=")</f>
        <v>#VALUE!</v>
      </c>
      <c r="EP58" t="e">
        <f>AND('UP133'!GE19,"AAAAAFf/fZE=")</f>
        <v>#VALUE!</v>
      </c>
      <c r="EQ58" t="e">
        <f>AND('UP133'!GF19,"AAAAAFf/fZI=")</f>
        <v>#VALUE!</v>
      </c>
      <c r="ER58" t="e">
        <f>AND('UP133'!GG19,"AAAAAFf/fZM=")</f>
        <v>#VALUE!</v>
      </c>
      <c r="ES58" t="e">
        <f>AND('UP133'!GH19,"AAAAAFf/fZQ=")</f>
        <v>#VALUE!</v>
      </c>
      <c r="ET58" t="e">
        <f>AND('UP133'!GI19,"AAAAAFf/fZU=")</f>
        <v>#VALUE!</v>
      </c>
      <c r="EU58" t="e">
        <f>AND('UP133'!GJ19,"AAAAAFf/fZY=")</f>
        <v>#VALUE!</v>
      </c>
      <c r="EV58" t="e">
        <f>AND('UP133'!GK19,"AAAAAFf/fZc=")</f>
        <v>#VALUE!</v>
      </c>
      <c r="EW58" t="e">
        <f>AND('UP133'!GL19,"AAAAAFf/fZg=")</f>
        <v>#VALUE!</v>
      </c>
      <c r="EX58" t="e">
        <f>AND('UP133'!GM19,"AAAAAFf/fZk=")</f>
        <v>#VALUE!</v>
      </c>
      <c r="EY58" t="e">
        <f>AND('UP133'!GN19,"AAAAAFf/fZo=")</f>
        <v>#VALUE!</v>
      </c>
      <c r="EZ58" t="e">
        <f>AND('UP133'!GO19,"AAAAAFf/fZs=")</f>
        <v>#VALUE!</v>
      </c>
      <c r="FA58" t="e">
        <f>AND('UP133'!GP19,"AAAAAFf/fZw=")</f>
        <v>#VALUE!</v>
      </c>
      <c r="FB58" t="e">
        <f>AND('UP133'!GQ19,"AAAAAFf/fZ0=")</f>
        <v>#VALUE!</v>
      </c>
      <c r="FC58" t="e">
        <f>AND('UP133'!GR19,"AAAAAFf/fZ4=")</f>
        <v>#VALUE!</v>
      </c>
      <c r="FD58" t="e">
        <f>AND('UP133'!GS19,"AAAAAFf/fZ8=")</f>
        <v>#VALUE!</v>
      </c>
      <c r="FE58" t="e">
        <f>AND('UP133'!GT19,"AAAAAFf/faA=")</f>
        <v>#VALUE!</v>
      </c>
      <c r="FF58" t="e">
        <f>AND('UP133'!GU19,"AAAAAFf/faE=")</f>
        <v>#VALUE!</v>
      </c>
      <c r="FG58" t="e">
        <f>AND('UP133'!GV19,"AAAAAFf/faI=")</f>
        <v>#VALUE!</v>
      </c>
      <c r="FH58" t="e">
        <f>AND('UP133'!GW19,"AAAAAFf/faM=")</f>
        <v>#VALUE!</v>
      </c>
      <c r="FI58" t="e">
        <f>AND('UP133'!GX19,"AAAAAFf/faQ=")</f>
        <v>#VALUE!</v>
      </c>
      <c r="FJ58" t="e">
        <f>AND('UP133'!GY19,"AAAAAFf/faU=")</f>
        <v>#VALUE!</v>
      </c>
      <c r="FK58" t="e">
        <f>AND('UP133'!GZ19,"AAAAAFf/faY=")</f>
        <v>#VALUE!</v>
      </c>
      <c r="FL58" t="e">
        <f>AND('UP133'!HA19,"AAAAAFf/fac=")</f>
        <v>#VALUE!</v>
      </c>
      <c r="FM58" t="e">
        <f>AND('UP133'!HB19,"AAAAAFf/fag=")</f>
        <v>#VALUE!</v>
      </c>
      <c r="FN58" t="e">
        <f>AND('UP133'!HC19,"AAAAAFf/fak=")</f>
        <v>#VALUE!</v>
      </c>
      <c r="FO58" t="e">
        <f>AND('UP133'!HD19,"AAAAAFf/fao=")</f>
        <v>#VALUE!</v>
      </c>
      <c r="FP58" t="e">
        <f>AND('UP133'!HE19,"AAAAAFf/fas=")</f>
        <v>#VALUE!</v>
      </c>
      <c r="FQ58" t="e">
        <f>AND('UP133'!HF19,"AAAAAFf/faw=")</f>
        <v>#VALUE!</v>
      </c>
      <c r="FR58" t="e">
        <f>AND('UP133'!HG19,"AAAAAFf/fa0=")</f>
        <v>#VALUE!</v>
      </c>
      <c r="FS58" t="e">
        <f>AND('UP133'!HH19,"AAAAAFf/fa4=")</f>
        <v>#VALUE!</v>
      </c>
      <c r="FT58" t="e">
        <f>AND('UP133'!HI19,"AAAAAFf/fa8=")</f>
        <v>#VALUE!</v>
      </c>
      <c r="FU58" t="e">
        <f>AND('UP133'!HJ19,"AAAAAFf/fbA=")</f>
        <v>#VALUE!</v>
      </c>
      <c r="FV58" t="e">
        <f>AND('UP133'!HK19,"AAAAAFf/fbE=")</f>
        <v>#VALUE!</v>
      </c>
      <c r="FW58" t="e">
        <f>AND('UP133'!HL19,"AAAAAFf/fbI=")</f>
        <v>#VALUE!</v>
      </c>
      <c r="FX58" t="e">
        <f>AND('UP133'!HM19,"AAAAAFf/fbM=")</f>
        <v>#VALUE!</v>
      </c>
      <c r="FY58" t="e">
        <f>AND('UP133'!HN19,"AAAAAFf/fbQ=")</f>
        <v>#VALUE!</v>
      </c>
      <c r="FZ58" t="e">
        <f>AND('UP133'!HO19,"AAAAAFf/fbU=")</f>
        <v>#VALUE!</v>
      </c>
      <c r="GA58" t="e">
        <f>AND('UP133'!HP19,"AAAAAFf/fbY=")</f>
        <v>#VALUE!</v>
      </c>
      <c r="GB58" t="e">
        <f>AND('UP133'!HQ19,"AAAAAFf/fbc=")</f>
        <v>#VALUE!</v>
      </c>
      <c r="GC58" t="e">
        <f>AND('UP133'!HR19,"AAAAAFf/fbg=")</f>
        <v>#VALUE!</v>
      </c>
      <c r="GD58" t="e">
        <f>AND('UP133'!HS19,"AAAAAFf/fbk=")</f>
        <v>#VALUE!</v>
      </c>
      <c r="GE58" t="e">
        <f>AND('UP133'!HT19,"AAAAAFf/fbo=")</f>
        <v>#VALUE!</v>
      </c>
      <c r="GF58" t="e">
        <f>AND('UP133'!HU19,"AAAAAFf/fbs=")</f>
        <v>#VALUE!</v>
      </c>
      <c r="GG58" t="e">
        <f>AND('UP133'!HV19,"AAAAAFf/fbw=")</f>
        <v>#VALUE!</v>
      </c>
      <c r="GH58" t="e">
        <f>AND('UP133'!HW19,"AAAAAFf/fb0=")</f>
        <v>#VALUE!</v>
      </c>
      <c r="GI58" t="e">
        <f>AND('UP133'!HX19,"AAAAAFf/fb4=")</f>
        <v>#VALUE!</v>
      </c>
      <c r="GJ58" t="e">
        <f>AND('UP133'!HY19,"AAAAAFf/fb8=")</f>
        <v>#VALUE!</v>
      </c>
      <c r="GK58" t="e">
        <f>AND('UP133'!HZ19,"AAAAAFf/fcA=")</f>
        <v>#VALUE!</v>
      </c>
      <c r="GL58" t="e">
        <f>AND('UP133'!IA19,"AAAAAFf/fcE=")</f>
        <v>#VALUE!</v>
      </c>
      <c r="GM58" t="e">
        <f>AND('UP133'!IB19,"AAAAAFf/fcI=")</f>
        <v>#VALUE!</v>
      </c>
      <c r="GN58" t="e">
        <f>AND('UP133'!IC19,"AAAAAFf/fcM=")</f>
        <v>#VALUE!</v>
      </c>
      <c r="GO58" t="e">
        <f>AND('UP133'!ID19,"AAAAAFf/fcQ=")</f>
        <v>#VALUE!</v>
      </c>
      <c r="GP58" t="e">
        <f>AND('UP133'!IE19,"AAAAAFf/fcU=")</f>
        <v>#VALUE!</v>
      </c>
      <c r="GQ58" t="e">
        <f>AND('UP133'!IF19,"AAAAAFf/fcY=")</f>
        <v>#VALUE!</v>
      </c>
      <c r="GR58" t="e">
        <f>AND('UP133'!IG19,"AAAAAFf/fcc=")</f>
        <v>#VALUE!</v>
      </c>
      <c r="GS58" t="e">
        <f>AND('UP133'!IH19,"AAAAAFf/fcg=")</f>
        <v>#VALUE!</v>
      </c>
      <c r="GT58" t="e">
        <f>AND('UP133'!II19,"AAAAAFf/fck=")</f>
        <v>#VALUE!</v>
      </c>
      <c r="GU58" t="e">
        <f>AND('UP133'!IJ19,"AAAAAFf/fco=")</f>
        <v>#VALUE!</v>
      </c>
      <c r="GV58" t="e">
        <f>AND('UP133'!IK19,"AAAAAFf/fcs=")</f>
        <v>#VALUE!</v>
      </c>
      <c r="GW58" t="e">
        <f>AND('UP133'!IL19,"AAAAAFf/fcw=")</f>
        <v>#VALUE!</v>
      </c>
      <c r="GX58" t="e">
        <f>AND('UP133'!IM19,"AAAAAFf/fc0=")</f>
        <v>#VALUE!</v>
      </c>
      <c r="GY58" t="e">
        <f>AND('UP133'!IN19,"AAAAAFf/fc4=")</f>
        <v>#VALUE!</v>
      </c>
      <c r="GZ58" t="e">
        <f>AND('UP133'!IO19,"AAAAAFf/fc8=")</f>
        <v>#VALUE!</v>
      </c>
      <c r="HA58" t="e">
        <f>AND('UP133'!IP19,"AAAAAFf/fdA=")</f>
        <v>#VALUE!</v>
      </c>
      <c r="HB58" t="e">
        <f>AND('UP133'!IQ19,"AAAAAFf/fdE=")</f>
        <v>#VALUE!</v>
      </c>
      <c r="HC58">
        <f>IF('UP133'!20:20,"AAAAAFf/fdI=",0)</f>
        <v>0</v>
      </c>
      <c r="HD58" t="e">
        <f>AND('UP133'!A20,"AAAAAFf/fdM=")</f>
        <v>#VALUE!</v>
      </c>
      <c r="HE58" t="e">
        <f>AND('UP133'!B20,"AAAAAFf/fdQ=")</f>
        <v>#VALUE!</v>
      </c>
      <c r="HF58" t="e">
        <f>AND('UP133'!C20,"AAAAAFf/fdU=")</f>
        <v>#VALUE!</v>
      </c>
      <c r="HG58" t="e">
        <f>AND('UP133'!D20,"AAAAAFf/fdY=")</f>
        <v>#VALUE!</v>
      </c>
      <c r="HH58" t="e">
        <f>AND('UP133'!E20,"AAAAAFf/fdc=")</f>
        <v>#VALUE!</v>
      </c>
      <c r="HI58" t="e">
        <f>AND('UP133'!F20,"AAAAAFf/fdg=")</f>
        <v>#VALUE!</v>
      </c>
      <c r="HJ58" t="e">
        <f>AND('UP133'!G20,"AAAAAFf/fdk=")</f>
        <v>#VALUE!</v>
      </c>
      <c r="HK58" t="e">
        <f>AND('UP133'!H20,"AAAAAFf/fdo=")</f>
        <v>#VALUE!</v>
      </c>
      <c r="HL58" t="e">
        <f>AND('UP133'!I20,"AAAAAFf/fds=")</f>
        <v>#VALUE!</v>
      </c>
      <c r="HM58" t="e">
        <f>AND('UP133'!J20,"AAAAAFf/fdw=")</f>
        <v>#VALUE!</v>
      </c>
      <c r="HN58" t="e">
        <f>AND('UP133'!K20,"AAAAAFf/fd0=")</f>
        <v>#VALUE!</v>
      </c>
      <c r="HO58" t="e">
        <f>AND('UP133'!L20,"AAAAAFf/fd4=")</f>
        <v>#VALUE!</v>
      </c>
      <c r="HP58" t="e">
        <f>AND('UP133'!M20,"AAAAAFf/fd8=")</f>
        <v>#VALUE!</v>
      </c>
      <c r="HQ58" t="e">
        <f>AND('UP133'!N20,"AAAAAFf/feA=")</f>
        <v>#VALUE!</v>
      </c>
      <c r="HR58" t="e">
        <f>AND('UP133'!O20,"AAAAAFf/feE=")</f>
        <v>#VALUE!</v>
      </c>
      <c r="HS58" t="e">
        <f>AND('UP133'!P20,"AAAAAFf/feI=")</f>
        <v>#VALUE!</v>
      </c>
      <c r="HT58" t="e">
        <f>AND('UP133'!Q20,"AAAAAFf/feM=")</f>
        <v>#VALUE!</v>
      </c>
      <c r="HU58" t="e">
        <f>AND('UP133'!R20,"AAAAAFf/feQ=")</f>
        <v>#VALUE!</v>
      </c>
      <c r="HV58" t="e">
        <f>AND('UP133'!S20,"AAAAAFf/feU=")</f>
        <v>#VALUE!</v>
      </c>
      <c r="HW58" t="e">
        <f>AND('UP133'!T20,"AAAAAFf/feY=")</f>
        <v>#VALUE!</v>
      </c>
      <c r="HX58" t="e">
        <f>AND('UP133'!U20,"AAAAAFf/fec=")</f>
        <v>#VALUE!</v>
      </c>
      <c r="HY58" t="e">
        <f>AND('UP133'!V20,"AAAAAFf/feg=")</f>
        <v>#VALUE!</v>
      </c>
      <c r="HZ58" t="e">
        <f>AND('UP133'!W20,"AAAAAFf/fek=")</f>
        <v>#VALUE!</v>
      </c>
      <c r="IA58" t="e">
        <f>AND('UP133'!X20,"AAAAAFf/feo=")</f>
        <v>#VALUE!</v>
      </c>
      <c r="IB58" t="e">
        <f>AND('UP133'!Y20,"AAAAAFf/fes=")</f>
        <v>#VALUE!</v>
      </c>
      <c r="IC58" t="e">
        <f>AND('UP133'!Z20,"AAAAAFf/few=")</f>
        <v>#VALUE!</v>
      </c>
      <c r="ID58" t="e">
        <f>AND('UP133'!AA20,"AAAAAFf/fe0=")</f>
        <v>#VALUE!</v>
      </c>
      <c r="IE58" t="e">
        <f>AND('UP133'!AB20,"AAAAAFf/fe4=")</f>
        <v>#VALUE!</v>
      </c>
      <c r="IF58" t="e">
        <f>AND('UP133'!AC20,"AAAAAFf/fe8=")</f>
        <v>#VALUE!</v>
      </c>
      <c r="IG58" t="e">
        <f>AND('UP133'!AD20,"AAAAAFf/ffA=")</f>
        <v>#VALUE!</v>
      </c>
      <c r="IH58" t="e">
        <f>AND('UP133'!AE20,"AAAAAFf/ffE=")</f>
        <v>#VALUE!</v>
      </c>
      <c r="II58" t="e">
        <f>AND('UP133'!AF20,"AAAAAFf/ffI=")</f>
        <v>#VALUE!</v>
      </c>
      <c r="IJ58" t="e">
        <f>AND('UP133'!AG20,"AAAAAFf/ffM=")</f>
        <v>#VALUE!</v>
      </c>
      <c r="IK58" t="e">
        <f>AND('UP133'!AH20,"AAAAAFf/ffQ=")</f>
        <v>#VALUE!</v>
      </c>
      <c r="IL58" t="e">
        <f>AND('UP133'!AI20,"AAAAAFf/ffU=")</f>
        <v>#VALUE!</v>
      </c>
      <c r="IM58" t="e">
        <f>AND('UP133'!AJ20,"AAAAAFf/ffY=")</f>
        <v>#VALUE!</v>
      </c>
      <c r="IN58" t="e">
        <f>AND('UP133'!AK20,"AAAAAFf/ffc=")</f>
        <v>#VALUE!</v>
      </c>
      <c r="IO58" t="e">
        <f>AND('UP133'!AL20,"AAAAAFf/ffg=")</f>
        <v>#VALUE!</v>
      </c>
      <c r="IP58" t="e">
        <f>AND('UP133'!AM20,"AAAAAFf/ffk=")</f>
        <v>#VALUE!</v>
      </c>
      <c r="IQ58" t="e">
        <f>AND('UP133'!AN20,"AAAAAFf/ffo=")</f>
        <v>#VALUE!</v>
      </c>
      <c r="IR58" t="e">
        <f>AND('UP133'!AO20,"AAAAAFf/ffs=")</f>
        <v>#VALUE!</v>
      </c>
      <c r="IS58" t="e">
        <f>AND('UP133'!AP20,"AAAAAFf/ffw=")</f>
        <v>#VALUE!</v>
      </c>
      <c r="IT58" t="e">
        <f>AND('UP133'!AQ20,"AAAAAFf/ff0=")</f>
        <v>#VALUE!</v>
      </c>
      <c r="IU58" t="e">
        <f>AND('UP133'!AR20,"AAAAAFf/ff4=")</f>
        <v>#VALUE!</v>
      </c>
      <c r="IV58" t="e">
        <f>AND('UP133'!AS20,"AAAAAFf/ff8=")</f>
        <v>#VALUE!</v>
      </c>
    </row>
    <row r="59" spans="1:256">
      <c r="A59" t="e">
        <f>AND('UP133'!AT20,"AAAAAD1/MwA=")</f>
        <v>#VALUE!</v>
      </c>
      <c r="B59" t="e">
        <f>AND('UP133'!AU20,"AAAAAD1/MwE=")</f>
        <v>#VALUE!</v>
      </c>
      <c r="C59" t="e">
        <f>AND('UP133'!AV20,"AAAAAD1/MwI=")</f>
        <v>#VALUE!</v>
      </c>
      <c r="D59" t="e">
        <f>AND('UP133'!AW20,"AAAAAD1/MwM=")</f>
        <v>#VALUE!</v>
      </c>
      <c r="E59" t="e">
        <f>AND('UP133'!AX20,"AAAAAD1/MwQ=")</f>
        <v>#VALUE!</v>
      </c>
      <c r="F59" t="e">
        <f>AND('UP133'!AY20,"AAAAAD1/MwU=")</f>
        <v>#VALUE!</v>
      </c>
      <c r="G59" t="e">
        <f>AND('UP133'!AZ20,"AAAAAD1/MwY=")</f>
        <v>#VALUE!</v>
      </c>
      <c r="H59" t="e">
        <f>AND('UP133'!BA20,"AAAAAD1/Mwc=")</f>
        <v>#VALUE!</v>
      </c>
      <c r="I59" t="e">
        <f>AND('UP133'!BB20,"AAAAAD1/Mwg=")</f>
        <v>#VALUE!</v>
      </c>
      <c r="J59" t="e">
        <f>AND('UP133'!BC20,"AAAAAD1/Mwk=")</f>
        <v>#VALUE!</v>
      </c>
      <c r="K59" t="e">
        <f>AND('UP133'!BD20,"AAAAAD1/Mwo=")</f>
        <v>#VALUE!</v>
      </c>
      <c r="L59" t="e">
        <f>AND('UP133'!BE20,"AAAAAD1/Mws=")</f>
        <v>#VALUE!</v>
      </c>
      <c r="M59" t="e">
        <f>AND('UP133'!BF20,"AAAAAD1/Mww=")</f>
        <v>#VALUE!</v>
      </c>
      <c r="N59" t="e">
        <f>AND('UP133'!BG20,"AAAAAD1/Mw0=")</f>
        <v>#VALUE!</v>
      </c>
      <c r="O59" t="e">
        <f>AND('UP133'!BH20,"AAAAAD1/Mw4=")</f>
        <v>#VALUE!</v>
      </c>
      <c r="P59" t="e">
        <f>AND('UP133'!BI20,"AAAAAD1/Mw8=")</f>
        <v>#VALUE!</v>
      </c>
      <c r="Q59" t="e">
        <f>AND('UP133'!BJ20,"AAAAAD1/MxA=")</f>
        <v>#VALUE!</v>
      </c>
      <c r="R59" t="e">
        <f>AND('UP133'!BK20,"AAAAAD1/MxE=")</f>
        <v>#VALUE!</v>
      </c>
      <c r="S59" t="e">
        <f>AND('UP133'!BL20,"AAAAAD1/MxI=")</f>
        <v>#VALUE!</v>
      </c>
      <c r="T59" t="e">
        <f>AND('UP133'!BM20,"AAAAAD1/MxM=")</f>
        <v>#VALUE!</v>
      </c>
      <c r="U59" t="e">
        <f>AND('UP133'!BN20,"AAAAAD1/MxQ=")</f>
        <v>#VALUE!</v>
      </c>
      <c r="V59" t="e">
        <f>AND('UP133'!BO20,"AAAAAD1/MxU=")</f>
        <v>#VALUE!</v>
      </c>
      <c r="W59" t="e">
        <f>AND('UP133'!BP20,"AAAAAD1/MxY=")</f>
        <v>#VALUE!</v>
      </c>
      <c r="X59" t="e">
        <f>AND('UP133'!BQ20,"AAAAAD1/Mxc=")</f>
        <v>#VALUE!</v>
      </c>
      <c r="Y59" t="e">
        <f>AND('UP133'!BR20,"AAAAAD1/Mxg=")</f>
        <v>#VALUE!</v>
      </c>
      <c r="Z59" t="e">
        <f>AND('UP133'!BS20,"AAAAAD1/Mxk=")</f>
        <v>#VALUE!</v>
      </c>
      <c r="AA59" t="e">
        <f>AND('UP133'!BT20,"AAAAAD1/Mxo=")</f>
        <v>#VALUE!</v>
      </c>
      <c r="AB59" t="e">
        <f>AND('UP133'!BU20,"AAAAAD1/Mxs=")</f>
        <v>#VALUE!</v>
      </c>
      <c r="AC59" t="e">
        <f>AND('UP133'!BV20,"AAAAAD1/Mxw=")</f>
        <v>#VALUE!</v>
      </c>
      <c r="AD59" t="e">
        <f>AND('UP133'!BW20,"AAAAAD1/Mx0=")</f>
        <v>#VALUE!</v>
      </c>
      <c r="AE59" t="e">
        <f>AND('UP133'!BX20,"AAAAAD1/Mx4=")</f>
        <v>#VALUE!</v>
      </c>
      <c r="AF59" t="e">
        <f>AND('UP133'!BY20,"AAAAAD1/Mx8=")</f>
        <v>#VALUE!</v>
      </c>
      <c r="AG59" t="e">
        <f>AND('UP133'!BZ20,"AAAAAD1/MyA=")</f>
        <v>#VALUE!</v>
      </c>
      <c r="AH59" t="e">
        <f>AND('UP133'!CA20,"AAAAAD1/MyE=")</f>
        <v>#VALUE!</v>
      </c>
      <c r="AI59" t="e">
        <f>AND('UP133'!CB20,"AAAAAD1/MyI=")</f>
        <v>#VALUE!</v>
      </c>
      <c r="AJ59" t="e">
        <f>AND('UP133'!CC20,"AAAAAD1/MyM=")</f>
        <v>#VALUE!</v>
      </c>
      <c r="AK59" t="e">
        <f>AND('UP133'!CD20,"AAAAAD1/MyQ=")</f>
        <v>#VALUE!</v>
      </c>
      <c r="AL59" t="e">
        <f>AND('UP133'!CE20,"AAAAAD1/MyU=")</f>
        <v>#VALUE!</v>
      </c>
      <c r="AM59" t="e">
        <f>AND('UP133'!CF20,"AAAAAD1/MyY=")</f>
        <v>#VALUE!</v>
      </c>
      <c r="AN59" t="e">
        <f>AND('UP133'!CG20,"AAAAAD1/Myc=")</f>
        <v>#VALUE!</v>
      </c>
      <c r="AO59" t="e">
        <f>AND('UP133'!CH20,"AAAAAD1/Myg=")</f>
        <v>#VALUE!</v>
      </c>
      <c r="AP59" t="e">
        <f>AND('UP133'!CI20,"AAAAAD1/Myk=")</f>
        <v>#VALUE!</v>
      </c>
      <c r="AQ59" t="e">
        <f>AND('UP133'!CJ20,"AAAAAD1/Myo=")</f>
        <v>#VALUE!</v>
      </c>
      <c r="AR59" t="e">
        <f>AND('UP133'!CK20,"AAAAAD1/Mys=")</f>
        <v>#VALUE!</v>
      </c>
      <c r="AS59" t="e">
        <f>AND('UP133'!CL20,"AAAAAD1/Myw=")</f>
        <v>#VALUE!</v>
      </c>
      <c r="AT59" t="e">
        <f>AND('UP133'!CM20,"AAAAAD1/My0=")</f>
        <v>#VALUE!</v>
      </c>
      <c r="AU59" t="e">
        <f>AND('UP133'!CN20,"AAAAAD1/My4=")</f>
        <v>#VALUE!</v>
      </c>
      <c r="AV59" t="e">
        <f>AND('UP133'!CO20,"AAAAAD1/My8=")</f>
        <v>#VALUE!</v>
      </c>
      <c r="AW59" t="e">
        <f>AND('UP133'!CP20,"AAAAAD1/MzA=")</f>
        <v>#VALUE!</v>
      </c>
      <c r="AX59" t="e">
        <f>AND('UP133'!CQ20,"AAAAAD1/MzE=")</f>
        <v>#VALUE!</v>
      </c>
      <c r="AY59" t="e">
        <f>AND('UP133'!CR20,"AAAAAD1/MzI=")</f>
        <v>#VALUE!</v>
      </c>
      <c r="AZ59" t="e">
        <f>AND('UP133'!CS20,"AAAAAD1/MzM=")</f>
        <v>#VALUE!</v>
      </c>
      <c r="BA59" t="e">
        <f>AND('UP133'!CT20,"AAAAAD1/MzQ=")</f>
        <v>#VALUE!</v>
      </c>
      <c r="BB59" t="e">
        <f>AND('UP133'!CU20,"AAAAAD1/MzU=")</f>
        <v>#VALUE!</v>
      </c>
      <c r="BC59" t="e">
        <f>AND('UP133'!CV20,"AAAAAD1/MzY=")</f>
        <v>#VALUE!</v>
      </c>
      <c r="BD59" t="e">
        <f>AND('UP133'!CW20,"AAAAAD1/Mzc=")</f>
        <v>#VALUE!</v>
      </c>
      <c r="BE59" t="e">
        <f>AND('UP133'!CX20,"AAAAAD1/Mzg=")</f>
        <v>#VALUE!</v>
      </c>
      <c r="BF59" t="e">
        <f>AND('UP133'!CY20,"AAAAAD1/Mzk=")</f>
        <v>#VALUE!</v>
      </c>
      <c r="BG59" t="e">
        <f>AND('UP133'!CZ20,"AAAAAD1/Mzo=")</f>
        <v>#VALUE!</v>
      </c>
      <c r="BH59" t="e">
        <f>AND('UP133'!DA20,"AAAAAD1/Mzs=")</f>
        <v>#VALUE!</v>
      </c>
      <c r="BI59" t="e">
        <f>AND('UP133'!DB20,"AAAAAD1/Mzw=")</f>
        <v>#VALUE!</v>
      </c>
      <c r="BJ59" t="e">
        <f>AND('UP133'!DC20,"AAAAAD1/Mz0=")</f>
        <v>#VALUE!</v>
      </c>
      <c r="BK59" t="e">
        <f>AND('UP133'!DD20,"AAAAAD1/Mz4=")</f>
        <v>#VALUE!</v>
      </c>
      <c r="BL59" t="e">
        <f>AND('UP133'!DE20,"AAAAAD1/Mz8=")</f>
        <v>#VALUE!</v>
      </c>
      <c r="BM59" t="e">
        <f>AND('UP133'!DF20,"AAAAAD1/M0A=")</f>
        <v>#VALUE!</v>
      </c>
      <c r="BN59" t="e">
        <f>AND('UP133'!DG20,"AAAAAD1/M0E=")</f>
        <v>#VALUE!</v>
      </c>
      <c r="BO59" t="e">
        <f>AND('UP133'!DH20,"AAAAAD1/M0I=")</f>
        <v>#VALUE!</v>
      </c>
      <c r="BP59" t="e">
        <f>AND('UP133'!DI20,"AAAAAD1/M0M=")</f>
        <v>#VALUE!</v>
      </c>
      <c r="BQ59" t="e">
        <f>AND('UP133'!DJ20,"AAAAAD1/M0Q=")</f>
        <v>#VALUE!</v>
      </c>
      <c r="BR59" t="e">
        <f>AND('UP133'!DK20,"AAAAAD1/M0U=")</f>
        <v>#VALUE!</v>
      </c>
      <c r="BS59" t="e">
        <f>AND('UP133'!DL20,"AAAAAD1/M0Y=")</f>
        <v>#VALUE!</v>
      </c>
      <c r="BT59" t="e">
        <f>AND('UP133'!DM20,"AAAAAD1/M0c=")</f>
        <v>#VALUE!</v>
      </c>
      <c r="BU59" t="e">
        <f>AND('UP133'!DN20,"AAAAAD1/M0g=")</f>
        <v>#VALUE!</v>
      </c>
      <c r="BV59" t="e">
        <f>AND('UP133'!DO20,"AAAAAD1/M0k=")</f>
        <v>#VALUE!</v>
      </c>
      <c r="BW59" t="e">
        <f>AND('UP133'!DP20,"AAAAAD1/M0o=")</f>
        <v>#VALUE!</v>
      </c>
      <c r="BX59" t="e">
        <f>AND('UP133'!DQ20,"AAAAAD1/M0s=")</f>
        <v>#VALUE!</v>
      </c>
      <c r="BY59" t="e">
        <f>AND('UP133'!DR20,"AAAAAD1/M0w=")</f>
        <v>#VALUE!</v>
      </c>
      <c r="BZ59" t="e">
        <f>AND('UP133'!DS20,"AAAAAD1/M00=")</f>
        <v>#VALUE!</v>
      </c>
      <c r="CA59" t="e">
        <f>AND('UP133'!DT20,"AAAAAD1/M04=")</f>
        <v>#VALUE!</v>
      </c>
      <c r="CB59" t="e">
        <f>AND('UP133'!DU20,"AAAAAD1/M08=")</f>
        <v>#VALUE!</v>
      </c>
      <c r="CC59" t="e">
        <f>AND('UP133'!DV20,"AAAAAD1/M1A=")</f>
        <v>#VALUE!</v>
      </c>
      <c r="CD59" t="e">
        <f>AND('UP133'!DW20,"AAAAAD1/M1E=")</f>
        <v>#VALUE!</v>
      </c>
      <c r="CE59" t="e">
        <f>AND('UP133'!DX20,"AAAAAD1/M1I=")</f>
        <v>#VALUE!</v>
      </c>
      <c r="CF59" t="e">
        <f>AND('UP133'!DY20,"AAAAAD1/M1M=")</f>
        <v>#VALUE!</v>
      </c>
      <c r="CG59" t="e">
        <f>AND('UP133'!DZ20,"AAAAAD1/M1Q=")</f>
        <v>#VALUE!</v>
      </c>
      <c r="CH59" t="e">
        <f>AND('UP133'!EA20,"AAAAAD1/M1U=")</f>
        <v>#VALUE!</v>
      </c>
      <c r="CI59" t="e">
        <f>AND('UP133'!EB20,"AAAAAD1/M1Y=")</f>
        <v>#VALUE!</v>
      </c>
      <c r="CJ59" t="e">
        <f>AND('UP133'!EC20,"AAAAAD1/M1c=")</f>
        <v>#VALUE!</v>
      </c>
      <c r="CK59" t="e">
        <f>AND('UP133'!ED20,"AAAAAD1/M1g=")</f>
        <v>#VALUE!</v>
      </c>
      <c r="CL59" t="e">
        <f>AND('UP133'!EE20,"AAAAAD1/M1k=")</f>
        <v>#VALUE!</v>
      </c>
      <c r="CM59" t="e">
        <f>AND('UP133'!EF20,"AAAAAD1/M1o=")</f>
        <v>#VALUE!</v>
      </c>
      <c r="CN59" t="e">
        <f>AND('UP133'!EG20,"AAAAAD1/M1s=")</f>
        <v>#VALUE!</v>
      </c>
      <c r="CO59" t="e">
        <f>AND('UP133'!EH20,"AAAAAD1/M1w=")</f>
        <v>#VALUE!</v>
      </c>
      <c r="CP59" t="e">
        <f>AND('UP133'!EI20,"AAAAAD1/M10=")</f>
        <v>#VALUE!</v>
      </c>
      <c r="CQ59" t="e">
        <f>AND('UP133'!EJ20,"AAAAAD1/M14=")</f>
        <v>#VALUE!</v>
      </c>
      <c r="CR59" t="e">
        <f>AND('UP133'!EK20,"AAAAAD1/M18=")</f>
        <v>#VALUE!</v>
      </c>
      <c r="CS59" t="e">
        <f>AND('UP133'!EL20,"AAAAAD1/M2A=")</f>
        <v>#VALUE!</v>
      </c>
      <c r="CT59" t="e">
        <f>AND('UP133'!EM20,"AAAAAD1/M2E=")</f>
        <v>#VALUE!</v>
      </c>
      <c r="CU59" t="e">
        <f>AND('UP133'!EN20,"AAAAAD1/M2I=")</f>
        <v>#VALUE!</v>
      </c>
      <c r="CV59" t="e">
        <f>AND('UP133'!EO20,"AAAAAD1/M2M=")</f>
        <v>#VALUE!</v>
      </c>
      <c r="CW59" t="e">
        <f>AND('UP133'!EP20,"AAAAAD1/M2Q=")</f>
        <v>#VALUE!</v>
      </c>
      <c r="CX59" t="e">
        <f>AND('UP133'!EQ20,"AAAAAD1/M2U=")</f>
        <v>#VALUE!</v>
      </c>
      <c r="CY59" t="e">
        <f>AND('UP133'!ER20,"AAAAAD1/M2Y=")</f>
        <v>#VALUE!</v>
      </c>
      <c r="CZ59" t="e">
        <f>AND('UP133'!ES20,"AAAAAD1/M2c=")</f>
        <v>#VALUE!</v>
      </c>
      <c r="DA59" t="e">
        <f>AND('UP133'!ET20,"AAAAAD1/M2g=")</f>
        <v>#VALUE!</v>
      </c>
      <c r="DB59" t="e">
        <f>AND('UP133'!EU20,"AAAAAD1/M2k=")</f>
        <v>#VALUE!</v>
      </c>
      <c r="DC59" t="e">
        <f>AND('UP133'!EV20,"AAAAAD1/M2o=")</f>
        <v>#VALUE!</v>
      </c>
      <c r="DD59" t="e">
        <f>AND('UP133'!EW20,"AAAAAD1/M2s=")</f>
        <v>#VALUE!</v>
      </c>
      <c r="DE59" t="e">
        <f>AND('UP133'!EX20,"AAAAAD1/M2w=")</f>
        <v>#VALUE!</v>
      </c>
      <c r="DF59" t="e">
        <f>AND('UP133'!EY20,"AAAAAD1/M20=")</f>
        <v>#VALUE!</v>
      </c>
      <c r="DG59" t="e">
        <f>AND('UP133'!EZ20,"AAAAAD1/M24=")</f>
        <v>#VALUE!</v>
      </c>
      <c r="DH59" t="e">
        <f>AND('UP133'!FA20,"AAAAAD1/M28=")</f>
        <v>#VALUE!</v>
      </c>
      <c r="DI59" t="e">
        <f>AND('UP133'!FB20,"AAAAAD1/M3A=")</f>
        <v>#VALUE!</v>
      </c>
      <c r="DJ59" t="e">
        <f>AND('UP133'!FC20,"AAAAAD1/M3E=")</f>
        <v>#VALUE!</v>
      </c>
      <c r="DK59" t="e">
        <f>AND('UP133'!FD20,"AAAAAD1/M3I=")</f>
        <v>#VALUE!</v>
      </c>
      <c r="DL59" t="e">
        <f>AND('UP133'!FE20,"AAAAAD1/M3M=")</f>
        <v>#VALUE!</v>
      </c>
      <c r="DM59" t="e">
        <f>AND('UP133'!FF20,"AAAAAD1/M3Q=")</f>
        <v>#VALUE!</v>
      </c>
      <c r="DN59" t="e">
        <f>AND('UP133'!FG20,"AAAAAD1/M3U=")</f>
        <v>#VALUE!</v>
      </c>
      <c r="DO59" t="e">
        <f>AND('UP133'!FH20,"AAAAAD1/M3Y=")</f>
        <v>#VALUE!</v>
      </c>
      <c r="DP59" t="e">
        <f>AND('UP133'!FI20,"AAAAAD1/M3c=")</f>
        <v>#VALUE!</v>
      </c>
      <c r="DQ59" t="e">
        <f>AND('UP133'!FJ20,"AAAAAD1/M3g=")</f>
        <v>#VALUE!</v>
      </c>
      <c r="DR59" t="e">
        <f>AND('UP133'!FK20,"AAAAAD1/M3k=")</f>
        <v>#VALUE!</v>
      </c>
      <c r="DS59" t="e">
        <f>AND('UP133'!FL20,"AAAAAD1/M3o=")</f>
        <v>#VALUE!</v>
      </c>
      <c r="DT59" t="e">
        <f>AND('UP133'!FM20,"AAAAAD1/M3s=")</f>
        <v>#VALUE!</v>
      </c>
      <c r="DU59" t="e">
        <f>AND('UP133'!FN20,"AAAAAD1/M3w=")</f>
        <v>#VALUE!</v>
      </c>
      <c r="DV59" t="e">
        <f>AND('UP133'!FO20,"AAAAAD1/M30=")</f>
        <v>#VALUE!</v>
      </c>
      <c r="DW59" t="e">
        <f>AND('UP133'!FP20,"AAAAAD1/M34=")</f>
        <v>#VALUE!</v>
      </c>
      <c r="DX59" t="e">
        <f>AND('UP133'!FQ20,"AAAAAD1/M38=")</f>
        <v>#VALUE!</v>
      </c>
      <c r="DY59" t="e">
        <f>AND('UP133'!FR20,"AAAAAD1/M4A=")</f>
        <v>#VALUE!</v>
      </c>
      <c r="DZ59" t="e">
        <f>AND('UP133'!FS20,"AAAAAD1/M4E=")</f>
        <v>#VALUE!</v>
      </c>
      <c r="EA59" t="e">
        <f>AND('UP133'!FT20,"AAAAAD1/M4I=")</f>
        <v>#VALUE!</v>
      </c>
      <c r="EB59" t="e">
        <f>AND('UP133'!FU20,"AAAAAD1/M4M=")</f>
        <v>#VALUE!</v>
      </c>
      <c r="EC59" t="e">
        <f>AND('UP133'!FV20,"AAAAAD1/M4Q=")</f>
        <v>#VALUE!</v>
      </c>
      <c r="ED59" t="e">
        <f>AND('UP133'!FW20,"AAAAAD1/M4U=")</f>
        <v>#VALUE!</v>
      </c>
      <c r="EE59" t="e">
        <f>AND('UP133'!FX20,"AAAAAD1/M4Y=")</f>
        <v>#VALUE!</v>
      </c>
      <c r="EF59" t="e">
        <f>AND('UP133'!FY20,"AAAAAD1/M4c=")</f>
        <v>#VALUE!</v>
      </c>
      <c r="EG59" t="e">
        <f>AND('UP133'!FZ20,"AAAAAD1/M4g=")</f>
        <v>#VALUE!</v>
      </c>
      <c r="EH59" t="e">
        <f>AND('UP133'!GA20,"AAAAAD1/M4k=")</f>
        <v>#VALUE!</v>
      </c>
      <c r="EI59" t="e">
        <f>AND('UP133'!GB20,"AAAAAD1/M4o=")</f>
        <v>#VALUE!</v>
      </c>
      <c r="EJ59" t="e">
        <f>AND('UP133'!GC20,"AAAAAD1/M4s=")</f>
        <v>#VALUE!</v>
      </c>
      <c r="EK59" t="e">
        <f>AND('UP133'!GD20,"AAAAAD1/M4w=")</f>
        <v>#VALUE!</v>
      </c>
      <c r="EL59" t="e">
        <f>AND('UP133'!GE20,"AAAAAD1/M40=")</f>
        <v>#VALUE!</v>
      </c>
      <c r="EM59" t="e">
        <f>AND('UP133'!GF20,"AAAAAD1/M44=")</f>
        <v>#VALUE!</v>
      </c>
      <c r="EN59" t="e">
        <f>AND('UP133'!GG20,"AAAAAD1/M48=")</f>
        <v>#VALUE!</v>
      </c>
      <c r="EO59" t="e">
        <f>AND('UP133'!GH20,"AAAAAD1/M5A=")</f>
        <v>#VALUE!</v>
      </c>
      <c r="EP59" t="e">
        <f>AND('UP133'!GI20,"AAAAAD1/M5E=")</f>
        <v>#VALUE!</v>
      </c>
      <c r="EQ59" t="e">
        <f>AND('UP133'!GJ20,"AAAAAD1/M5I=")</f>
        <v>#VALUE!</v>
      </c>
      <c r="ER59" t="e">
        <f>AND('UP133'!GK20,"AAAAAD1/M5M=")</f>
        <v>#VALUE!</v>
      </c>
      <c r="ES59" t="e">
        <f>AND('UP133'!GL20,"AAAAAD1/M5Q=")</f>
        <v>#VALUE!</v>
      </c>
      <c r="ET59" t="e">
        <f>AND('UP133'!GM20,"AAAAAD1/M5U=")</f>
        <v>#VALUE!</v>
      </c>
      <c r="EU59" t="e">
        <f>AND('UP133'!GN20,"AAAAAD1/M5Y=")</f>
        <v>#VALUE!</v>
      </c>
      <c r="EV59" t="e">
        <f>AND('UP133'!GO20,"AAAAAD1/M5c=")</f>
        <v>#VALUE!</v>
      </c>
      <c r="EW59" t="e">
        <f>AND('UP133'!GP20,"AAAAAD1/M5g=")</f>
        <v>#VALUE!</v>
      </c>
      <c r="EX59" t="e">
        <f>AND('UP133'!GQ20,"AAAAAD1/M5k=")</f>
        <v>#VALUE!</v>
      </c>
      <c r="EY59" t="e">
        <f>AND('UP133'!GR20,"AAAAAD1/M5o=")</f>
        <v>#VALUE!</v>
      </c>
      <c r="EZ59" t="e">
        <f>AND('UP133'!GS20,"AAAAAD1/M5s=")</f>
        <v>#VALUE!</v>
      </c>
      <c r="FA59" t="e">
        <f>AND('UP133'!GT20,"AAAAAD1/M5w=")</f>
        <v>#VALUE!</v>
      </c>
      <c r="FB59" t="e">
        <f>AND('UP133'!GU20,"AAAAAD1/M50=")</f>
        <v>#VALUE!</v>
      </c>
      <c r="FC59" t="e">
        <f>AND('UP133'!GV20,"AAAAAD1/M54=")</f>
        <v>#VALUE!</v>
      </c>
      <c r="FD59" t="e">
        <f>AND('UP133'!GW20,"AAAAAD1/M58=")</f>
        <v>#VALUE!</v>
      </c>
      <c r="FE59" t="e">
        <f>AND('UP133'!GX20,"AAAAAD1/M6A=")</f>
        <v>#VALUE!</v>
      </c>
      <c r="FF59" t="e">
        <f>AND('UP133'!GY20,"AAAAAD1/M6E=")</f>
        <v>#VALUE!</v>
      </c>
      <c r="FG59" t="e">
        <f>AND('UP133'!GZ20,"AAAAAD1/M6I=")</f>
        <v>#VALUE!</v>
      </c>
      <c r="FH59" t="e">
        <f>AND('UP133'!HA20,"AAAAAD1/M6M=")</f>
        <v>#VALUE!</v>
      </c>
      <c r="FI59" t="e">
        <f>AND('UP133'!HB20,"AAAAAD1/M6Q=")</f>
        <v>#VALUE!</v>
      </c>
      <c r="FJ59" t="e">
        <f>AND('UP133'!HC20,"AAAAAD1/M6U=")</f>
        <v>#VALUE!</v>
      </c>
      <c r="FK59" t="e">
        <f>AND('UP133'!HD20,"AAAAAD1/M6Y=")</f>
        <v>#VALUE!</v>
      </c>
      <c r="FL59" t="e">
        <f>AND('UP133'!HE20,"AAAAAD1/M6c=")</f>
        <v>#VALUE!</v>
      </c>
      <c r="FM59" t="e">
        <f>AND('UP133'!HF20,"AAAAAD1/M6g=")</f>
        <v>#VALUE!</v>
      </c>
      <c r="FN59" t="e">
        <f>AND('UP133'!HG20,"AAAAAD1/M6k=")</f>
        <v>#VALUE!</v>
      </c>
      <c r="FO59" t="e">
        <f>AND('UP133'!HH20,"AAAAAD1/M6o=")</f>
        <v>#VALUE!</v>
      </c>
      <c r="FP59" t="e">
        <f>AND('UP133'!HI20,"AAAAAD1/M6s=")</f>
        <v>#VALUE!</v>
      </c>
      <c r="FQ59" t="e">
        <f>AND('UP133'!HJ20,"AAAAAD1/M6w=")</f>
        <v>#VALUE!</v>
      </c>
      <c r="FR59" t="e">
        <f>AND('UP133'!HK20,"AAAAAD1/M60=")</f>
        <v>#VALUE!</v>
      </c>
      <c r="FS59" t="e">
        <f>AND('UP133'!HL20,"AAAAAD1/M64=")</f>
        <v>#VALUE!</v>
      </c>
      <c r="FT59" t="e">
        <f>AND('UP133'!HM20,"AAAAAD1/M68=")</f>
        <v>#VALUE!</v>
      </c>
      <c r="FU59" t="e">
        <f>AND('UP133'!HN20,"AAAAAD1/M7A=")</f>
        <v>#VALUE!</v>
      </c>
      <c r="FV59" t="e">
        <f>AND('UP133'!HO20,"AAAAAD1/M7E=")</f>
        <v>#VALUE!</v>
      </c>
      <c r="FW59" t="e">
        <f>AND('UP133'!HP20,"AAAAAD1/M7I=")</f>
        <v>#VALUE!</v>
      </c>
      <c r="FX59" t="e">
        <f>AND('UP133'!HQ20,"AAAAAD1/M7M=")</f>
        <v>#VALUE!</v>
      </c>
      <c r="FY59" t="e">
        <f>AND('UP133'!HR20,"AAAAAD1/M7Q=")</f>
        <v>#VALUE!</v>
      </c>
      <c r="FZ59" t="e">
        <f>AND('UP133'!HS20,"AAAAAD1/M7U=")</f>
        <v>#VALUE!</v>
      </c>
      <c r="GA59" t="e">
        <f>AND('UP133'!HT20,"AAAAAD1/M7Y=")</f>
        <v>#VALUE!</v>
      </c>
      <c r="GB59" t="e">
        <f>AND('UP133'!HU20,"AAAAAD1/M7c=")</f>
        <v>#VALUE!</v>
      </c>
      <c r="GC59" t="e">
        <f>AND('UP133'!HV20,"AAAAAD1/M7g=")</f>
        <v>#VALUE!</v>
      </c>
      <c r="GD59" t="e">
        <f>AND('UP133'!HW20,"AAAAAD1/M7k=")</f>
        <v>#VALUE!</v>
      </c>
      <c r="GE59" t="e">
        <f>AND('UP133'!HX20,"AAAAAD1/M7o=")</f>
        <v>#VALUE!</v>
      </c>
      <c r="GF59" t="e">
        <f>AND('UP133'!HY20,"AAAAAD1/M7s=")</f>
        <v>#VALUE!</v>
      </c>
      <c r="GG59" t="e">
        <f>AND('UP133'!HZ20,"AAAAAD1/M7w=")</f>
        <v>#VALUE!</v>
      </c>
      <c r="GH59" t="e">
        <f>AND('UP133'!IA20,"AAAAAD1/M70=")</f>
        <v>#VALUE!</v>
      </c>
      <c r="GI59" t="e">
        <f>AND('UP133'!IB20,"AAAAAD1/M74=")</f>
        <v>#VALUE!</v>
      </c>
      <c r="GJ59" t="e">
        <f>AND('UP133'!IC20,"AAAAAD1/M78=")</f>
        <v>#VALUE!</v>
      </c>
      <c r="GK59" t="e">
        <f>AND('UP133'!ID20,"AAAAAD1/M8A=")</f>
        <v>#VALUE!</v>
      </c>
      <c r="GL59" t="e">
        <f>AND('UP133'!IE20,"AAAAAD1/M8E=")</f>
        <v>#VALUE!</v>
      </c>
      <c r="GM59" t="e">
        <f>AND('UP133'!IF20,"AAAAAD1/M8I=")</f>
        <v>#VALUE!</v>
      </c>
      <c r="GN59" t="e">
        <f>AND('UP133'!IG20,"AAAAAD1/M8M=")</f>
        <v>#VALUE!</v>
      </c>
      <c r="GO59" t="e">
        <f>AND('UP133'!IH20,"AAAAAD1/M8Q=")</f>
        <v>#VALUE!</v>
      </c>
      <c r="GP59" t="e">
        <f>AND('UP133'!II20,"AAAAAD1/M8U=")</f>
        <v>#VALUE!</v>
      </c>
      <c r="GQ59" t="e">
        <f>AND('UP133'!IJ20,"AAAAAD1/M8Y=")</f>
        <v>#VALUE!</v>
      </c>
      <c r="GR59" t="e">
        <f>AND('UP133'!IK20,"AAAAAD1/M8c=")</f>
        <v>#VALUE!</v>
      </c>
      <c r="GS59" t="e">
        <f>AND('UP133'!IL20,"AAAAAD1/M8g=")</f>
        <v>#VALUE!</v>
      </c>
      <c r="GT59" t="e">
        <f>AND('UP133'!IM20,"AAAAAD1/M8k=")</f>
        <v>#VALUE!</v>
      </c>
      <c r="GU59" t="e">
        <f>AND('UP133'!IN20,"AAAAAD1/M8o=")</f>
        <v>#VALUE!</v>
      </c>
      <c r="GV59" t="e">
        <f>AND('UP133'!IO20,"AAAAAD1/M8s=")</f>
        <v>#VALUE!</v>
      </c>
      <c r="GW59" t="e">
        <f>AND('UP133'!IP20,"AAAAAD1/M8w=")</f>
        <v>#VALUE!</v>
      </c>
      <c r="GX59" t="e">
        <f>AND('UP133'!IQ20,"AAAAAD1/M80=")</f>
        <v>#VALUE!</v>
      </c>
      <c r="GY59">
        <f>IF('UP133'!21:21,"AAAAAD1/M84=",0)</f>
        <v>0</v>
      </c>
      <c r="GZ59" t="e">
        <f>AND('UP133'!A21,"AAAAAD1/M88=")</f>
        <v>#VALUE!</v>
      </c>
      <c r="HA59" t="e">
        <f>AND('UP133'!B21,"AAAAAD1/M9A=")</f>
        <v>#VALUE!</v>
      </c>
      <c r="HB59" t="e">
        <f>AND('UP133'!C21,"AAAAAD1/M9E=")</f>
        <v>#VALUE!</v>
      </c>
      <c r="HC59" t="e">
        <f>AND('UP133'!D21,"AAAAAD1/M9I=")</f>
        <v>#VALUE!</v>
      </c>
      <c r="HD59" t="e">
        <f>AND('UP133'!E21,"AAAAAD1/M9M=")</f>
        <v>#VALUE!</v>
      </c>
      <c r="HE59" t="e">
        <f>AND('UP133'!F21,"AAAAAD1/M9Q=")</f>
        <v>#VALUE!</v>
      </c>
      <c r="HF59" t="e">
        <f>AND('UP133'!G21,"AAAAAD1/M9U=")</f>
        <v>#VALUE!</v>
      </c>
      <c r="HG59" t="e">
        <f>AND('UP133'!H21,"AAAAAD1/M9Y=")</f>
        <v>#VALUE!</v>
      </c>
      <c r="HH59" t="e">
        <f>AND('UP133'!I21,"AAAAAD1/M9c=")</f>
        <v>#VALUE!</v>
      </c>
      <c r="HI59" t="e">
        <f>AND('UP133'!J21,"AAAAAD1/M9g=")</f>
        <v>#VALUE!</v>
      </c>
      <c r="HJ59" t="e">
        <f>AND('UP133'!K21,"AAAAAD1/M9k=")</f>
        <v>#VALUE!</v>
      </c>
      <c r="HK59" t="e">
        <f>AND('UP133'!L21,"AAAAAD1/M9o=")</f>
        <v>#VALUE!</v>
      </c>
      <c r="HL59" t="e">
        <f>AND('UP133'!M21,"AAAAAD1/M9s=")</f>
        <v>#VALUE!</v>
      </c>
      <c r="HM59" t="e">
        <f>AND('UP133'!N21,"AAAAAD1/M9w=")</f>
        <v>#VALUE!</v>
      </c>
      <c r="HN59" t="e">
        <f>AND('UP133'!O21,"AAAAAD1/M90=")</f>
        <v>#VALUE!</v>
      </c>
      <c r="HO59" t="e">
        <f>AND('UP133'!P21,"AAAAAD1/M94=")</f>
        <v>#VALUE!</v>
      </c>
      <c r="HP59" t="e">
        <f>AND('UP133'!Q21,"AAAAAD1/M98=")</f>
        <v>#VALUE!</v>
      </c>
      <c r="HQ59" t="e">
        <f>AND('UP133'!R21,"AAAAAD1/M+A=")</f>
        <v>#VALUE!</v>
      </c>
      <c r="HR59" t="e">
        <f>AND('UP133'!S21,"AAAAAD1/M+E=")</f>
        <v>#VALUE!</v>
      </c>
      <c r="HS59" t="e">
        <f>AND('UP133'!T21,"AAAAAD1/M+I=")</f>
        <v>#VALUE!</v>
      </c>
      <c r="HT59" t="e">
        <f>AND('UP133'!U21,"AAAAAD1/M+M=")</f>
        <v>#VALUE!</v>
      </c>
      <c r="HU59" t="e">
        <f>AND('UP133'!V21,"AAAAAD1/M+Q=")</f>
        <v>#VALUE!</v>
      </c>
      <c r="HV59" t="e">
        <f>AND('UP133'!W21,"AAAAAD1/M+U=")</f>
        <v>#VALUE!</v>
      </c>
      <c r="HW59" t="e">
        <f>AND('UP133'!X21,"AAAAAD1/M+Y=")</f>
        <v>#VALUE!</v>
      </c>
      <c r="HX59" t="e">
        <f>AND('UP133'!Y21,"AAAAAD1/M+c=")</f>
        <v>#VALUE!</v>
      </c>
      <c r="HY59" t="e">
        <f>AND('UP133'!Z21,"AAAAAD1/M+g=")</f>
        <v>#VALUE!</v>
      </c>
      <c r="HZ59" t="e">
        <f>AND('UP133'!AA21,"AAAAAD1/M+k=")</f>
        <v>#VALUE!</v>
      </c>
      <c r="IA59" t="e">
        <f>AND('UP133'!AB21,"AAAAAD1/M+o=")</f>
        <v>#VALUE!</v>
      </c>
      <c r="IB59" t="e">
        <f>AND('UP133'!AC21,"AAAAAD1/M+s=")</f>
        <v>#VALUE!</v>
      </c>
      <c r="IC59" t="e">
        <f>AND('UP133'!AD21,"AAAAAD1/M+w=")</f>
        <v>#VALUE!</v>
      </c>
      <c r="ID59" t="e">
        <f>AND('UP133'!AE21,"AAAAAD1/M+0=")</f>
        <v>#VALUE!</v>
      </c>
      <c r="IE59" t="e">
        <f>AND('UP133'!AF21,"AAAAAD1/M+4=")</f>
        <v>#VALUE!</v>
      </c>
      <c r="IF59" t="e">
        <f>AND('UP133'!AG21,"AAAAAD1/M+8=")</f>
        <v>#VALUE!</v>
      </c>
      <c r="IG59" t="e">
        <f>AND('UP133'!AH21,"AAAAAD1/M/A=")</f>
        <v>#VALUE!</v>
      </c>
      <c r="IH59" t="e">
        <f>AND('UP133'!AI21,"AAAAAD1/M/E=")</f>
        <v>#VALUE!</v>
      </c>
      <c r="II59" t="e">
        <f>AND('UP133'!AJ21,"AAAAAD1/M/I=")</f>
        <v>#VALUE!</v>
      </c>
      <c r="IJ59" t="e">
        <f>AND('UP133'!AK21,"AAAAAD1/M/M=")</f>
        <v>#VALUE!</v>
      </c>
      <c r="IK59" t="e">
        <f>AND('UP133'!AL21,"AAAAAD1/M/Q=")</f>
        <v>#VALUE!</v>
      </c>
      <c r="IL59" t="e">
        <f>AND('UP133'!AM21,"AAAAAD1/M/U=")</f>
        <v>#VALUE!</v>
      </c>
      <c r="IM59" t="e">
        <f>AND('UP133'!AN21,"AAAAAD1/M/Y=")</f>
        <v>#VALUE!</v>
      </c>
      <c r="IN59" t="e">
        <f>AND('UP133'!AO21,"AAAAAD1/M/c=")</f>
        <v>#VALUE!</v>
      </c>
      <c r="IO59" t="e">
        <f>AND('UP133'!AP21,"AAAAAD1/M/g=")</f>
        <v>#VALUE!</v>
      </c>
      <c r="IP59" t="e">
        <f>AND('UP133'!AQ21,"AAAAAD1/M/k=")</f>
        <v>#VALUE!</v>
      </c>
      <c r="IQ59" t="e">
        <f>AND('UP133'!AR21,"AAAAAD1/M/o=")</f>
        <v>#VALUE!</v>
      </c>
      <c r="IR59" t="e">
        <f>AND('UP133'!AS21,"AAAAAD1/M/s=")</f>
        <v>#VALUE!</v>
      </c>
      <c r="IS59" t="e">
        <f>AND('UP133'!AT21,"AAAAAD1/M/w=")</f>
        <v>#VALUE!</v>
      </c>
      <c r="IT59" t="e">
        <f>AND('UP133'!AU21,"AAAAAD1/M/0=")</f>
        <v>#VALUE!</v>
      </c>
      <c r="IU59" t="e">
        <f>AND('UP133'!AV21,"AAAAAD1/M/4=")</f>
        <v>#VALUE!</v>
      </c>
      <c r="IV59" t="e">
        <f>AND('UP133'!AW21,"AAAAAD1/M/8=")</f>
        <v>#VALUE!</v>
      </c>
    </row>
    <row r="60" spans="1:256">
      <c r="A60" t="e">
        <f>AND('UP133'!AX21,"AAAAAGs/vwA=")</f>
        <v>#VALUE!</v>
      </c>
      <c r="B60" t="e">
        <f>AND('UP133'!AY21,"AAAAAGs/vwE=")</f>
        <v>#VALUE!</v>
      </c>
      <c r="C60" t="e">
        <f>AND('UP133'!AZ21,"AAAAAGs/vwI=")</f>
        <v>#VALUE!</v>
      </c>
      <c r="D60" t="e">
        <f>AND('UP133'!BA21,"AAAAAGs/vwM=")</f>
        <v>#VALUE!</v>
      </c>
      <c r="E60" t="e">
        <f>AND('UP133'!BB21,"AAAAAGs/vwQ=")</f>
        <v>#VALUE!</v>
      </c>
      <c r="F60" t="e">
        <f>AND('UP133'!BC21,"AAAAAGs/vwU=")</f>
        <v>#VALUE!</v>
      </c>
      <c r="G60" t="e">
        <f>AND('UP133'!BD21,"AAAAAGs/vwY=")</f>
        <v>#VALUE!</v>
      </c>
      <c r="H60" t="e">
        <f>AND('UP133'!BE21,"AAAAAGs/vwc=")</f>
        <v>#VALUE!</v>
      </c>
      <c r="I60" t="e">
        <f>AND('UP133'!BF21,"AAAAAGs/vwg=")</f>
        <v>#VALUE!</v>
      </c>
      <c r="J60" t="e">
        <f>AND('UP133'!BG21,"AAAAAGs/vwk=")</f>
        <v>#VALUE!</v>
      </c>
      <c r="K60" t="e">
        <f>AND('UP133'!BH21,"AAAAAGs/vwo=")</f>
        <v>#VALUE!</v>
      </c>
      <c r="L60" t="e">
        <f>AND('UP133'!BI21,"AAAAAGs/vws=")</f>
        <v>#VALUE!</v>
      </c>
      <c r="M60" t="e">
        <f>AND('UP133'!BJ21,"AAAAAGs/vww=")</f>
        <v>#VALUE!</v>
      </c>
      <c r="N60" t="e">
        <f>AND('UP133'!BK21,"AAAAAGs/vw0=")</f>
        <v>#VALUE!</v>
      </c>
      <c r="O60" t="e">
        <f>AND('UP133'!BL21,"AAAAAGs/vw4=")</f>
        <v>#VALUE!</v>
      </c>
      <c r="P60" t="e">
        <f>AND('UP133'!BM21,"AAAAAGs/vw8=")</f>
        <v>#VALUE!</v>
      </c>
      <c r="Q60" t="e">
        <f>AND('UP133'!BN21,"AAAAAGs/vxA=")</f>
        <v>#VALUE!</v>
      </c>
      <c r="R60" t="e">
        <f>AND('UP133'!BO21,"AAAAAGs/vxE=")</f>
        <v>#VALUE!</v>
      </c>
      <c r="S60" t="e">
        <f>AND('UP133'!BP21,"AAAAAGs/vxI=")</f>
        <v>#VALUE!</v>
      </c>
      <c r="T60" t="e">
        <f>AND('UP133'!BQ21,"AAAAAGs/vxM=")</f>
        <v>#VALUE!</v>
      </c>
      <c r="U60" t="e">
        <f>AND('UP133'!BR21,"AAAAAGs/vxQ=")</f>
        <v>#VALUE!</v>
      </c>
      <c r="V60" t="e">
        <f>AND('UP133'!BS21,"AAAAAGs/vxU=")</f>
        <v>#VALUE!</v>
      </c>
      <c r="W60" t="e">
        <f>AND('UP133'!BT21,"AAAAAGs/vxY=")</f>
        <v>#VALUE!</v>
      </c>
      <c r="X60" t="e">
        <f>AND('UP133'!BU21,"AAAAAGs/vxc=")</f>
        <v>#VALUE!</v>
      </c>
      <c r="Y60" t="e">
        <f>AND('UP133'!BV21,"AAAAAGs/vxg=")</f>
        <v>#VALUE!</v>
      </c>
      <c r="Z60" t="e">
        <f>AND('UP133'!BW21,"AAAAAGs/vxk=")</f>
        <v>#VALUE!</v>
      </c>
      <c r="AA60" t="e">
        <f>AND('UP133'!BX21,"AAAAAGs/vxo=")</f>
        <v>#VALUE!</v>
      </c>
      <c r="AB60" t="e">
        <f>AND('UP133'!BY21,"AAAAAGs/vxs=")</f>
        <v>#VALUE!</v>
      </c>
      <c r="AC60" t="e">
        <f>AND('UP133'!BZ21,"AAAAAGs/vxw=")</f>
        <v>#VALUE!</v>
      </c>
      <c r="AD60" t="e">
        <f>AND('UP133'!CA21,"AAAAAGs/vx0=")</f>
        <v>#VALUE!</v>
      </c>
      <c r="AE60" t="e">
        <f>AND('UP133'!CB21,"AAAAAGs/vx4=")</f>
        <v>#VALUE!</v>
      </c>
      <c r="AF60" t="e">
        <f>AND('UP133'!CC21,"AAAAAGs/vx8=")</f>
        <v>#VALUE!</v>
      </c>
      <c r="AG60" t="e">
        <f>AND('UP133'!CD21,"AAAAAGs/vyA=")</f>
        <v>#VALUE!</v>
      </c>
      <c r="AH60" t="e">
        <f>AND('UP133'!CE21,"AAAAAGs/vyE=")</f>
        <v>#VALUE!</v>
      </c>
      <c r="AI60" t="e">
        <f>AND('UP133'!CF21,"AAAAAGs/vyI=")</f>
        <v>#VALUE!</v>
      </c>
      <c r="AJ60" t="e">
        <f>AND('UP133'!CG21,"AAAAAGs/vyM=")</f>
        <v>#VALUE!</v>
      </c>
      <c r="AK60" t="e">
        <f>AND('UP133'!CH21,"AAAAAGs/vyQ=")</f>
        <v>#VALUE!</v>
      </c>
      <c r="AL60" t="e">
        <f>AND('UP133'!CI21,"AAAAAGs/vyU=")</f>
        <v>#VALUE!</v>
      </c>
      <c r="AM60" t="e">
        <f>AND('UP133'!CJ21,"AAAAAGs/vyY=")</f>
        <v>#VALUE!</v>
      </c>
      <c r="AN60" t="e">
        <f>AND('UP133'!CK21,"AAAAAGs/vyc=")</f>
        <v>#VALUE!</v>
      </c>
      <c r="AO60" t="e">
        <f>AND('UP133'!CL21,"AAAAAGs/vyg=")</f>
        <v>#VALUE!</v>
      </c>
      <c r="AP60" t="e">
        <f>AND('UP133'!CM21,"AAAAAGs/vyk=")</f>
        <v>#VALUE!</v>
      </c>
      <c r="AQ60" t="e">
        <f>AND('UP133'!CN21,"AAAAAGs/vyo=")</f>
        <v>#VALUE!</v>
      </c>
      <c r="AR60" t="e">
        <f>AND('UP133'!CO21,"AAAAAGs/vys=")</f>
        <v>#VALUE!</v>
      </c>
      <c r="AS60" t="e">
        <f>AND('UP133'!CP21,"AAAAAGs/vyw=")</f>
        <v>#VALUE!</v>
      </c>
      <c r="AT60" t="e">
        <f>AND('UP133'!CQ21,"AAAAAGs/vy0=")</f>
        <v>#VALUE!</v>
      </c>
      <c r="AU60" t="e">
        <f>AND('UP133'!CR21,"AAAAAGs/vy4=")</f>
        <v>#VALUE!</v>
      </c>
      <c r="AV60" t="e">
        <f>AND('UP133'!CS21,"AAAAAGs/vy8=")</f>
        <v>#VALUE!</v>
      </c>
      <c r="AW60" t="e">
        <f>AND('UP133'!CT21,"AAAAAGs/vzA=")</f>
        <v>#VALUE!</v>
      </c>
      <c r="AX60" t="e">
        <f>AND('UP133'!CU21,"AAAAAGs/vzE=")</f>
        <v>#VALUE!</v>
      </c>
      <c r="AY60" t="e">
        <f>AND('UP133'!CV21,"AAAAAGs/vzI=")</f>
        <v>#VALUE!</v>
      </c>
      <c r="AZ60" t="e">
        <f>AND('UP133'!CW21,"AAAAAGs/vzM=")</f>
        <v>#VALUE!</v>
      </c>
      <c r="BA60" t="e">
        <f>AND('UP133'!CX21,"AAAAAGs/vzQ=")</f>
        <v>#VALUE!</v>
      </c>
      <c r="BB60" t="e">
        <f>AND('UP133'!CY21,"AAAAAGs/vzU=")</f>
        <v>#VALUE!</v>
      </c>
      <c r="BC60" t="e">
        <f>AND('UP133'!CZ21,"AAAAAGs/vzY=")</f>
        <v>#VALUE!</v>
      </c>
      <c r="BD60" t="e">
        <f>AND('UP133'!DA21,"AAAAAGs/vzc=")</f>
        <v>#VALUE!</v>
      </c>
      <c r="BE60" t="e">
        <f>AND('UP133'!DB21,"AAAAAGs/vzg=")</f>
        <v>#VALUE!</v>
      </c>
      <c r="BF60" t="e">
        <f>AND('UP133'!DC21,"AAAAAGs/vzk=")</f>
        <v>#VALUE!</v>
      </c>
      <c r="BG60" t="e">
        <f>AND('UP133'!DD21,"AAAAAGs/vzo=")</f>
        <v>#VALUE!</v>
      </c>
      <c r="BH60" t="e">
        <f>AND('UP133'!DE21,"AAAAAGs/vzs=")</f>
        <v>#VALUE!</v>
      </c>
      <c r="BI60" t="e">
        <f>AND('UP133'!DF21,"AAAAAGs/vzw=")</f>
        <v>#VALUE!</v>
      </c>
      <c r="BJ60" t="e">
        <f>AND('UP133'!DG21,"AAAAAGs/vz0=")</f>
        <v>#VALUE!</v>
      </c>
      <c r="BK60" t="e">
        <f>AND('UP133'!DH21,"AAAAAGs/vz4=")</f>
        <v>#VALUE!</v>
      </c>
      <c r="BL60" t="e">
        <f>AND('UP133'!DI21,"AAAAAGs/vz8=")</f>
        <v>#VALUE!</v>
      </c>
      <c r="BM60" t="e">
        <f>AND('UP133'!DJ21,"AAAAAGs/v0A=")</f>
        <v>#VALUE!</v>
      </c>
      <c r="BN60" t="e">
        <f>AND('UP133'!DK21,"AAAAAGs/v0E=")</f>
        <v>#VALUE!</v>
      </c>
      <c r="BO60" t="e">
        <f>AND('UP133'!DL21,"AAAAAGs/v0I=")</f>
        <v>#VALUE!</v>
      </c>
      <c r="BP60" t="e">
        <f>AND('UP133'!DM21,"AAAAAGs/v0M=")</f>
        <v>#VALUE!</v>
      </c>
      <c r="BQ60" t="e">
        <f>AND('UP133'!DN21,"AAAAAGs/v0Q=")</f>
        <v>#VALUE!</v>
      </c>
      <c r="BR60" t="e">
        <f>AND('UP133'!DO21,"AAAAAGs/v0U=")</f>
        <v>#VALUE!</v>
      </c>
      <c r="BS60" t="e">
        <f>AND('UP133'!DP21,"AAAAAGs/v0Y=")</f>
        <v>#VALUE!</v>
      </c>
      <c r="BT60" t="e">
        <f>AND('UP133'!DQ21,"AAAAAGs/v0c=")</f>
        <v>#VALUE!</v>
      </c>
      <c r="BU60" t="e">
        <f>AND('UP133'!DR21,"AAAAAGs/v0g=")</f>
        <v>#VALUE!</v>
      </c>
      <c r="BV60" t="e">
        <f>AND('UP133'!DS21,"AAAAAGs/v0k=")</f>
        <v>#VALUE!</v>
      </c>
      <c r="BW60" t="e">
        <f>AND('UP133'!DT21,"AAAAAGs/v0o=")</f>
        <v>#VALUE!</v>
      </c>
      <c r="BX60" t="e">
        <f>AND('UP133'!DU21,"AAAAAGs/v0s=")</f>
        <v>#VALUE!</v>
      </c>
      <c r="BY60" t="e">
        <f>AND('UP133'!DV21,"AAAAAGs/v0w=")</f>
        <v>#VALUE!</v>
      </c>
      <c r="BZ60" t="e">
        <f>AND('UP133'!DW21,"AAAAAGs/v00=")</f>
        <v>#VALUE!</v>
      </c>
      <c r="CA60" t="e">
        <f>AND('UP133'!DX21,"AAAAAGs/v04=")</f>
        <v>#VALUE!</v>
      </c>
      <c r="CB60" t="e">
        <f>AND('UP133'!DY21,"AAAAAGs/v08=")</f>
        <v>#VALUE!</v>
      </c>
      <c r="CC60" t="e">
        <f>AND('UP133'!DZ21,"AAAAAGs/v1A=")</f>
        <v>#VALUE!</v>
      </c>
      <c r="CD60" t="e">
        <f>AND('UP133'!EA21,"AAAAAGs/v1E=")</f>
        <v>#VALUE!</v>
      </c>
      <c r="CE60" t="e">
        <f>AND('UP133'!EB21,"AAAAAGs/v1I=")</f>
        <v>#VALUE!</v>
      </c>
      <c r="CF60" t="e">
        <f>AND('UP133'!EC21,"AAAAAGs/v1M=")</f>
        <v>#VALUE!</v>
      </c>
      <c r="CG60" t="e">
        <f>AND('UP133'!ED21,"AAAAAGs/v1Q=")</f>
        <v>#VALUE!</v>
      </c>
      <c r="CH60" t="e">
        <f>AND('UP133'!EE21,"AAAAAGs/v1U=")</f>
        <v>#VALUE!</v>
      </c>
      <c r="CI60" t="e">
        <f>AND('UP133'!EF21,"AAAAAGs/v1Y=")</f>
        <v>#VALUE!</v>
      </c>
      <c r="CJ60" t="e">
        <f>AND('UP133'!EG21,"AAAAAGs/v1c=")</f>
        <v>#VALUE!</v>
      </c>
      <c r="CK60" t="e">
        <f>AND('UP133'!EH21,"AAAAAGs/v1g=")</f>
        <v>#VALUE!</v>
      </c>
      <c r="CL60" t="e">
        <f>AND('UP133'!EI21,"AAAAAGs/v1k=")</f>
        <v>#VALUE!</v>
      </c>
      <c r="CM60" t="e">
        <f>AND('UP133'!EJ21,"AAAAAGs/v1o=")</f>
        <v>#VALUE!</v>
      </c>
      <c r="CN60" t="e">
        <f>AND('UP133'!EK21,"AAAAAGs/v1s=")</f>
        <v>#VALUE!</v>
      </c>
      <c r="CO60" t="e">
        <f>AND('UP133'!EL21,"AAAAAGs/v1w=")</f>
        <v>#VALUE!</v>
      </c>
      <c r="CP60" t="e">
        <f>AND('UP133'!EM21,"AAAAAGs/v10=")</f>
        <v>#VALUE!</v>
      </c>
      <c r="CQ60" t="e">
        <f>AND('UP133'!EN21,"AAAAAGs/v14=")</f>
        <v>#VALUE!</v>
      </c>
      <c r="CR60" t="e">
        <f>AND('UP133'!EO21,"AAAAAGs/v18=")</f>
        <v>#VALUE!</v>
      </c>
      <c r="CS60" t="e">
        <f>AND('UP133'!EP21,"AAAAAGs/v2A=")</f>
        <v>#VALUE!</v>
      </c>
      <c r="CT60" t="e">
        <f>AND('UP133'!EQ21,"AAAAAGs/v2E=")</f>
        <v>#VALUE!</v>
      </c>
      <c r="CU60" t="e">
        <f>AND('UP133'!ER21,"AAAAAGs/v2I=")</f>
        <v>#VALUE!</v>
      </c>
      <c r="CV60" t="e">
        <f>AND('UP133'!ES21,"AAAAAGs/v2M=")</f>
        <v>#VALUE!</v>
      </c>
      <c r="CW60" t="e">
        <f>AND('UP133'!ET21,"AAAAAGs/v2Q=")</f>
        <v>#VALUE!</v>
      </c>
      <c r="CX60" t="e">
        <f>AND('UP133'!EU21,"AAAAAGs/v2U=")</f>
        <v>#VALUE!</v>
      </c>
      <c r="CY60" t="e">
        <f>AND('UP133'!EV21,"AAAAAGs/v2Y=")</f>
        <v>#VALUE!</v>
      </c>
      <c r="CZ60" t="e">
        <f>AND('UP133'!EW21,"AAAAAGs/v2c=")</f>
        <v>#VALUE!</v>
      </c>
      <c r="DA60" t="e">
        <f>AND('UP133'!EX21,"AAAAAGs/v2g=")</f>
        <v>#VALUE!</v>
      </c>
      <c r="DB60" t="e">
        <f>AND('UP133'!EY21,"AAAAAGs/v2k=")</f>
        <v>#VALUE!</v>
      </c>
      <c r="DC60" t="e">
        <f>AND('UP133'!EZ21,"AAAAAGs/v2o=")</f>
        <v>#VALUE!</v>
      </c>
      <c r="DD60" t="e">
        <f>AND('UP133'!FA21,"AAAAAGs/v2s=")</f>
        <v>#VALUE!</v>
      </c>
      <c r="DE60" t="e">
        <f>AND('UP133'!FB21,"AAAAAGs/v2w=")</f>
        <v>#VALUE!</v>
      </c>
      <c r="DF60" t="e">
        <f>AND('UP133'!FC21,"AAAAAGs/v20=")</f>
        <v>#VALUE!</v>
      </c>
      <c r="DG60" t="e">
        <f>AND('UP133'!FD21,"AAAAAGs/v24=")</f>
        <v>#VALUE!</v>
      </c>
      <c r="DH60" t="e">
        <f>AND('UP133'!FE21,"AAAAAGs/v28=")</f>
        <v>#VALUE!</v>
      </c>
      <c r="DI60" t="e">
        <f>AND('UP133'!FF21,"AAAAAGs/v3A=")</f>
        <v>#VALUE!</v>
      </c>
      <c r="DJ60" t="e">
        <f>AND('UP133'!FG21,"AAAAAGs/v3E=")</f>
        <v>#VALUE!</v>
      </c>
      <c r="DK60" t="e">
        <f>AND('UP133'!FH21,"AAAAAGs/v3I=")</f>
        <v>#VALUE!</v>
      </c>
      <c r="DL60" t="e">
        <f>AND('UP133'!FI21,"AAAAAGs/v3M=")</f>
        <v>#VALUE!</v>
      </c>
      <c r="DM60" t="e">
        <f>AND('UP133'!FJ21,"AAAAAGs/v3Q=")</f>
        <v>#VALUE!</v>
      </c>
      <c r="DN60" t="e">
        <f>AND('UP133'!FK21,"AAAAAGs/v3U=")</f>
        <v>#VALUE!</v>
      </c>
      <c r="DO60" t="e">
        <f>AND('UP133'!FL21,"AAAAAGs/v3Y=")</f>
        <v>#VALUE!</v>
      </c>
      <c r="DP60" t="e">
        <f>AND('UP133'!FM21,"AAAAAGs/v3c=")</f>
        <v>#VALUE!</v>
      </c>
      <c r="DQ60" t="e">
        <f>AND('UP133'!FN21,"AAAAAGs/v3g=")</f>
        <v>#VALUE!</v>
      </c>
      <c r="DR60" t="e">
        <f>AND('UP133'!FO21,"AAAAAGs/v3k=")</f>
        <v>#VALUE!</v>
      </c>
      <c r="DS60" t="e">
        <f>AND('UP133'!FP21,"AAAAAGs/v3o=")</f>
        <v>#VALUE!</v>
      </c>
      <c r="DT60" t="e">
        <f>AND('UP133'!FQ21,"AAAAAGs/v3s=")</f>
        <v>#VALUE!</v>
      </c>
      <c r="DU60" t="e">
        <f>AND('UP133'!FR21,"AAAAAGs/v3w=")</f>
        <v>#VALUE!</v>
      </c>
      <c r="DV60" t="e">
        <f>AND('UP133'!FS21,"AAAAAGs/v30=")</f>
        <v>#VALUE!</v>
      </c>
      <c r="DW60" t="e">
        <f>AND('UP133'!FT21,"AAAAAGs/v34=")</f>
        <v>#VALUE!</v>
      </c>
      <c r="DX60" t="e">
        <f>AND('UP133'!FU21,"AAAAAGs/v38=")</f>
        <v>#VALUE!</v>
      </c>
      <c r="DY60" t="e">
        <f>AND('UP133'!FV21,"AAAAAGs/v4A=")</f>
        <v>#VALUE!</v>
      </c>
      <c r="DZ60" t="e">
        <f>AND('UP133'!FW21,"AAAAAGs/v4E=")</f>
        <v>#VALUE!</v>
      </c>
      <c r="EA60" t="e">
        <f>AND('UP133'!FX21,"AAAAAGs/v4I=")</f>
        <v>#VALUE!</v>
      </c>
      <c r="EB60" t="e">
        <f>AND('UP133'!FY21,"AAAAAGs/v4M=")</f>
        <v>#VALUE!</v>
      </c>
      <c r="EC60" t="e">
        <f>AND('UP133'!FZ21,"AAAAAGs/v4Q=")</f>
        <v>#VALUE!</v>
      </c>
      <c r="ED60" t="e">
        <f>AND('UP133'!GA21,"AAAAAGs/v4U=")</f>
        <v>#VALUE!</v>
      </c>
      <c r="EE60" t="e">
        <f>AND('UP133'!GB21,"AAAAAGs/v4Y=")</f>
        <v>#VALUE!</v>
      </c>
      <c r="EF60" t="e">
        <f>AND('UP133'!GC21,"AAAAAGs/v4c=")</f>
        <v>#VALUE!</v>
      </c>
      <c r="EG60" t="e">
        <f>AND('UP133'!GD21,"AAAAAGs/v4g=")</f>
        <v>#VALUE!</v>
      </c>
      <c r="EH60" t="e">
        <f>AND('UP133'!GE21,"AAAAAGs/v4k=")</f>
        <v>#VALUE!</v>
      </c>
      <c r="EI60" t="e">
        <f>AND('UP133'!GF21,"AAAAAGs/v4o=")</f>
        <v>#VALUE!</v>
      </c>
      <c r="EJ60" t="e">
        <f>AND('UP133'!GG21,"AAAAAGs/v4s=")</f>
        <v>#VALUE!</v>
      </c>
      <c r="EK60" t="e">
        <f>AND('UP133'!GH21,"AAAAAGs/v4w=")</f>
        <v>#VALUE!</v>
      </c>
      <c r="EL60" t="e">
        <f>AND('UP133'!GI21,"AAAAAGs/v40=")</f>
        <v>#VALUE!</v>
      </c>
      <c r="EM60" t="e">
        <f>AND('UP133'!GJ21,"AAAAAGs/v44=")</f>
        <v>#VALUE!</v>
      </c>
      <c r="EN60" t="e">
        <f>AND('UP133'!GK21,"AAAAAGs/v48=")</f>
        <v>#VALUE!</v>
      </c>
      <c r="EO60" t="e">
        <f>AND('UP133'!GL21,"AAAAAGs/v5A=")</f>
        <v>#VALUE!</v>
      </c>
      <c r="EP60" t="e">
        <f>AND('UP133'!GM21,"AAAAAGs/v5E=")</f>
        <v>#VALUE!</v>
      </c>
      <c r="EQ60" t="e">
        <f>AND('UP133'!GN21,"AAAAAGs/v5I=")</f>
        <v>#VALUE!</v>
      </c>
      <c r="ER60" t="e">
        <f>AND('UP133'!GO21,"AAAAAGs/v5M=")</f>
        <v>#VALUE!</v>
      </c>
      <c r="ES60" t="e">
        <f>AND('UP133'!GP21,"AAAAAGs/v5Q=")</f>
        <v>#VALUE!</v>
      </c>
      <c r="ET60" t="e">
        <f>AND('UP133'!GQ21,"AAAAAGs/v5U=")</f>
        <v>#VALUE!</v>
      </c>
      <c r="EU60" t="e">
        <f>AND('UP133'!GR21,"AAAAAGs/v5Y=")</f>
        <v>#VALUE!</v>
      </c>
      <c r="EV60" t="e">
        <f>AND('UP133'!GS21,"AAAAAGs/v5c=")</f>
        <v>#VALUE!</v>
      </c>
      <c r="EW60" t="e">
        <f>AND('UP133'!GT21,"AAAAAGs/v5g=")</f>
        <v>#VALUE!</v>
      </c>
      <c r="EX60" t="e">
        <f>AND('UP133'!GU21,"AAAAAGs/v5k=")</f>
        <v>#VALUE!</v>
      </c>
      <c r="EY60" t="e">
        <f>AND('UP133'!GV21,"AAAAAGs/v5o=")</f>
        <v>#VALUE!</v>
      </c>
      <c r="EZ60" t="e">
        <f>AND('UP133'!GW21,"AAAAAGs/v5s=")</f>
        <v>#VALUE!</v>
      </c>
      <c r="FA60" t="e">
        <f>AND('UP133'!GX21,"AAAAAGs/v5w=")</f>
        <v>#VALUE!</v>
      </c>
      <c r="FB60" t="e">
        <f>AND('UP133'!GY21,"AAAAAGs/v50=")</f>
        <v>#VALUE!</v>
      </c>
      <c r="FC60" t="e">
        <f>AND('UP133'!GZ21,"AAAAAGs/v54=")</f>
        <v>#VALUE!</v>
      </c>
      <c r="FD60" t="e">
        <f>AND('UP133'!HA21,"AAAAAGs/v58=")</f>
        <v>#VALUE!</v>
      </c>
      <c r="FE60" t="e">
        <f>AND('UP133'!HB21,"AAAAAGs/v6A=")</f>
        <v>#VALUE!</v>
      </c>
      <c r="FF60" t="e">
        <f>AND('UP133'!HC21,"AAAAAGs/v6E=")</f>
        <v>#VALUE!</v>
      </c>
      <c r="FG60" t="e">
        <f>AND('UP133'!HD21,"AAAAAGs/v6I=")</f>
        <v>#VALUE!</v>
      </c>
      <c r="FH60" t="e">
        <f>AND('UP133'!HE21,"AAAAAGs/v6M=")</f>
        <v>#VALUE!</v>
      </c>
      <c r="FI60" t="e">
        <f>AND('UP133'!HF21,"AAAAAGs/v6Q=")</f>
        <v>#VALUE!</v>
      </c>
      <c r="FJ60" t="e">
        <f>AND('UP133'!HG21,"AAAAAGs/v6U=")</f>
        <v>#VALUE!</v>
      </c>
      <c r="FK60" t="e">
        <f>AND('UP133'!HH21,"AAAAAGs/v6Y=")</f>
        <v>#VALUE!</v>
      </c>
      <c r="FL60" t="e">
        <f>AND('UP133'!HI21,"AAAAAGs/v6c=")</f>
        <v>#VALUE!</v>
      </c>
      <c r="FM60" t="e">
        <f>AND('UP133'!HJ21,"AAAAAGs/v6g=")</f>
        <v>#VALUE!</v>
      </c>
      <c r="FN60" t="e">
        <f>AND('UP133'!HK21,"AAAAAGs/v6k=")</f>
        <v>#VALUE!</v>
      </c>
      <c r="FO60" t="e">
        <f>AND('UP133'!HL21,"AAAAAGs/v6o=")</f>
        <v>#VALUE!</v>
      </c>
      <c r="FP60" t="e">
        <f>AND('UP133'!HM21,"AAAAAGs/v6s=")</f>
        <v>#VALUE!</v>
      </c>
      <c r="FQ60" t="e">
        <f>AND('UP133'!HN21,"AAAAAGs/v6w=")</f>
        <v>#VALUE!</v>
      </c>
      <c r="FR60" t="e">
        <f>AND('UP133'!HO21,"AAAAAGs/v60=")</f>
        <v>#VALUE!</v>
      </c>
      <c r="FS60" t="e">
        <f>AND('UP133'!HP21,"AAAAAGs/v64=")</f>
        <v>#VALUE!</v>
      </c>
      <c r="FT60" t="e">
        <f>AND('UP133'!HQ21,"AAAAAGs/v68=")</f>
        <v>#VALUE!</v>
      </c>
      <c r="FU60" t="e">
        <f>AND('UP133'!HR21,"AAAAAGs/v7A=")</f>
        <v>#VALUE!</v>
      </c>
      <c r="FV60" t="e">
        <f>AND('UP133'!HS21,"AAAAAGs/v7E=")</f>
        <v>#VALUE!</v>
      </c>
      <c r="FW60" t="e">
        <f>AND('UP133'!HT21,"AAAAAGs/v7I=")</f>
        <v>#VALUE!</v>
      </c>
      <c r="FX60" t="e">
        <f>AND('UP133'!HU21,"AAAAAGs/v7M=")</f>
        <v>#VALUE!</v>
      </c>
      <c r="FY60" t="e">
        <f>AND('UP133'!HV21,"AAAAAGs/v7Q=")</f>
        <v>#VALUE!</v>
      </c>
      <c r="FZ60" t="e">
        <f>AND('UP133'!HW21,"AAAAAGs/v7U=")</f>
        <v>#VALUE!</v>
      </c>
      <c r="GA60" t="e">
        <f>AND('UP133'!HX21,"AAAAAGs/v7Y=")</f>
        <v>#VALUE!</v>
      </c>
      <c r="GB60" t="e">
        <f>AND('UP133'!HY21,"AAAAAGs/v7c=")</f>
        <v>#VALUE!</v>
      </c>
      <c r="GC60" t="e">
        <f>AND('UP133'!HZ21,"AAAAAGs/v7g=")</f>
        <v>#VALUE!</v>
      </c>
      <c r="GD60" t="e">
        <f>AND('UP133'!IA21,"AAAAAGs/v7k=")</f>
        <v>#VALUE!</v>
      </c>
      <c r="GE60" t="e">
        <f>AND('UP133'!IB21,"AAAAAGs/v7o=")</f>
        <v>#VALUE!</v>
      </c>
      <c r="GF60" t="e">
        <f>AND('UP133'!IC21,"AAAAAGs/v7s=")</f>
        <v>#VALUE!</v>
      </c>
      <c r="GG60" t="e">
        <f>AND('UP133'!ID21,"AAAAAGs/v7w=")</f>
        <v>#VALUE!</v>
      </c>
      <c r="GH60" t="e">
        <f>AND('UP133'!IE21,"AAAAAGs/v70=")</f>
        <v>#VALUE!</v>
      </c>
      <c r="GI60" t="e">
        <f>AND('UP133'!IF21,"AAAAAGs/v74=")</f>
        <v>#VALUE!</v>
      </c>
      <c r="GJ60" t="e">
        <f>AND('UP133'!IG21,"AAAAAGs/v78=")</f>
        <v>#VALUE!</v>
      </c>
      <c r="GK60" t="e">
        <f>AND('UP133'!IH21,"AAAAAGs/v8A=")</f>
        <v>#VALUE!</v>
      </c>
      <c r="GL60" t="e">
        <f>AND('UP133'!II21,"AAAAAGs/v8E=")</f>
        <v>#VALUE!</v>
      </c>
      <c r="GM60" t="e">
        <f>AND('UP133'!IJ21,"AAAAAGs/v8I=")</f>
        <v>#VALUE!</v>
      </c>
      <c r="GN60" t="e">
        <f>AND('UP133'!IK21,"AAAAAGs/v8M=")</f>
        <v>#VALUE!</v>
      </c>
      <c r="GO60" t="e">
        <f>AND('UP133'!IL21,"AAAAAGs/v8Q=")</f>
        <v>#VALUE!</v>
      </c>
      <c r="GP60" t="e">
        <f>AND('UP133'!IM21,"AAAAAGs/v8U=")</f>
        <v>#VALUE!</v>
      </c>
      <c r="GQ60" t="e">
        <f>AND('UP133'!IN21,"AAAAAGs/v8Y=")</f>
        <v>#VALUE!</v>
      </c>
      <c r="GR60" t="e">
        <f>AND('UP133'!IO21,"AAAAAGs/v8c=")</f>
        <v>#VALUE!</v>
      </c>
      <c r="GS60" t="e">
        <f>AND('UP133'!IP21,"AAAAAGs/v8g=")</f>
        <v>#VALUE!</v>
      </c>
      <c r="GT60" t="e">
        <f>AND('UP133'!IQ21,"AAAAAGs/v8k=")</f>
        <v>#VALUE!</v>
      </c>
      <c r="GU60">
        <f>IF('UP133'!22:22,"AAAAAGs/v8o=",0)</f>
        <v>0</v>
      </c>
      <c r="GV60" t="e">
        <f>AND('UP133'!A22,"AAAAAGs/v8s=")</f>
        <v>#VALUE!</v>
      </c>
      <c r="GW60" t="e">
        <f>AND('UP133'!B22,"AAAAAGs/v8w=")</f>
        <v>#VALUE!</v>
      </c>
      <c r="GX60" t="e">
        <f>AND('UP133'!C22,"AAAAAGs/v80=")</f>
        <v>#VALUE!</v>
      </c>
      <c r="GY60" t="e">
        <f>AND('UP133'!D22,"AAAAAGs/v84=")</f>
        <v>#VALUE!</v>
      </c>
      <c r="GZ60" t="e">
        <f>AND('UP133'!E22,"AAAAAGs/v88=")</f>
        <v>#VALUE!</v>
      </c>
      <c r="HA60" t="e">
        <f>AND('UP133'!F22,"AAAAAGs/v9A=")</f>
        <v>#VALUE!</v>
      </c>
      <c r="HB60" t="e">
        <f>AND('UP133'!G22,"AAAAAGs/v9E=")</f>
        <v>#VALUE!</v>
      </c>
      <c r="HC60" t="e">
        <f>AND('UP133'!H22,"AAAAAGs/v9I=")</f>
        <v>#VALUE!</v>
      </c>
      <c r="HD60" t="e">
        <f>AND('UP133'!I22,"AAAAAGs/v9M=")</f>
        <v>#VALUE!</v>
      </c>
      <c r="HE60" t="e">
        <f>AND('UP133'!J22,"AAAAAGs/v9Q=")</f>
        <v>#VALUE!</v>
      </c>
      <c r="HF60" t="e">
        <f>AND('UP133'!K22,"AAAAAGs/v9U=")</f>
        <v>#VALUE!</v>
      </c>
      <c r="HG60" t="e">
        <f>AND('UP133'!L22,"AAAAAGs/v9Y=")</f>
        <v>#VALUE!</v>
      </c>
      <c r="HH60" t="e">
        <f>AND('UP133'!M22,"AAAAAGs/v9c=")</f>
        <v>#VALUE!</v>
      </c>
      <c r="HI60" t="e">
        <f>AND('UP133'!N22,"AAAAAGs/v9g=")</f>
        <v>#VALUE!</v>
      </c>
      <c r="HJ60" t="e">
        <f>AND('UP133'!O22,"AAAAAGs/v9k=")</f>
        <v>#VALUE!</v>
      </c>
      <c r="HK60" t="e">
        <f>AND('UP133'!P22,"AAAAAGs/v9o=")</f>
        <v>#VALUE!</v>
      </c>
      <c r="HL60" t="e">
        <f>AND('UP133'!Q22,"AAAAAGs/v9s=")</f>
        <v>#VALUE!</v>
      </c>
      <c r="HM60" t="e">
        <f>AND('UP133'!R22,"AAAAAGs/v9w=")</f>
        <v>#VALUE!</v>
      </c>
      <c r="HN60" t="e">
        <f>AND('UP133'!S22,"AAAAAGs/v90=")</f>
        <v>#VALUE!</v>
      </c>
      <c r="HO60" t="e">
        <f>AND('UP133'!T22,"AAAAAGs/v94=")</f>
        <v>#VALUE!</v>
      </c>
      <c r="HP60" t="e">
        <f>AND('UP133'!U22,"AAAAAGs/v98=")</f>
        <v>#VALUE!</v>
      </c>
      <c r="HQ60" t="e">
        <f>AND('UP133'!V22,"AAAAAGs/v+A=")</f>
        <v>#VALUE!</v>
      </c>
      <c r="HR60" t="e">
        <f>AND('UP133'!W22,"AAAAAGs/v+E=")</f>
        <v>#VALUE!</v>
      </c>
      <c r="HS60" t="e">
        <f>AND('UP133'!X22,"AAAAAGs/v+I=")</f>
        <v>#VALUE!</v>
      </c>
      <c r="HT60" t="e">
        <f>AND('UP133'!Y22,"AAAAAGs/v+M=")</f>
        <v>#VALUE!</v>
      </c>
      <c r="HU60" t="e">
        <f>AND('UP133'!Z22,"AAAAAGs/v+Q=")</f>
        <v>#VALUE!</v>
      </c>
      <c r="HV60" t="e">
        <f>AND('UP133'!AA22,"AAAAAGs/v+U=")</f>
        <v>#VALUE!</v>
      </c>
      <c r="HW60" t="e">
        <f>AND('UP133'!AB22,"AAAAAGs/v+Y=")</f>
        <v>#VALUE!</v>
      </c>
      <c r="HX60" t="e">
        <f>AND('UP133'!AC22,"AAAAAGs/v+c=")</f>
        <v>#VALUE!</v>
      </c>
      <c r="HY60" t="e">
        <f>AND('UP133'!AD22,"AAAAAGs/v+g=")</f>
        <v>#VALUE!</v>
      </c>
      <c r="HZ60" t="e">
        <f>AND('UP133'!AE22,"AAAAAGs/v+k=")</f>
        <v>#VALUE!</v>
      </c>
      <c r="IA60" t="e">
        <f>AND('UP133'!AF22,"AAAAAGs/v+o=")</f>
        <v>#VALUE!</v>
      </c>
      <c r="IB60" t="e">
        <f>AND('UP133'!AG22,"AAAAAGs/v+s=")</f>
        <v>#VALUE!</v>
      </c>
      <c r="IC60" t="e">
        <f>AND('UP133'!AH22,"AAAAAGs/v+w=")</f>
        <v>#VALUE!</v>
      </c>
      <c r="ID60" t="e">
        <f>AND('UP133'!AI22,"AAAAAGs/v+0=")</f>
        <v>#VALUE!</v>
      </c>
      <c r="IE60" t="e">
        <f>AND('UP133'!AJ22,"AAAAAGs/v+4=")</f>
        <v>#VALUE!</v>
      </c>
      <c r="IF60" t="e">
        <f>AND('UP133'!AK22,"AAAAAGs/v+8=")</f>
        <v>#VALUE!</v>
      </c>
      <c r="IG60" t="e">
        <f>AND('UP133'!AL22,"AAAAAGs/v/A=")</f>
        <v>#VALUE!</v>
      </c>
      <c r="IH60" t="e">
        <f>AND('UP133'!AM22,"AAAAAGs/v/E=")</f>
        <v>#VALUE!</v>
      </c>
      <c r="II60" t="e">
        <f>AND('UP133'!AN22,"AAAAAGs/v/I=")</f>
        <v>#VALUE!</v>
      </c>
      <c r="IJ60" t="e">
        <f>AND('UP133'!AO22,"AAAAAGs/v/M=")</f>
        <v>#VALUE!</v>
      </c>
      <c r="IK60" t="e">
        <f>AND('UP133'!AP22,"AAAAAGs/v/Q=")</f>
        <v>#VALUE!</v>
      </c>
      <c r="IL60" t="e">
        <f>AND('UP133'!AQ22,"AAAAAGs/v/U=")</f>
        <v>#VALUE!</v>
      </c>
      <c r="IM60" t="e">
        <f>AND('UP133'!AR22,"AAAAAGs/v/Y=")</f>
        <v>#VALUE!</v>
      </c>
      <c r="IN60" t="e">
        <f>AND('UP133'!AS22,"AAAAAGs/v/c=")</f>
        <v>#VALUE!</v>
      </c>
      <c r="IO60" t="e">
        <f>AND('UP133'!AT22,"AAAAAGs/v/g=")</f>
        <v>#VALUE!</v>
      </c>
      <c r="IP60" t="e">
        <f>AND('UP133'!AU22,"AAAAAGs/v/k=")</f>
        <v>#VALUE!</v>
      </c>
      <c r="IQ60" t="e">
        <f>AND('UP133'!AV22,"AAAAAGs/v/o=")</f>
        <v>#VALUE!</v>
      </c>
      <c r="IR60" t="e">
        <f>AND('UP133'!AW22,"AAAAAGs/v/s=")</f>
        <v>#VALUE!</v>
      </c>
      <c r="IS60" t="e">
        <f>AND('UP133'!AX22,"AAAAAGs/v/w=")</f>
        <v>#VALUE!</v>
      </c>
      <c r="IT60" t="e">
        <f>AND('UP133'!AY22,"AAAAAGs/v/0=")</f>
        <v>#VALUE!</v>
      </c>
      <c r="IU60" t="e">
        <f>AND('UP133'!AZ22,"AAAAAGs/v/4=")</f>
        <v>#VALUE!</v>
      </c>
      <c r="IV60" t="e">
        <f>AND('UP133'!BA22,"AAAAAGs/v/8=")</f>
        <v>#VALUE!</v>
      </c>
    </row>
    <row r="61" spans="1:256">
      <c r="A61" t="e">
        <f>AND('UP133'!BB22,"AAAAABo+nwA=")</f>
        <v>#VALUE!</v>
      </c>
      <c r="B61" t="e">
        <f>AND('UP133'!BC22,"AAAAABo+nwE=")</f>
        <v>#VALUE!</v>
      </c>
      <c r="C61" t="e">
        <f>AND('UP133'!BD22,"AAAAABo+nwI=")</f>
        <v>#VALUE!</v>
      </c>
      <c r="D61" t="e">
        <f>AND('UP133'!BE22,"AAAAABo+nwM=")</f>
        <v>#VALUE!</v>
      </c>
      <c r="E61" t="e">
        <f>AND('UP133'!BF22,"AAAAABo+nwQ=")</f>
        <v>#VALUE!</v>
      </c>
      <c r="F61" t="e">
        <f>AND('UP133'!BG22,"AAAAABo+nwU=")</f>
        <v>#VALUE!</v>
      </c>
      <c r="G61" t="e">
        <f>AND('UP133'!BH22,"AAAAABo+nwY=")</f>
        <v>#VALUE!</v>
      </c>
      <c r="H61" t="e">
        <f>AND('UP133'!BI22,"AAAAABo+nwc=")</f>
        <v>#VALUE!</v>
      </c>
      <c r="I61" t="e">
        <f>AND('UP133'!BJ22,"AAAAABo+nwg=")</f>
        <v>#VALUE!</v>
      </c>
      <c r="J61" t="e">
        <f>AND('UP133'!BK22,"AAAAABo+nwk=")</f>
        <v>#VALUE!</v>
      </c>
      <c r="K61" t="e">
        <f>AND('UP133'!BL22,"AAAAABo+nwo=")</f>
        <v>#VALUE!</v>
      </c>
      <c r="L61" t="e">
        <f>AND('UP133'!BM22,"AAAAABo+nws=")</f>
        <v>#VALUE!</v>
      </c>
      <c r="M61" t="e">
        <f>AND('UP133'!BN22,"AAAAABo+nww=")</f>
        <v>#VALUE!</v>
      </c>
      <c r="N61" t="e">
        <f>AND('UP133'!BO22,"AAAAABo+nw0=")</f>
        <v>#VALUE!</v>
      </c>
      <c r="O61" t="e">
        <f>AND('UP133'!BP22,"AAAAABo+nw4=")</f>
        <v>#VALUE!</v>
      </c>
      <c r="P61" t="e">
        <f>AND('UP133'!BQ22,"AAAAABo+nw8=")</f>
        <v>#VALUE!</v>
      </c>
      <c r="Q61" t="e">
        <f>AND('UP133'!BR22,"AAAAABo+nxA=")</f>
        <v>#VALUE!</v>
      </c>
      <c r="R61" t="e">
        <f>AND('UP133'!BS22,"AAAAABo+nxE=")</f>
        <v>#VALUE!</v>
      </c>
      <c r="S61" t="e">
        <f>AND('UP133'!BT22,"AAAAABo+nxI=")</f>
        <v>#VALUE!</v>
      </c>
      <c r="T61" t="e">
        <f>AND('UP133'!BU22,"AAAAABo+nxM=")</f>
        <v>#VALUE!</v>
      </c>
      <c r="U61" t="e">
        <f>AND('UP133'!BV22,"AAAAABo+nxQ=")</f>
        <v>#VALUE!</v>
      </c>
      <c r="V61" t="e">
        <f>AND('UP133'!BW22,"AAAAABo+nxU=")</f>
        <v>#VALUE!</v>
      </c>
      <c r="W61" t="e">
        <f>AND('UP133'!BX22,"AAAAABo+nxY=")</f>
        <v>#VALUE!</v>
      </c>
      <c r="X61" t="e">
        <f>AND('UP133'!BY22,"AAAAABo+nxc=")</f>
        <v>#VALUE!</v>
      </c>
      <c r="Y61" t="e">
        <f>AND('UP133'!BZ22,"AAAAABo+nxg=")</f>
        <v>#VALUE!</v>
      </c>
      <c r="Z61" t="e">
        <f>AND('UP133'!CA22,"AAAAABo+nxk=")</f>
        <v>#VALUE!</v>
      </c>
      <c r="AA61" t="e">
        <f>AND('UP133'!CB22,"AAAAABo+nxo=")</f>
        <v>#VALUE!</v>
      </c>
      <c r="AB61" t="e">
        <f>AND('UP133'!CC22,"AAAAABo+nxs=")</f>
        <v>#VALUE!</v>
      </c>
      <c r="AC61" t="e">
        <f>AND('UP133'!CD22,"AAAAABo+nxw=")</f>
        <v>#VALUE!</v>
      </c>
      <c r="AD61" t="e">
        <f>AND('UP133'!CE22,"AAAAABo+nx0=")</f>
        <v>#VALUE!</v>
      </c>
      <c r="AE61" t="e">
        <f>AND('UP133'!CF22,"AAAAABo+nx4=")</f>
        <v>#VALUE!</v>
      </c>
      <c r="AF61" t="e">
        <f>AND('UP133'!CG22,"AAAAABo+nx8=")</f>
        <v>#VALUE!</v>
      </c>
      <c r="AG61" t="e">
        <f>AND('UP133'!CH22,"AAAAABo+nyA=")</f>
        <v>#VALUE!</v>
      </c>
      <c r="AH61" t="e">
        <f>AND('UP133'!CI22,"AAAAABo+nyE=")</f>
        <v>#VALUE!</v>
      </c>
      <c r="AI61" t="e">
        <f>AND('UP133'!CJ22,"AAAAABo+nyI=")</f>
        <v>#VALUE!</v>
      </c>
      <c r="AJ61" t="e">
        <f>AND('UP133'!CK22,"AAAAABo+nyM=")</f>
        <v>#VALUE!</v>
      </c>
      <c r="AK61" t="e">
        <f>AND('UP133'!CL22,"AAAAABo+nyQ=")</f>
        <v>#VALUE!</v>
      </c>
      <c r="AL61" t="e">
        <f>AND('UP133'!CM22,"AAAAABo+nyU=")</f>
        <v>#VALUE!</v>
      </c>
      <c r="AM61" t="e">
        <f>AND('UP133'!CN22,"AAAAABo+nyY=")</f>
        <v>#VALUE!</v>
      </c>
      <c r="AN61" t="e">
        <f>AND('UP133'!CO22,"AAAAABo+nyc=")</f>
        <v>#VALUE!</v>
      </c>
      <c r="AO61" t="e">
        <f>AND('UP133'!CP22,"AAAAABo+nyg=")</f>
        <v>#VALUE!</v>
      </c>
      <c r="AP61" t="e">
        <f>AND('UP133'!CQ22,"AAAAABo+nyk=")</f>
        <v>#VALUE!</v>
      </c>
      <c r="AQ61" t="e">
        <f>AND('UP133'!CR22,"AAAAABo+nyo=")</f>
        <v>#VALUE!</v>
      </c>
      <c r="AR61" t="e">
        <f>AND('UP133'!CS22,"AAAAABo+nys=")</f>
        <v>#VALUE!</v>
      </c>
      <c r="AS61" t="e">
        <f>AND('UP133'!CT22,"AAAAABo+nyw=")</f>
        <v>#VALUE!</v>
      </c>
      <c r="AT61" t="e">
        <f>AND('UP133'!CU22,"AAAAABo+ny0=")</f>
        <v>#VALUE!</v>
      </c>
      <c r="AU61" t="e">
        <f>AND('UP133'!CV22,"AAAAABo+ny4=")</f>
        <v>#VALUE!</v>
      </c>
      <c r="AV61" t="e">
        <f>AND('UP133'!CW22,"AAAAABo+ny8=")</f>
        <v>#VALUE!</v>
      </c>
      <c r="AW61" t="e">
        <f>AND('UP133'!CX22,"AAAAABo+nzA=")</f>
        <v>#VALUE!</v>
      </c>
      <c r="AX61" t="e">
        <f>AND('UP133'!CY22,"AAAAABo+nzE=")</f>
        <v>#VALUE!</v>
      </c>
      <c r="AY61" t="e">
        <f>AND('UP133'!CZ22,"AAAAABo+nzI=")</f>
        <v>#VALUE!</v>
      </c>
      <c r="AZ61" t="e">
        <f>AND('UP133'!DA22,"AAAAABo+nzM=")</f>
        <v>#VALUE!</v>
      </c>
      <c r="BA61" t="e">
        <f>AND('UP133'!DB22,"AAAAABo+nzQ=")</f>
        <v>#VALUE!</v>
      </c>
      <c r="BB61" t="e">
        <f>AND('UP133'!DC22,"AAAAABo+nzU=")</f>
        <v>#VALUE!</v>
      </c>
      <c r="BC61" t="e">
        <f>AND('UP133'!DD22,"AAAAABo+nzY=")</f>
        <v>#VALUE!</v>
      </c>
      <c r="BD61" t="e">
        <f>AND('UP133'!DE22,"AAAAABo+nzc=")</f>
        <v>#VALUE!</v>
      </c>
      <c r="BE61" t="e">
        <f>AND('UP133'!DF22,"AAAAABo+nzg=")</f>
        <v>#VALUE!</v>
      </c>
      <c r="BF61" t="e">
        <f>AND('UP133'!DG22,"AAAAABo+nzk=")</f>
        <v>#VALUE!</v>
      </c>
      <c r="BG61" t="e">
        <f>AND('UP133'!DH22,"AAAAABo+nzo=")</f>
        <v>#VALUE!</v>
      </c>
      <c r="BH61" t="e">
        <f>AND('UP133'!DI22,"AAAAABo+nzs=")</f>
        <v>#VALUE!</v>
      </c>
      <c r="BI61" t="e">
        <f>AND('UP133'!DJ22,"AAAAABo+nzw=")</f>
        <v>#VALUE!</v>
      </c>
      <c r="BJ61" t="e">
        <f>AND('UP133'!DK22,"AAAAABo+nz0=")</f>
        <v>#VALUE!</v>
      </c>
      <c r="BK61" t="e">
        <f>AND('UP133'!DL22,"AAAAABo+nz4=")</f>
        <v>#VALUE!</v>
      </c>
      <c r="BL61" t="e">
        <f>AND('UP133'!DM22,"AAAAABo+nz8=")</f>
        <v>#VALUE!</v>
      </c>
      <c r="BM61" t="e">
        <f>AND('UP133'!DN22,"AAAAABo+n0A=")</f>
        <v>#VALUE!</v>
      </c>
      <c r="BN61" t="e">
        <f>AND('UP133'!DO22,"AAAAABo+n0E=")</f>
        <v>#VALUE!</v>
      </c>
      <c r="BO61" t="e">
        <f>AND('UP133'!DP22,"AAAAABo+n0I=")</f>
        <v>#VALUE!</v>
      </c>
      <c r="BP61" t="e">
        <f>AND('UP133'!DQ22,"AAAAABo+n0M=")</f>
        <v>#VALUE!</v>
      </c>
      <c r="BQ61" t="e">
        <f>AND('UP133'!DR22,"AAAAABo+n0Q=")</f>
        <v>#VALUE!</v>
      </c>
      <c r="BR61" t="e">
        <f>AND('UP133'!DS22,"AAAAABo+n0U=")</f>
        <v>#VALUE!</v>
      </c>
      <c r="BS61" t="e">
        <f>AND('UP133'!DT22,"AAAAABo+n0Y=")</f>
        <v>#VALUE!</v>
      </c>
      <c r="BT61" t="e">
        <f>AND('UP133'!DU22,"AAAAABo+n0c=")</f>
        <v>#VALUE!</v>
      </c>
      <c r="BU61" t="e">
        <f>AND('UP133'!DV22,"AAAAABo+n0g=")</f>
        <v>#VALUE!</v>
      </c>
      <c r="BV61" t="e">
        <f>AND('UP133'!DW22,"AAAAABo+n0k=")</f>
        <v>#VALUE!</v>
      </c>
      <c r="BW61" t="e">
        <f>AND('UP133'!DX22,"AAAAABo+n0o=")</f>
        <v>#VALUE!</v>
      </c>
      <c r="BX61" t="e">
        <f>AND('UP133'!DY22,"AAAAABo+n0s=")</f>
        <v>#VALUE!</v>
      </c>
      <c r="BY61" t="e">
        <f>AND('UP133'!DZ22,"AAAAABo+n0w=")</f>
        <v>#VALUE!</v>
      </c>
      <c r="BZ61" t="e">
        <f>AND('UP133'!EA22,"AAAAABo+n00=")</f>
        <v>#VALUE!</v>
      </c>
      <c r="CA61" t="e">
        <f>AND('UP133'!EB22,"AAAAABo+n04=")</f>
        <v>#VALUE!</v>
      </c>
      <c r="CB61" t="e">
        <f>AND('UP133'!EC22,"AAAAABo+n08=")</f>
        <v>#VALUE!</v>
      </c>
      <c r="CC61" t="e">
        <f>AND('UP133'!ED22,"AAAAABo+n1A=")</f>
        <v>#VALUE!</v>
      </c>
      <c r="CD61" t="e">
        <f>AND('UP133'!EE22,"AAAAABo+n1E=")</f>
        <v>#VALUE!</v>
      </c>
      <c r="CE61" t="e">
        <f>AND('UP133'!EF22,"AAAAABo+n1I=")</f>
        <v>#VALUE!</v>
      </c>
      <c r="CF61" t="e">
        <f>AND('UP133'!EG22,"AAAAABo+n1M=")</f>
        <v>#VALUE!</v>
      </c>
      <c r="CG61" t="e">
        <f>AND('UP133'!EH22,"AAAAABo+n1Q=")</f>
        <v>#VALUE!</v>
      </c>
      <c r="CH61" t="e">
        <f>AND('UP133'!EI22,"AAAAABo+n1U=")</f>
        <v>#VALUE!</v>
      </c>
      <c r="CI61" t="e">
        <f>AND('UP133'!EJ22,"AAAAABo+n1Y=")</f>
        <v>#VALUE!</v>
      </c>
      <c r="CJ61" t="e">
        <f>AND('UP133'!EK22,"AAAAABo+n1c=")</f>
        <v>#VALUE!</v>
      </c>
      <c r="CK61" t="e">
        <f>AND('UP133'!EL22,"AAAAABo+n1g=")</f>
        <v>#VALUE!</v>
      </c>
      <c r="CL61" t="e">
        <f>AND('UP133'!EM22,"AAAAABo+n1k=")</f>
        <v>#VALUE!</v>
      </c>
      <c r="CM61" t="e">
        <f>AND('UP133'!EN22,"AAAAABo+n1o=")</f>
        <v>#VALUE!</v>
      </c>
      <c r="CN61" t="e">
        <f>AND('UP133'!EO22,"AAAAABo+n1s=")</f>
        <v>#VALUE!</v>
      </c>
      <c r="CO61" t="e">
        <f>AND('UP133'!EP22,"AAAAABo+n1w=")</f>
        <v>#VALUE!</v>
      </c>
      <c r="CP61" t="e">
        <f>AND('UP133'!EQ22,"AAAAABo+n10=")</f>
        <v>#VALUE!</v>
      </c>
      <c r="CQ61" t="e">
        <f>AND('UP133'!ER22,"AAAAABo+n14=")</f>
        <v>#VALUE!</v>
      </c>
      <c r="CR61" t="e">
        <f>AND('UP133'!ES22,"AAAAABo+n18=")</f>
        <v>#VALUE!</v>
      </c>
      <c r="CS61" t="e">
        <f>AND('UP133'!ET22,"AAAAABo+n2A=")</f>
        <v>#VALUE!</v>
      </c>
      <c r="CT61" t="e">
        <f>AND('UP133'!EU22,"AAAAABo+n2E=")</f>
        <v>#VALUE!</v>
      </c>
      <c r="CU61" t="e">
        <f>AND('UP133'!EV22,"AAAAABo+n2I=")</f>
        <v>#VALUE!</v>
      </c>
      <c r="CV61" t="e">
        <f>AND('UP133'!EW22,"AAAAABo+n2M=")</f>
        <v>#VALUE!</v>
      </c>
      <c r="CW61" t="e">
        <f>AND('UP133'!EX22,"AAAAABo+n2Q=")</f>
        <v>#VALUE!</v>
      </c>
      <c r="CX61" t="e">
        <f>AND('UP133'!EY22,"AAAAABo+n2U=")</f>
        <v>#VALUE!</v>
      </c>
      <c r="CY61" t="e">
        <f>AND('UP133'!EZ22,"AAAAABo+n2Y=")</f>
        <v>#VALUE!</v>
      </c>
      <c r="CZ61" t="e">
        <f>AND('UP133'!FA22,"AAAAABo+n2c=")</f>
        <v>#VALUE!</v>
      </c>
      <c r="DA61" t="e">
        <f>AND('UP133'!FB22,"AAAAABo+n2g=")</f>
        <v>#VALUE!</v>
      </c>
      <c r="DB61" t="e">
        <f>AND('UP133'!FC22,"AAAAABo+n2k=")</f>
        <v>#VALUE!</v>
      </c>
      <c r="DC61" t="e">
        <f>AND('UP133'!FD22,"AAAAABo+n2o=")</f>
        <v>#VALUE!</v>
      </c>
      <c r="DD61" t="e">
        <f>AND('UP133'!FE22,"AAAAABo+n2s=")</f>
        <v>#VALUE!</v>
      </c>
      <c r="DE61" t="e">
        <f>AND('UP133'!FF22,"AAAAABo+n2w=")</f>
        <v>#VALUE!</v>
      </c>
      <c r="DF61" t="e">
        <f>AND('UP133'!FG22,"AAAAABo+n20=")</f>
        <v>#VALUE!</v>
      </c>
      <c r="DG61" t="e">
        <f>AND('UP133'!FH22,"AAAAABo+n24=")</f>
        <v>#VALUE!</v>
      </c>
      <c r="DH61" t="e">
        <f>AND('UP133'!FI22,"AAAAABo+n28=")</f>
        <v>#VALUE!</v>
      </c>
      <c r="DI61" t="e">
        <f>AND('UP133'!FJ22,"AAAAABo+n3A=")</f>
        <v>#VALUE!</v>
      </c>
      <c r="DJ61" t="e">
        <f>AND('UP133'!FK22,"AAAAABo+n3E=")</f>
        <v>#VALUE!</v>
      </c>
      <c r="DK61" t="e">
        <f>AND('UP133'!FL22,"AAAAABo+n3I=")</f>
        <v>#VALUE!</v>
      </c>
      <c r="DL61" t="e">
        <f>AND('UP133'!FM22,"AAAAABo+n3M=")</f>
        <v>#VALUE!</v>
      </c>
      <c r="DM61" t="e">
        <f>AND('UP133'!FN22,"AAAAABo+n3Q=")</f>
        <v>#VALUE!</v>
      </c>
      <c r="DN61" t="e">
        <f>AND('UP133'!FO22,"AAAAABo+n3U=")</f>
        <v>#VALUE!</v>
      </c>
      <c r="DO61" t="e">
        <f>AND('UP133'!FP22,"AAAAABo+n3Y=")</f>
        <v>#VALUE!</v>
      </c>
      <c r="DP61" t="e">
        <f>AND('UP133'!FQ22,"AAAAABo+n3c=")</f>
        <v>#VALUE!</v>
      </c>
      <c r="DQ61" t="e">
        <f>AND('UP133'!FR22,"AAAAABo+n3g=")</f>
        <v>#VALUE!</v>
      </c>
      <c r="DR61" t="e">
        <f>AND('UP133'!FS22,"AAAAABo+n3k=")</f>
        <v>#VALUE!</v>
      </c>
      <c r="DS61" t="e">
        <f>AND('UP133'!FT22,"AAAAABo+n3o=")</f>
        <v>#VALUE!</v>
      </c>
      <c r="DT61" t="e">
        <f>AND('UP133'!FU22,"AAAAABo+n3s=")</f>
        <v>#VALUE!</v>
      </c>
      <c r="DU61" t="e">
        <f>AND('UP133'!FV22,"AAAAABo+n3w=")</f>
        <v>#VALUE!</v>
      </c>
      <c r="DV61" t="e">
        <f>AND('UP133'!FW22,"AAAAABo+n30=")</f>
        <v>#VALUE!</v>
      </c>
      <c r="DW61" t="e">
        <f>AND('UP133'!FX22,"AAAAABo+n34=")</f>
        <v>#VALUE!</v>
      </c>
      <c r="DX61" t="e">
        <f>AND('UP133'!FY22,"AAAAABo+n38=")</f>
        <v>#VALUE!</v>
      </c>
      <c r="DY61" t="e">
        <f>AND('UP133'!FZ22,"AAAAABo+n4A=")</f>
        <v>#VALUE!</v>
      </c>
      <c r="DZ61" t="e">
        <f>AND('UP133'!GA22,"AAAAABo+n4E=")</f>
        <v>#VALUE!</v>
      </c>
      <c r="EA61" t="e">
        <f>AND('UP133'!GB22,"AAAAABo+n4I=")</f>
        <v>#VALUE!</v>
      </c>
      <c r="EB61" t="e">
        <f>AND('UP133'!GC22,"AAAAABo+n4M=")</f>
        <v>#VALUE!</v>
      </c>
      <c r="EC61" t="e">
        <f>AND('UP133'!GD22,"AAAAABo+n4Q=")</f>
        <v>#VALUE!</v>
      </c>
      <c r="ED61" t="e">
        <f>AND('UP133'!GE22,"AAAAABo+n4U=")</f>
        <v>#VALUE!</v>
      </c>
      <c r="EE61" t="e">
        <f>AND('UP133'!GF22,"AAAAABo+n4Y=")</f>
        <v>#VALUE!</v>
      </c>
      <c r="EF61" t="e">
        <f>AND('UP133'!GG22,"AAAAABo+n4c=")</f>
        <v>#VALUE!</v>
      </c>
      <c r="EG61" t="e">
        <f>AND('UP133'!GH22,"AAAAABo+n4g=")</f>
        <v>#VALUE!</v>
      </c>
      <c r="EH61" t="e">
        <f>AND('UP133'!GI22,"AAAAABo+n4k=")</f>
        <v>#VALUE!</v>
      </c>
      <c r="EI61" t="e">
        <f>AND('UP133'!GJ22,"AAAAABo+n4o=")</f>
        <v>#VALUE!</v>
      </c>
      <c r="EJ61" t="e">
        <f>AND('UP133'!GK22,"AAAAABo+n4s=")</f>
        <v>#VALUE!</v>
      </c>
      <c r="EK61" t="e">
        <f>AND('UP133'!GL22,"AAAAABo+n4w=")</f>
        <v>#VALUE!</v>
      </c>
      <c r="EL61" t="e">
        <f>AND('UP133'!GM22,"AAAAABo+n40=")</f>
        <v>#VALUE!</v>
      </c>
      <c r="EM61" t="e">
        <f>AND('UP133'!GN22,"AAAAABo+n44=")</f>
        <v>#VALUE!</v>
      </c>
      <c r="EN61" t="e">
        <f>AND('UP133'!GO22,"AAAAABo+n48=")</f>
        <v>#VALUE!</v>
      </c>
      <c r="EO61" t="e">
        <f>AND('UP133'!GP22,"AAAAABo+n5A=")</f>
        <v>#VALUE!</v>
      </c>
      <c r="EP61" t="e">
        <f>AND('UP133'!GQ22,"AAAAABo+n5E=")</f>
        <v>#VALUE!</v>
      </c>
      <c r="EQ61" t="e">
        <f>AND('UP133'!GR22,"AAAAABo+n5I=")</f>
        <v>#VALUE!</v>
      </c>
      <c r="ER61" t="e">
        <f>AND('UP133'!GS22,"AAAAABo+n5M=")</f>
        <v>#VALUE!</v>
      </c>
      <c r="ES61" t="e">
        <f>AND('UP133'!GT22,"AAAAABo+n5Q=")</f>
        <v>#VALUE!</v>
      </c>
      <c r="ET61" t="e">
        <f>AND('UP133'!GU22,"AAAAABo+n5U=")</f>
        <v>#VALUE!</v>
      </c>
      <c r="EU61" t="e">
        <f>AND('UP133'!GV22,"AAAAABo+n5Y=")</f>
        <v>#VALUE!</v>
      </c>
      <c r="EV61" t="e">
        <f>AND('UP133'!GW22,"AAAAABo+n5c=")</f>
        <v>#VALUE!</v>
      </c>
      <c r="EW61" t="e">
        <f>AND('UP133'!GX22,"AAAAABo+n5g=")</f>
        <v>#VALUE!</v>
      </c>
      <c r="EX61" t="e">
        <f>AND('UP133'!GY22,"AAAAABo+n5k=")</f>
        <v>#VALUE!</v>
      </c>
      <c r="EY61" t="e">
        <f>AND('UP133'!GZ22,"AAAAABo+n5o=")</f>
        <v>#VALUE!</v>
      </c>
      <c r="EZ61" t="e">
        <f>AND('UP133'!HA22,"AAAAABo+n5s=")</f>
        <v>#VALUE!</v>
      </c>
      <c r="FA61" t="e">
        <f>AND('UP133'!HB22,"AAAAABo+n5w=")</f>
        <v>#VALUE!</v>
      </c>
      <c r="FB61" t="e">
        <f>AND('UP133'!HC22,"AAAAABo+n50=")</f>
        <v>#VALUE!</v>
      </c>
      <c r="FC61" t="e">
        <f>AND('UP133'!HD22,"AAAAABo+n54=")</f>
        <v>#VALUE!</v>
      </c>
      <c r="FD61" t="e">
        <f>AND('UP133'!HE22,"AAAAABo+n58=")</f>
        <v>#VALUE!</v>
      </c>
      <c r="FE61" t="e">
        <f>AND('UP133'!HF22,"AAAAABo+n6A=")</f>
        <v>#VALUE!</v>
      </c>
      <c r="FF61" t="e">
        <f>AND('UP133'!HG22,"AAAAABo+n6E=")</f>
        <v>#VALUE!</v>
      </c>
      <c r="FG61" t="e">
        <f>AND('UP133'!HH22,"AAAAABo+n6I=")</f>
        <v>#VALUE!</v>
      </c>
      <c r="FH61" t="e">
        <f>AND('UP133'!HI22,"AAAAABo+n6M=")</f>
        <v>#VALUE!</v>
      </c>
      <c r="FI61" t="e">
        <f>AND('UP133'!HJ22,"AAAAABo+n6Q=")</f>
        <v>#VALUE!</v>
      </c>
      <c r="FJ61" t="e">
        <f>AND('UP133'!HK22,"AAAAABo+n6U=")</f>
        <v>#VALUE!</v>
      </c>
      <c r="FK61" t="e">
        <f>AND('UP133'!HL22,"AAAAABo+n6Y=")</f>
        <v>#VALUE!</v>
      </c>
      <c r="FL61" t="e">
        <f>AND('UP133'!HM22,"AAAAABo+n6c=")</f>
        <v>#VALUE!</v>
      </c>
      <c r="FM61" t="e">
        <f>AND('UP133'!HN22,"AAAAABo+n6g=")</f>
        <v>#VALUE!</v>
      </c>
      <c r="FN61" t="e">
        <f>AND('UP133'!HO22,"AAAAABo+n6k=")</f>
        <v>#VALUE!</v>
      </c>
      <c r="FO61" t="e">
        <f>AND('UP133'!HP22,"AAAAABo+n6o=")</f>
        <v>#VALUE!</v>
      </c>
      <c r="FP61" t="e">
        <f>AND('UP133'!HQ22,"AAAAABo+n6s=")</f>
        <v>#VALUE!</v>
      </c>
      <c r="FQ61" t="e">
        <f>AND('UP133'!HR22,"AAAAABo+n6w=")</f>
        <v>#VALUE!</v>
      </c>
      <c r="FR61" t="e">
        <f>AND('UP133'!HS22,"AAAAABo+n60=")</f>
        <v>#VALUE!</v>
      </c>
      <c r="FS61" t="e">
        <f>AND('UP133'!HT22,"AAAAABo+n64=")</f>
        <v>#VALUE!</v>
      </c>
      <c r="FT61" t="e">
        <f>AND('UP133'!HU22,"AAAAABo+n68=")</f>
        <v>#VALUE!</v>
      </c>
      <c r="FU61" t="e">
        <f>AND('UP133'!HV22,"AAAAABo+n7A=")</f>
        <v>#VALUE!</v>
      </c>
      <c r="FV61" t="e">
        <f>AND('UP133'!HW22,"AAAAABo+n7E=")</f>
        <v>#VALUE!</v>
      </c>
      <c r="FW61" t="e">
        <f>AND('UP133'!HX22,"AAAAABo+n7I=")</f>
        <v>#VALUE!</v>
      </c>
      <c r="FX61" t="e">
        <f>AND('UP133'!HY22,"AAAAABo+n7M=")</f>
        <v>#VALUE!</v>
      </c>
      <c r="FY61" t="e">
        <f>AND('UP133'!HZ22,"AAAAABo+n7Q=")</f>
        <v>#VALUE!</v>
      </c>
      <c r="FZ61" t="e">
        <f>AND('UP133'!IA22,"AAAAABo+n7U=")</f>
        <v>#VALUE!</v>
      </c>
      <c r="GA61" t="e">
        <f>AND('UP133'!IB22,"AAAAABo+n7Y=")</f>
        <v>#VALUE!</v>
      </c>
      <c r="GB61" t="e">
        <f>AND('UP133'!IC22,"AAAAABo+n7c=")</f>
        <v>#VALUE!</v>
      </c>
      <c r="GC61" t="e">
        <f>AND('UP133'!ID22,"AAAAABo+n7g=")</f>
        <v>#VALUE!</v>
      </c>
      <c r="GD61" t="e">
        <f>AND('UP133'!IE22,"AAAAABo+n7k=")</f>
        <v>#VALUE!</v>
      </c>
      <c r="GE61" t="e">
        <f>AND('UP133'!IF22,"AAAAABo+n7o=")</f>
        <v>#VALUE!</v>
      </c>
      <c r="GF61" t="e">
        <f>AND('UP133'!IG22,"AAAAABo+n7s=")</f>
        <v>#VALUE!</v>
      </c>
      <c r="GG61" t="e">
        <f>AND('UP133'!IH22,"AAAAABo+n7w=")</f>
        <v>#VALUE!</v>
      </c>
      <c r="GH61" t="e">
        <f>AND('UP133'!II22,"AAAAABo+n70=")</f>
        <v>#VALUE!</v>
      </c>
      <c r="GI61" t="e">
        <f>AND('UP133'!IJ22,"AAAAABo+n74=")</f>
        <v>#VALUE!</v>
      </c>
      <c r="GJ61" t="e">
        <f>AND('UP133'!IK22,"AAAAABo+n78=")</f>
        <v>#VALUE!</v>
      </c>
      <c r="GK61" t="e">
        <f>AND('UP133'!IL22,"AAAAABo+n8A=")</f>
        <v>#VALUE!</v>
      </c>
      <c r="GL61" t="e">
        <f>AND('UP133'!IM22,"AAAAABo+n8E=")</f>
        <v>#VALUE!</v>
      </c>
      <c r="GM61" t="e">
        <f>AND('UP133'!IN22,"AAAAABo+n8I=")</f>
        <v>#VALUE!</v>
      </c>
      <c r="GN61" t="e">
        <f>AND('UP133'!IO22,"AAAAABo+n8M=")</f>
        <v>#VALUE!</v>
      </c>
      <c r="GO61" t="e">
        <f>AND('UP133'!IP22,"AAAAABo+n8Q=")</f>
        <v>#VALUE!</v>
      </c>
      <c r="GP61" t="e">
        <f>AND('UP133'!IQ22,"AAAAABo+n8U=")</f>
        <v>#VALUE!</v>
      </c>
      <c r="GQ61">
        <f>IF('UP133'!23:23,"AAAAABo+n8Y=",0)</f>
        <v>0</v>
      </c>
      <c r="GR61" t="e">
        <f>AND('UP133'!A23,"AAAAABo+n8c=")</f>
        <v>#VALUE!</v>
      </c>
      <c r="GS61" t="e">
        <f>AND('UP133'!B23,"AAAAABo+n8g=")</f>
        <v>#VALUE!</v>
      </c>
      <c r="GT61" t="e">
        <f>AND('UP133'!C23,"AAAAABo+n8k=")</f>
        <v>#VALUE!</v>
      </c>
      <c r="GU61" t="e">
        <f>AND('UP133'!D23,"AAAAABo+n8o=")</f>
        <v>#VALUE!</v>
      </c>
      <c r="GV61" t="e">
        <f>AND('UP133'!E23,"AAAAABo+n8s=")</f>
        <v>#VALUE!</v>
      </c>
      <c r="GW61" t="e">
        <f>AND('UP133'!F23,"AAAAABo+n8w=")</f>
        <v>#VALUE!</v>
      </c>
      <c r="GX61" t="e">
        <f>AND('UP133'!G23,"AAAAABo+n80=")</f>
        <v>#VALUE!</v>
      </c>
      <c r="GY61" t="e">
        <f>AND('UP133'!H23,"AAAAABo+n84=")</f>
        <v>#VALUE!</v>
      </c>
      <c r="GZ61" t="e">
        <f>AND('UP133'!I23,"AAAAABo+n88=")</f>
        <v>#VALUE!</v>
      </c>
      <c r="HA61" t="e">
        <f>AND('UP133'!J23,"AAAAABo+n9A=")</f>
        <v>#VALUE!</v>
      </c>
      <c r="HB61" t="e">
        <f>AND('UP133'!K23,"AAAAABo+n9E=")</f>
        <v>#VALUE!</v>
      </c>
      <c r="HC61" t="e">
        <f>AND('UP133'!L23,"AAAAABo+n9I=")</f>
        <v>#VALUE!</v>
      </c>
      <c r="HD61" t="e">
        <f>AND('UP133'!M23,"AAAAABo+n9M=")</f>
        <v>#VALUE!</v>
      </c>
      <c r="HE61" t="e">
        <f>AND('UP133'!N23,"AAAAABo+n9Q=")</f>
        <v>#VALUE!</v>
      </c>
      <c r="HF61" t="e">
        <f>AND('UP133'!O23,"AAAAABo+n9U=")</f>
        <v>#VALUE!</v>
      </c>
      <c r="HG61" t="e">
        <f>AND('UP133'!P23,"AAAAABo+n9Y=")</f>
        <v>#VALUE!</v>
      </c>
      <c r="HH61" t="e">
        <f>AND('UP133'!Q23,"AAAAABo+n9c=")</f>
        <v>#VALUE!</v>
      </c>
      <c r="HI61" t="e">
        <f>AND('UP133'!R23,"AAAAABo+n9g=")</f>
        <v>#VALUE!</v>
      </c>
      <c r="HJ61" t="e">
        <f>AND('UP133'!S23,"AAAAABo+n9k=")</f>
        <v>#VALUE!</v>
      </c>
      <c r="HK61" t="e">
        <f>AND('UP133'!T23,"AAAAABo+n9o=")</f>
        <v>#VALUE!</v>
      </c>
      <c r="HL61" t="e">
        <f>AND('UP133'!U23,"AAAAABo+n9s=")</f>
        <v>#VALUE!</v>
      </c>
      <c r="HM61" t="e">
        <f>AND('UP133'!V23,"AAAAABo+n9w=")</f>
        <v>#VALUE!</v>
      </c>
      <c r="HN61" t="e">
        <f>AND('UP133'!W23,"AAAAABo+n90=")</f>
        <v>#VALUE!</v>
      </c>
      <c r="HO61" t="e">
        <f>AND('UP133'!X23,"AAAAABo+n94=")</f>
        <v>#VALUE!</v>
      </c>
      <c r="HP61" t="e">
        <f>AND('UP133'!Y23,"AAAAABo+n98=")</f>
        <v>#VALUE!</v>
      </c>
      <c r="HQ61" t="e">
        <f>AND('UP133'!Z23,"AAAAABo+n+A=")</f>
        <v>#VALUE!</v>
      </c>
      <c r="HR61" t="e">
        <f>AND('UP133'!AA23,"AAAAABo+n+E=")</f>
        <v>#VALUE!</v>
      </c>
      <c r="HS61" t="e">
        <f>AND('UP133'!AB23,"AAAAABo+n+I=")</f>
        <v>#VALUE!</v>
      </c>
      <c r="HT61" t="e">
        <f>AND('UP133'!AC23,"AAAAABo+n+M=")</f>
        <v>#VALUE!</v>
      </c>
      <c r="HU61" t="e">
        <f>AND('UP133'!AD23,"AAAAABo+n+Q=")</f>
        <v>#VALUE!</v>
      </c>
      <c r="HV61" t="e">
        <f>AND('UP133'!AE23,"AAAAABo+n+U=")</f>
        <v>#VALUE!</v>
      </c>
      <c r="HW61" t="e">
        <f>AND('UP133'!AF23,"AAAAABo+n+Y=")</f>
        <v>#VALUE!</v>
      </c>
      <c r="HX61" t="e">
        <f>AND('UP133'!AG23,"AAAAABo+n+c=")</f>
        <v>#VALUE!</v>
      </c>
      <c r="HY61" t="e">
        <f>AND('UP133'!AH23,"AAAAABo+n+g=")</f>
        <v>#VALUE!</v>
      </c>
      <c r="HZ61" t="e">
        <f>AND('UP133'!AI23,"AAAAABo+n+k=")</f>
        <v>#VALUE!</v>
      </c>
      <c r="IA61" t="e">
        <f>AND('UP133'!AJ23,"AAAAABo+n+o=")</f>
        <v>#VALUE!</v>
      </c>
      <c r="IB61" t="e">
        <f>AND('UP133'!AK23,"AAAAABo+n+s=")</f>
        <v>#VALUE!</v>
      </c>
      <c r="IC61" t="e">
        <f>AND('UP133'!AL23,"AAAAABo+n+w=")</f>
        <v>#VALUE!</v>
      </c>
      <c r="ID61" t="e">
        <f>AND('UP133'!AM23,"AAAAABo+n+0=")</f>
        <v>#VALUE!</v>
      </c>
      <c r="IE61" t="e">
        <f>AND('UP133'!AN23,"AAAAABo+n+4=")</f>
        <v>#VALUE!</v>
      </c>
      <c r="IF61" t="e">
        <f>AND('UP133'!AO23,"AAAAABo+n+8=")</f>
        <v>#VALUE!</v>
      </c>
      <c r="IG61" t="e">
        <f>AND('UP133'!AP23,"AAAAABo+n/A=")</f>
        <v>#VALUE!</v>
      </c>
      <c r="IH61" t="e">
        <f>AND('UP133'!AQ23,"AAAAABo+n/E=")</f>
        <v>#VALUE!</v>
      </c>
      <c r="II61" t="e">
        <f>AND('UP133'!AR23,"AAAAABo+n/I=")</f>
        <v>#VALUE!</v>
      </c>
      <c r="IJ61" t="e">
        <f>AND('UP133'!AS23,"AAAAABo+n/M=")</f>
        <v>#VALUE!</v>
      </c>
      <c r="IK61" t="e">
        <f>AND('UP133'!AT23,"AAAAABo+n/Q=")</f>
        <v>#VALUE!</v>
      </c>
      <c r="IL61" t="e">
        <f>AND('UP133'!AU23,"AAAAABo+n/U=")</f>
        <v>#VALUE!</v>
      </c>
      <c r="IM61" t="e">
        <f>AND('UP133'!AV23,"AAAAABo+n/Y=")</f>
        <v>#VALUE!</v>
      </c>
      <c r="IN61" t="e">
        <f>AND('UP133'!AW23,"AAAAABo+n/c=")</f>
        <v>#VALUE!</v>
      </c>
      <c r="IO61" t="e">
        <f>AND('UP133'!AX23,"AAAAABo+n/g=")</f>
        <v>#VALUE!</v>
      </c>
      <c r="IP61" t="e">
        <f>AND('UP133'!AY23,"AAAAABo+n/k=")</f>
        <v>#VALUE!</v>
      </c>
      <c r="IQ61" t="e">
        <f>AND('UP133'!AZ23,"AAAAABo+n/o=")</f>
        <v>#VALUE!</v>
      </c>
      <c r="IR61" t="e">
        <f>AND('UP133'!BA23,"AAAAABo+n/s=")</f>
        <v>#VALUE!</v>
      </c>
      <c r="IS61" t="e">
        <f>AND('UP133'!BB23,"AAAAABo+n/w=")</f>
        <v>#VALUE!</v>
      </c>
      <c r="IT61" t="e">
        <f>AND('UP133'!BC23,"AAAAABo+n/0=")</f>
        <v>#VALUE!</v>
      </c>
      <c r="IU61" t="e">
        <f>AND('UP133'!BD23,"AAAAABo+n/4=")</f>
        <v>#VALUE!</v>
      </c>
      <c r="IV61" t="e">
        <f>AND('UP133'!BE23,"AAAAABo+n/8=")</f>
        <v>#VALUE!</v>
      </c>
    </row>
    <row r="62" spans="1:256">
      <c r="A62" t="e">
        <f>AND('UP133'!BF23,"AAAAAB93/wA=")</f>
        <v>#VALUE!</v>
      </c>
      <c r="B62" t="e">
        <f>AND('UP133'!BG23,"AAAAAB93/wE=")</f>
        <v>#VALUE!</v>
      </c>
      <c r="C62" t="e">
        <f>AND('UP133'!BH23,"AAAAAB93/wI=")</f>
        <v>#VALUE!</v>
      </c>
      <c r="D62" t="e">
        <f>AND('UP133'!BI23,"AAAAAB93/wM=")</f>
        <v>#VALUE!</v>
      </c>
      <c r="E62" t="e">
        <f>AND('UP133'!BJ23,"AAAAAB93/wQ=")</f>
        <v>#VALUE!</v>
      </c>
      <c r="F62" t="e">
        <f>AND('UP133'!BK23,"AAAAAB93/wU=")</f>
        <v>#VALUE!</v>
      </c>
      <c r="G62" t="e">
        <f>AND('UP133'!BL23,"AAAAAB93/wY=")</f>
        <v>#VALUE!</v>
      </c>
      <c r="H62" t="e">
        <f>AND('UP133'!BM23,"AAAAAB93/wc=")</f>
        <v>#VALUE!</v>
      </c>
      <c r="I62" t="e">
        <f>AND('UP133'!BN23,"AAAAAB93/wg=")</f>
        <v>#VALUE!</v>
      </c>
      <c r="J62" t="e">
        <f>AND('UP133'!BO23,"AAAAAB93/wk=")</f>
        <v>#VALUE!</v>
      </c>
      <c r="K62" t="e">
        <f>AND('UP133'!BP23,"AAAAAB93/wo=")</f>
        <v>#VALUE!</v>
      </c>
      <c r="L62" t="e">
        <f>AND('UP133'!BQ23,"AAAAAB93/ws=")</f>
        <v>#VALUE!</v>
      </c>
      <c r="M62" t="e">
        <f>AND('UP133'!BR23,"AAAAAB93/ww=")</f>
        <v>#VALUE!</v>
      </c>
      <c r="N62" t="e">
        <f>AND('UP133'!BS23,"AAAAAB93/w0=")</f>
        <v>#VALUE!</v>
      </c>
      <c r="O62" t="e">
        <f>AND('UP133'!BT23,"AAAAAB93/w4=")</f>
        <v>#VALUE!</v>
      </c>
      <c r="P62" t="e">
        <f>AND('UP133'!BU23,"AAAAAB93/w8=")</f>
        <v>#VALUE!</v>
      </c>
      <c r="Q62" t="e">
        <f>AND('UP133'!BV23,"AAAAAB93/xA=")</f>
        <v>#VALUE!</v>
      </c>
      <c r="R62" t="e">
        <f>AND('UP133'!BW23,"AAAAAB93/xE=")</f>
        <v>#VALUE!</v>
      </c>
      <c r="S62" t="e">
        <f>AND('UP133'!BX23,"AAAAAB93/xI=")</f>
        <v>#VALUE!</v>
      </c>
      <c r="T62" t="e">
        <f>AND('UP133'!BY23,"AAAAAB93/xM=")</f>
        <v>#VALUE!</v>
      </c>
      <c r="U62" t="e">
        <f>AND('UP133'!BZ23,"AAAAAB93/xQ=")</f>
        <v>#VALUE!</v>
      </c>
      <c r="V62" t="e">
        <f>AND('UP133'!CA23,"AAAAAB93/xU=")</f>
        <v>#VALUE!</v>
      </c>
      <c r="W62" t="e">
        <f>AND('UP133'!CB23,"AAAAAB93/xY=")</f>
        <v>#VALUE!</v>
      </c>
      <c r="X62" t="e">
        <f>AND('UP133'!CC23,"AAAAAB93/xc=")</f>
        <v>#VALUE!</v>
      </c>
      <c r="Y62" t="e">
        <f>AND('UP133'!CD23,"AAAAAB93/xg=")</f>
        <v>#VALUE!</v>
      </c>
      <c r="Z62" t="e">
        <f>AND('UP133'!CE23,"AAAAAB93/xk=")</f>
        <v>#VALUE!</v>
      </c>
      <c r="AA62" t="e">
        <f>AND('UP133'!CF23,"AAAAAB93/xo=")</f>
        <v>#VALUE!</v>
      </c>
      <c r="AB62" t="e">
        <f>AND('UP133'!CG23,"AAAAAB93/xs=")</f>
        <v>#VALUE!</v>
      </c>
      <c r="AC62" t="e">
        <f>AND('UP133'!CH23,"AAAAAB93/xw=")</f>
        <v>#VALUE!</v>
      </c>
      <c r="AD62" t="e">
        <f>AND('UP133'!CI23,"AAAAAB93/x0=")</f>
        <v>#VALUE!</v>
      </c>
      <c r="AE62" t="e">
        <f>AND('UP133'!CJ23,"AAAAAB93/x4=")</f>
        <v>#VALUE!</v>
      </c>
      <c r="AF62" t="e">
        <f>AND('UP133'!CK23,"AAAAAB93/x8=")</f>
        <v>#VALUE!</v>
      </c>
      <c r="AG62" t="e">
        <f>AND('UP133'!CL23,"AAAAAB93/yA=")</f>
        <v>#VALUE!</v>
      </c>
      <c r="AH62" t="e">
        <f>AND('UP133'!CM23,"AAAAAB93/yE=")</f>
        <v>#VALUE!</v>
      </c>
      <c r="AI62" t="e">
        <f>AND('UP133'!CN23,"AAAAAB93/yI=")</f>
        <v>#VALUE!</v>
      </c>
      <c r="AJ62" t="e">
        <f>AND('UP133'!CO23,"AAAAAB93/yM=")</f>
        <v>#VALUE!</v>
      </c>
      <c r="AK62" t="e">
        <f>AND('UP133'!CP23,"AAAAAB93/yQ=")</f>
        <v>#VALUE!</v>
      </c>
      <c r="AL62" t="e">
        <f>AND('UP133'!CQ23,"AAAAAB93/yU=")</f>
        <v>#VALUE!</v>
      </c>
      <c r="AM62" t="e">
        <f>AND('UP133'!CR23,"AAAAAB93/yY=")</f>
        <v>#VALUE!</v>
      </c>
      <c r="AN62" t="e">
        <f>AND('UP133'!CS23,"AAAAAB93/yc=")</f>
        <v>#VALUE!</v>
      </c>
      <c r="AO62" t="e">
        <f>AND('UP133'!CT23,"AAAAAB93/yg=")</f>
        <v>#VALUE!</v>
      </c>
      <c r="AP62" t="e">
        <f>AND('UP133'!CU23,"AAAAAB93/yk=")</f>
        <v>#VALUE!</v>
      </c>
      <c r="AQ62" t="e">
        <f>AND('UP133'!CV23,"AAAAAB93/yo=")</f>
        <v>#VALUE!</v>
      </c>
      <c r="AR62" t="e">
        <f>AND('UP133'!CW23,"AAAAAB93/ys=")</f>
        <v>#VALUE!</v>
      </c>
      <c r="AS62" t="e">
        <f>AND('UP133'!CX23,"AAAAAB93/yw=")</f>
        <v>#VALUE!</v>
      </c>
      <c r="AT62" t="e">
        <f>AND('UP133'!CY23,"AAAAAB93/y0=")</f>
        <v>#VALUE!</v>
      </c>
      <c r="AU62" t="e">
        <f>AND('UP133'!CZ23,"AAAAAB93/y4=")</f>
        <v>#VALUE!</v>
      </c>
      <c r="AV62" t="e">
        <f>AND('UP133'!DA23,"AAAAAB93/y8=")</f>
        <v>#VALUE!</v>
      </c>
      <c r="AW62" t="e">
        <f>AND('UP133'!DB23,"AAAAAB93/zA=")</f>
        <v>#VALUE!</v>
      </c>
      <c r="AX62" t="e">
        <f>AND('UP133'!DC23,"AAAAAB93/zE=")</f>
        <v>#VALUE!</v>
      </c>
      <c r="AY62" t="e">
        <f>AND('UP133'!DD23,"AAAAAB93/zI=")</f>
        <v>#VALUE!</v>
      </c>
      <c r="AZ62" t="e">
        <f>AND('UP133'!DE23,"AAAAAB93/zM=")</f>
        <v>#VALUE!</v>
      </c>
      <c r="BA62" t="e">
        <f>AND('UP133'!DF23,"AAAAAB93/zQ=")</f>
        <v>#VALUE!</v>
      </c>
      <c r="BB62" t="e">
        <f>AND('UP133'!DG23,"AAAAAB93/zU=")</f>
        <v>#VALUE!</v>
      </c>
      <c r="BC62" t="e">
        <f>AND('UP133'!DH23,"AAAAAB93/zY=")</f>
        <v>#VALUE!</v>
      </c>
      <c r="BD62" t="e">
        <f>AND('UP133'!DI23,"AAAAAB93/zc=")</f>
        <v>#VALUE!</v>
      </c>
      <c r="BE62" t="e">
        <f>AND('UP133'!DJ23,"AAAAAB93/zg=")</f>
        <v>#VALUE!</v>
      </c>
      <c r="BF62" t="e">
        <f>AND('UP133'!DK23,"AAAAAB93/zk=")</f>
        <v>#VALUE!</v>
      </c>
      <c r="BG62" t="e">
        <f>AND('UP133'!DL23,"AAAAAB93/zo=")</f>
        <v>#VALUE!</v>
      </c>
      <c r="BH62" t="e">
        <f>AND('UP133'!DM23,"AAAAAB93/zs=")</f>
        <v>#VALUE!</v>
      </c>
      <c r="BI62" t="e">
        <f>AND('UP133'!DN23,"AAAAAB93/zw=")</f>
        <v>#VALUE!</v>
      </c>
      <c r="BJ62" t="e">
        <f>AND('UP133'!DO23,"AAAAAB93/z0=")</f>
        <v>#VALUE!</v>
      </c>
      <c r="BK62" t="e">
        <f>AND('UP133'!DP23,"AAAAAB93/z4=")</f>
        <v>#VALUE!</v>
      </c>
      <c r="BL62" t="e">
        <f>AND('UP133'!DQ23,"AAAAAB93/z8=")</f>
        <v>#VALUE!</v>
      </c>
      <c r="BM62" t="e">
        <f>AND('UP133'!DR23,"AAAAAB93/0A=")</f>
        <v>#VALUE!</v>
      </c>
      <c r="BN62" t="e">
        <f>AND('UP133'!DS23,"AAAAAB93/0E=")</f>
        <v>#VALUE!</v>
      </c>
      <c r="BO62" t="e">
        <f>AND('UP133'!DT23,"AAAAAB93/0I=")</f>
        <v>#VALUE!</v>
      </c>
      <c r="BP62" t="e">
        <f>AND('UP133'!DU23,"AAAAAB93/0M=")</f>
        <v>#VALUE!</v>
      </c>
      <c r="BQ62" t="e">
        <f>AND('UP133'!DV23,"AAAAAB93/0Q=")</f>
        <v>#VALUE!</v>
      </c>
      <c r="BR62" t="e">
        <f>AND('UP133'!DW23,"AAAAAB93/0U=")</f>
        <v>#VALUE!</v>
      </c>
      <c r="BS62" t="e">
        <f>AND('UP133'!DX23,"AAAAAB93/0Y=")</f>
        <v>#VALUE!</v>
      </c>
      <c r="BT62" t="e">
        <f>AND('UP133'!DY23,"AAAAAB93/0c=")</f>
        <v>#VALUE!</v>
      </c>
      <c r="BU62" t="e">
        <f>AND('UP133'!DZ23,"AAAAAB93/0g=")</f>
        <v>#VALUE!</v>
      </c>
      <c r="BV62" t="e">
        <f>AND('UP133'!EA23,"AAAAAB93/0k=")</f>
        <v>#VALUE!</v>
      </c>
      <c r="BW62" t="e">
        <f>AND('UP133'!EB23,"AAAAAB93/0o=")</f>
        <v>#VALUE!</v>
      </c>
      <c r="BX62" t="e">
        <f>AND('UP133'!EC23,"AAAAAB93/0s=")</f>
        <v>#VALUE!</v>
      </c>
      <c r="BY62" t="e">
        <f>AND('UP133'!ED23,"AAAAAB93/0w=")</f>
        <v>#VALUE!</v>
      </c>
      <c r="BZ62" t="e">
        <f>AND('UP133'!EE23,"AAAAAB93/00=")</f>
        <v>#VALUE!</v>
      </c>
      <c r="CA62" t="e">
        <f>AND('UP133'!EF23,"AAAAAB93/04=")</f>
        <v>#VALUE!</v>
      </c>
      <c r="CB62" t="e">
        <f>AND('UP133'!EG23,"AAAAAB93/08=")</f>
        <v>#VALUE!</v>
      </c>
      <c r="CC62" t="e">
        <f>AND('UP133'!EH23,"AAAAAB93/1A=")</f>
        <v>#VALUE!</v>
      </c>
      <c r="CD62" t="e">
        <f>AND('UP133'!EI23,"AAAAAB93/1E=")</f>
        <v>#VALUE!</v>
      </c>
      <c r="CE62" t="e">
        <f>AND('UP133'!EJ23,"AAAAAB93/1I=")</f>
        <v>#VALUE!</v>
      </c>
      <c r="CF62" t="e">
        <f>AND('UP133'!EK23,"AAAAAB93/1M=")</f>
        <v>#VALUE!</v>
      </c>
      <c r="CG62" t="e">
        <f>AND('UP133'!EL23,"AAAAAB93/1Q=")</f>
        <v>#VALUE!</v>
      </c>
      <c r="CH62" t="e">
        <f>AND('UP133'!EM23,"AAAAAB93/1U=")</f>
        <v>#VALUE!</v>
      </c>
      <c r="CI62" t="e">
        <f>AND('UP133'!EN23,"AAAAAB93/1Y=")</f>
        <v>#VALUE!</v>
      </c>
      <c r="CJ62" t="e">
        <f>AND('UP133'!EO23,"AAAAAB93/1c=")</f>
        <v>#VALUE!</v>
      </c>
      <c r="CK62" t="e">
        <f>AND('UP133'!EP23,"AAAAAB93/1g=")</f>
        <v>#VALUE!</v>
      </c>
      <c r="CL62" t="e">
        <f>AND('UP133'!EQ23,"AAAAAB93/1k=")</f>
        <v>#VALUE!</v>
      </c>
      <c r="CM62" t="e">
        <f>AND('UP133'!ER23,"AAAAAB93/1o=")</f>
        <v>#VALUE!</v>
      </c>
      <c r="CN62" t="e">
        <f>AND('UP133'!ES23,"AAAAAB93/1s=")</f>
        <v>#VALUE!</v>
      </c>
      <c r="CO62" t="e">
        <f>AND('UP133'!ET23,"AAAAAB93/1w=")</f>
        <v>#VALUE!</v>
      </c>
      <c r="CP62" t="e">
        <f>AND('UP133'!EU23,"AAAAAB93/10=")</f>
        <v>#VALUE!</v>
      </c>
      <c r="CQ62" t="e">
        <f>AND('UP133'!EV23,"AAAAAB93/14=")</f>
        <v>#VALUE!</v>
      </c>
      <c r="CR62" t="e">
        <f>AND('UP133'!EW23,"AAAAAB93/18=")</f>
        <v>#VALUE!</v>
      </c>
      <c r="CS62" t="e">
        <f>AND('UP133'!EX23,"AAAAAB93/2A=")</f>
        <v>#VALUE!</v>
      </c>
      <c r="CT62" t="e">
        <f>AND('UP133'!EY23,"AAAAAB93/2E=")</f>
        <v>#VALUE!</v>
      </c>
      <c r="CU62" t="e">
        <f>AND('UP133'!EZ23,"AAAAAB93/2I=")</f>
        <v>#VALUE!</v>
      </c>
      <c r="CV62" t="e">
        <f>AND('UP133'!FA23,"AAAAAB93/2M=")</f>
        <v>#VALUE!</v>
      </c>
      <c r="CW62" t="e">
        <f>AND('UP133'!FB23,"AAAAAB93/2Q=")</f>
        <v>#VALUE!</v>
      </c>
      <c r="CX62" t="e">
        <f>AND('UP133'!FC23,"AAAAAB93/2U=")</f>
        <v>#VALUE!</v>
      </c>
      <c r="CY62" t="e">
        <f>AND('UP133'!FD23,"AAAAAB93/2Y=")</f>
        <v>#VALUE!</v>
      </c>
      <c r="CZ62" t="e">
        <f>AND('UP133'!FE23,"AAAAAB93/2c=")</f>
        <v>#VALUE!</v>
      </c>
      <c r="DA62" t="e">
        <f>AND('UP133'!FF23,"AAAAAB93/2g=")</f>
        <v>#VALUE!</v>
      </c>
      <c r="DB62" t="e">
        <f>AND('UP133'!FG23,"AAAAAB93/2k=")</f>
        <v>#VALUE!</v>
      </c>
      <c r="DC62" t="e">
        <f>AND('UP133'!FH23,"AAAAAB93/2o=")</f>
        <v>#VALUE!</v>
      </c>
      <c r="DD62" t="e">
        <f>AND('UP133'!FI23,"AAAAAB93/2s=")</f>
        <v>#VALUE!</v>
      </c>
      <c r="DE62" t="e">
        <f>AND('UP133'!FJ23,"AAAAAB93/2w=")</f>
        <v>#VALUE!</v>
      </c>
      <c r="DF62" t="e">
        <f>AND('UP133'!FK23,"AAAAAB93/20=")</f>
        <v>#VALUE!</v>
      </c>
      <c r="DG62" t="e">
        <f>AND('UP133'!FL23,"AAAAAB93/24=")</f>
        <v>#VALUE!</v>
      </c>
      <c r="DH62" t="e">
        <f>AND('UP133'!FM23,"AAAAAB93/28=")</f>
        <v>#VALUE!</v>
      </c>
      <c r="DI62" t="e">
        <f>AND('UP133'!FN23,"AAAAAB93/3A=")</f>
        <v>#VALUE!</v>
      </c>
      <c r="DJ62" t="e">
        <f>AND('UP133'!FO23,"AAAAAB93/3E=")</f>
        <v>#VALUE!</v>
      </c>
      <c r="DK62" t="e">
        <f>AND('UP133'!FP23,"AAAAAB93/3I=")</f>
        <v>#VALUE!</v>
      </c>
      <c r="DL62" t="e">
        <f>AND('UP133'!FQ23,"AAAAAB93/3M=")</f>
        <v>#VALUE!</v>
      </c>
      <c r="DM62" t="e">
        <f>AND('UP133'!FR23,"AAAAAB93/3Q=")</f>
        <v>#VALUE!</v>
      </c>
      <c r="DN62" t="e">
        <f>AND('UP133'!FS23,"AAAAAB93/3U=")</f>
        <v>#VALUE!</v>
      </c>
      <c r="DO62" t="e">
        <f>AND('UP133'!FT23,"AAAAAB93/3Y=")</f>
        <v>#VALUE!</v>
      </c>
      <c r="DP62" t="e">
        <f>AND('UP133'!FU23,"AAAAAB93/3c=")</f>
        <v>#VALUE!</v>
      </c>
      <c r="DQ62" t="e">
        <f>AND('UP133'!FV23,"AAAAAB93/3g=")</f>
        <v>#VALUE!</v>
      </c>
      <c r="DR62" t="e">
        <f>AND('UP133'!FW23,"AAAAAB93/3k=")</f>
        <v>#VALUE!</v>
      </c>
      <c r="DS62" t="e">
        <f>AND('UP133'!FX23,"AAAAAB93/3o=")</f>
        <v>#VALUE!</v>
      </c>
      <c r="DT62" t="e">
        <f>AND('UP133'!FY23,"AAAAAB93/3s=")</f>
        <v>#VALUE!</v>
      </c>
      <c r="DU62" t="e">
        <f>AND('UP133'!FZ23,"AAAAAB93/3w=")</f>
        <v>#VALUE!</v>
      </c>
      <c r="DV62" t="e">
        <f>AND('UP133'!GA23,"AAAAAB93/30=")</f>
        <v>#VALUE!</v>
      </c>
      <c r="DW62" t="e">
        <f>AND('UP133'!GB23,"AAAAAB93/34=")</f>
        <v>#VALUE!</v>
      </c>
      <c r="DX62" t="e">
        <f>AND('UP133'!GC23,"AAAAAB93/38=")</f>
        <v>#VALUE!</v>
      </c>
      <c r="DY62" t="e">
        <f>AND('UP133'!GD23,"AAAAAB93/4A=")</f>
        <v>#VALUE!</v>
      </c>
      <c r="DZ62" t="e">
        <f>AND('UP133'!GE23,"AAAAAB93/4E=")</f>
        <v>#VALUE!</v>
      </c>
      <c r="EA62" t="e">
        <f>AND('UP133'!GF23,"AAAAAB93/4I=")</f>
        <v>#VALUE!</v>
      </c>
      <c r="EB62" t="e">
        <f>AND('UP133'!GG23,"AAAAAB93/4M=")</f>
        <v>#VALUE!</v>
      </c>
      <c r="EC62" t="e">
        <f>AND('UP133'!GH23,"AAAAAB93/4Q=")</f>
        <v>#VALUE!</v>
      </c>
      <c r="ED62" t="e">
        <f>AND('UP133'!GI23,"AAAAAB93/4U=")</f>
        <v>#VALUE!</v>
      </c>
      <c r="EE62" t="e">
        <f>AND('UP133'!GJ23,"AAAAAB93/4Y=")</f>
        <v>#VALUE!</v>
      </c>
      <c r="EF62" t="e">
        <f>AND('UP133'!GK23,"AAAAAB93/4c=")</f>
        <v>#VALUE!</v>
      </c>
      <c r="EG62" t="e">
        <f>AND('UP133'!GL23,"AAAAAB93/4g=")</f>
        <v>#VALUE!</v>
      </c>
      <c r="EH62" t="e">
        <f>AND('UP133'!GM23,"AAAAAB93/4k=")</f>
        <v>#VALUE!</v>
      </c>
      <c r="EI62" t="e">
        <f>AND('UP133'!GN23,"AAAAAB93/4o=")</f>
        <v>#VALUE!</v>
      </c>
      <c r="EJ62" t="e">
        <f>AND('UP133'!GO23,"AAAAAB93/4s=")</f>
        <v>#VALUE!</v>
      </c>
      <c r="EK62" t="e">
        <f>AND('UP133'!GP23,"AAAAAB93/4w=")</f>
        <v>#VALUE!</v>
      </c>
      <c r="EL62" t="e">
        <f>AND('UP133'!GQ23,"AAAAAB93/40=")</f>
        <v>#VALUE!</v>
      </c>
      <c r="EM62" t="e">
        <f>AND('UP133'!GR23,"AAAAAB93/44=")</f>
        <v>#VALUE!</v>
      </c>
      <c r="EN62" t="e">
        <f>AND('UP133'!GS23,"AAAAAB93/48=")</f>
        <v>#VALUE!</v>
      </c>
      <c r="EO62" t="e">
        <f>AND('UP133'!GT23,"AAAAAB93/5A=")</f>
        <v>#VALUE!</v>
      </c>
      <c r="EP62" t="e">
        <f>AND('UP133'!GU23,"AAAAAB93/5E=")</f>
        <v>#VALUE!</v>
      </c>
      <c r="EQ62" t="e">
        <f>AND('UP133'!GV23,"AAAAAB93/5I=")</f>
        <v>#VALUE!</v>
      </c>
      <c r="ER62" t="e">
        <f>AND('UP133'!GW23,"AAAAAB93/5M=")</f>
        <v>#VALUE!</v>
      </c>
      <c r="ES62" t="e">
        <f>AND('UP133'!GX23,"AAAAAB93/5Q=")</f>
        <v>#VALUE!</v>
      </c>
      <c r="ET62" t="e">
        <f>AND('UP133'!GY23,"AAAAAB93/5U=")</f>
        <v>#VALUE!</v>
      </c>
      <c r="EU62" t="e">
        <f>AND('UP133'!GZ23,"AAAAAB93/5Y=")</f>
        <v>#VALUE!</v>
      </c>
      <c r="EV62" t="e">
        <f>AND('UP133'!HA23,"AAAAAB93/5c=")</f>
        <v>#VALUE!</v>
      </c>
      <c r="EW62" t="e">
        <f>AND('UP133'!HB23,"AAAAAB93/5g=")</f>
        <v>#VALUE!</v>
      </c>
      <c r="EX62" t="e">
        <f>AND('UP133'!HC23,"AAAAAB93/5k=")</f>
        <v>#VALUE!</v>
      </c>
      <c r="EY62" t="e">
        <f>AND('UP133'!HD23,"AAAAAB93/5o=")</f>
        <v>#VALUE!</v>
      </c>
      <c r="EZ62" t="e">
        <f>AND('UP133'!HE23,"AAAAAB93/5s=")</f>
        <v>#VALUE!</v>
      </c>
      <c r="FA62" t="e">
        <f>AND('UP133'!HF23,"AAAAAB93/5w=")</f>
        <v>#VALUE!</v>
      </c>
      <c r="FB62" t="e">
        <f>AND('UP133'!HG23,"AAAAAB93/50=")</f>
        <v>#VALUE!</v>
      </c>
      <c r="FC62" t="e">
        <f>AND('UP133'!HH23,"AAAAAB93/54=")</f>
        <v>#VALUE!</v>
      </c>
      <c r="FD62" t="e">
        <f>AND('UP133'!HI23,"AAAAAB93/58=")</f>
        <v>#VALUE!</v>
      </c>
      <c r="FE62" t="e">
        <f>AND('UP133'!HJ23,"AAAAAB93/6A=")</f>
        <v>#VALUE!</v>
      </c>
      <c r="FF62" t="e">
        <f>AND('UP133'!HK23,"AAAAAB93/6E=")</f>
        <v>#VALUE!</v>
      </c>
      <c r="FG62" t="e">
        <f>AND('UP133'!HL23,"AAAAAB93/6I=")</f>
        <v>#VALUE!</v>
      </c>
      <c r="FH62" t="e">
        <f>AND('UP133'!HM23,"AAAAAB93/6M=")</f>
        <v>#VALUE!</v>
      </c>
      <c r="FI62" t="e">
        <f>AND('UP133'!HN23,"AAAAAB93/6Q=")</f>
        <v>#VALUE!</v>
      </c>
      <c r="FJ62" t="e">
        <f>AND('UP133'!HO23,"AAAAAB93/6U=")</f>
        <v>#VALUE!</v>
      </c>
      <c r="FK62" t="e">
        <f>AND('UP133'!HP23,"AAAAAB93/6Y=")</f>
        <v>#VALUE!</v>
      </c>
      <c r="FL62" t="e">
        <f>AND('UP133'!HQ23,"AAAAAB93/6c=")</f>
        <v>#VALUE!</v>
      </c>
      <c r="FM62" t="e">
        <f>AND('UP133'!HR23,"AAAAAB93/6g=")</f>
        <v>#VALUE!</v>
      </c>
      <c r="FN62" t="e">
        <f>AND('UP133'!HS23,"AAAAAB93/6k=")</f>
        <v>#VALUE!</v>
      </c>
      <c r="FO62" t="e">
        <f>AND('UP133'!HT23,"AAAAAB93/6o=")</f>
        <v>#VALUE!</v>
      </c>
      <c r="FP62" t="e">
        <f>AND('UP133'!HU23,"AAAAAB93/6s=")</f>
        <v>#VALUE!</v>
      </c>
      <c r="FQ62" t="e">
        <f>AND('UP133'!HV23,"AAAAAB93/6w=")</f>
        <v>#VALUE!</v>
      </c>
      <c r="FR62" t="e">
        <f>AND('UP133'!HW23,"AAAAAB93/60=")</f>
        <v>#VALUE!</v>
      </c>
      <c r="FS62" t="e">
        <f>AND('UP133'!HX23,"AAAAAB93/64=")</f>
        <v>#VALUE!</v>
      </c>
      <c r="FT62" t="e">
        <f>AND('UP133'!HY23,"AAAAAB93/68=")</f>
        <v>#VALUE!</v>
      </c>
      <c r="FU62" t="e">
        <f>AND('UP133'!HZ23,"AAAAAB93/7A=")</f>
        <v>#VALUE!</v>
      </c>
      <c r="FV62" t="e">
        <f>AND('UP133'!IA23,"AAAAAB93/7E=")</f>
        <v>#VALUE!</v>
      </c>
      <c r="FW62" t="e">
        <f>AND('UP133'!IB23,"AAAAAB93/7I=")</f>
        <v>#VALUE!</v>
      </c>
      <c r="FX62" t="e">
        <f>AND('UP133'!IC23,"AAAAAB93/7M=")</f>
        <v>#VALUE!</v>
      </c>
      <c r="FY62" t="e">
        <f>AND('UP133'!ID23,"AAAAAB93/7Q=")</f>
        <v>#VALUE!</v>
      </c>
      <c r="FZ62" t="e">
        <f>AND('UP133'!IE23,"AAAAAB93/7U=")</f>
        <v>#VALUE!</v>
      </c>
      <c r="GA62" t="e">
        <f>AND('UP133'!IF23,"AAAAAB93/7Y=")</f>
        <v>#VALUE!</v>
      </c>
      <c r="GB62" t="e">
        <f>AND('UP133'!IG23,"AAAAAB93/7c=")</f>
        <v>#VALUE!</v>
      </c>
      <c r="GC62" t="e">
        <f>AND('UP133'!IH23,"AAAAAB93/7g=")</f>
        <v>#VALUE!</v>
      </c>
      <c r="GD62" t="e">
        <f>AND('UP133'!II23,"AAAAAB93/7k=")</f>
        <v>#VALUE!</v>
      </c>
      <c r="GE62" t="e">
        <f>AND('UP133'!IJ23,"AAAAAB93/7o=")</f>
        <v>#VALUE!</v>
      </c>
      <c r="GF62" t="e">
        <f>AND('UP133'!IK23,"AAAAAB93/7s=")</f>
        <v>#VALUE!</v>
      </c>
      <c r="GG62" t="e">
        <f>AND('UP133'!IL23,"AAAAAB93/7w=")</f>
        <v>#VALUE!</v>
      </c>
      <c r="GH62" t="e">
        <f>AND('UP133'!IM23,"AAAAAB93/70=")</f>
        <v>#VALUE!</v>
      </c>
      <c r="GI62" t="e">
        <f>AND('UP133'!IN23,"AAAAAB93/74=")</f>
        <v>#VALUE!</v>
      </c>
      <c r="GJ62" t="e">
        <f>AND('UP133'!IO23,"AAAAAB93/78=")</f>
        <v>#VALUE!</v>
      </c>
      <c r="GK62" t="e">
        <f>AND('UP133'!IP23,"AAAAAB93/8A=")</f>
        <v>#VALUE!</v>
      </c>
      <c r="GL62" t="e">
        <f>AND('UP133'!IQ23,"AAAAAB93/8E=")</f>
        <v>#VALUE!</v>
      </c>
      <c r="GM62">
        <f>IF('UP133'!24:24,"AAAAAB93/8I=",0)</f>
        <v>0</v>
      </c>
      <c r="GN62" t="e">
        <f>AND('UP133'!A24,"AAAAAB93/8M=")</f>
        <v>#VALUE!</v>
      </c>
      <c r="GO62" t="e">
        <f>AND('UP133'!B24,"AAAAAB93/8Q=")</f>
        <v>#VALUE!</v>
      </c>
      <c r="GP62" t="e">
        <f>AND('UP133'!C24,"AAAAAB93/8U=")</f>
        <v>#VALUE!</v>
      </c>
      <c r="GQ62" t="e">
        <f>AND('UP133'!D24,"AAAAAB93/8Y=")</f>
        <v>#VALUE!</v>
      </c>
      <c r="GR62" t="e">
        <f>AND('UP133'!E24,"AAAAAB93/8c=")</f>
        <v>#VALUE!</v>
      </c>
      <c r="GS62" t="e">
        <f>AND('UP133'!F24,"AAAAAB93/8g=")</f>
        <v>#VALUE!</v>
      </c>
      <c r="GT62" t="e">
        <f>AND('UP133'!G24,"AAAAAB93/8k=")</f>
        <v>#VALUE!</v>
      </c>
      <c r="GU62" t="e">
        <f>AND('UP133'!H24,"AAAAAB93/8o=")</f>
        <v>#VALUE!</v>
      </c>
      <c r="GV62" t="e">
        <f>AND('UP133'!I24,"AAAAAB93/8s=")</f>
        <v>#VALUE!</v>
      </c>
      <c r="GW62" t="e">
        <f>AND('UP133'!J24,"AAAAAB93/8w=")</f>
        <v>#VALUE!</v>
      </c>
      <c r="GX62" t="e">
        <f>AND('UP133'!K24,"AAAAAB93/80=")</f>
        <v>#VALUE!</v>
      </c>
      <c r="GY62" t="e">
        <f>AND('UP133'!L24,"AAAAAB93/84=")</f>
        <v>#VALUE!</v>
      </c>
      <c r="GZ62" t="e">
        <f>AND('UP133'!M24,"AAAAAB93/88=")</f>
        <v>#VALUE!</v>
      </c>
      <c r="HA62" t="e">
        <f>AND('UP133'!N24,"AAAAAB93/9A=")</f>
        <v>#VALUE!</v>
      </c>
      <c r="HB62" t="e">
        <f>AND('UP133'!O24,"AAAAAB93/9E=")</f>
        <v>#VALUE!</v>
      </c>
      <c r="HC62" t="e">
        <f>AND('UP133'!P24,"AAAAAB93/9I=")</f>
        <v>#VALUE!</v>
      </c>
      <c r="HD62" t="e">
        <f>AND('UP133'!Q24,"AAAAAB93/9M=")</f>
        <v>#VALUE!</v>
      </c>
      <c r="HE62" t="e">
        <f>AND('UP133'!R24,"AAAAAB93/9Q=")</f>
        <v>#VALUE!</v>
      </c>
      <c r="HF62" t="e">
        <f>AND('UP133'!S24,"AAAAAB93/9U=")</f>
        <v>#VALUE!</v>
      </c>
      <c r="HG62" t="e">
        <f>AND('UP133'!T24,"AAAAAB93/9Y=")</f>
        <v>#VALUE!</v>
      </c>
      <c r="HH62" t="e">
        <f>AND('UP133'!U24,"AAAAAB93/9c=")</f>
        <v>#VALUE!</v>
      </c>
      <c r="HI62" t="e">
        <f>AND('UP133'!V24,"AAAAAB93/9g=")</f>
        <v>#VALUE!</v>
      </c>
      <c r="HJ62" t="e">
        <f>AND('UP133'!W24,"AAAAAB93/9k=")</f>
        <v>#VALUE!</v>
      </c>
      <c r="HK62" t="e">
        <f>AND('UP133'!X24,"AAAAAB93/9o=")</f>
        <v>#VALUE!</v>
      </c>
      <c r="HL62" t="e">
        <f>AND('UP133'!Y24,"AAAAAB93/9s=")</f>
        <v>#VALUE!</v>
      </c>
      <c r="HM62" t="e">
        <f>AND('UP133'!Z24,"AAAAAB93/9w=")</f>
        <v>#VALUE!</v>
      </c>
      <c r="HN62" t="e">
        <f>AND('UP133'!AA24,"AAAAAB93/90=")</f>
        <v>#VALUE!</v>
      </c>
      <c r="HO62" t="e">
        <f>AND('UP133'!AB24,"AAAAAB93/94=")</f>
        <v>#VALUE!</v>
      </c>
      <c r="HP62" t="e">
        <f>AND('UP133'!AC24,"AAAAAB93/98=")</f>
        <v>#VALUE!</v>
      </c>
      <c r="HQ62" t="e">
        <f>AND('UP133'!AD24,"AAAAAB93/+A=")</f>
        <v>#VALUE!</v>
      </c>
      <c r="HR62" t="e">
        <f>AND('UP133'!AE24,"AAAAAB93/+E=")</f>
        <v>#VALUE!</v>
      </c>
      <c r="HS62" t="e">
        <f>AND('UP133'!AF24,"AAAAAB93/+I=")</f>
        <v>#VALUE!</v>
      </c>
      <c r="HT62" t="e">
        <f>AND('UP133'!AG24,"AAAAAB93/+M=")</f>
        <v>#VALUE!</v>
      </c>
      <c r="HU62" t="e">
        <f>AND('UP133'!AH24,"AAAAAB93/+Q=")</f>
        <v>#VALUE!</v>
      </c>
      <c r="HV62" t="e">
        <f>AND('UP133'!AI24,"AAAAAB93/+U=")</f>
        <v>#VALUE!</v>
      </c>
      <c r="HW62" t="e">
        <f>AND('UP133'!AJ24,"AAAAAB93/+Y=")</f>
        <v>#VALUE!</v>
      </c>
      <c r="HX62" t="e">
        <f>AND('UP133'!AK24,"AAAAAB93/+c=")</f>
        <v>#VALUE!</v>
      </c>
      <c r="HY62" t="e">
        <f>AND('UP133'!AL24,"AAAAAB93/+g=")</f>
        <v>#VALUE!</v>
      </c>
      <c r="HZ62" t="e">
        <f>AND('UP133'!AM24,"AAAAAB93/+k=")</f>
        <v>#VALUE!</v>
      </c>
      <c r="IA62" t="e">
        <f>AND('UP133'!AN24,"AAAAAB93/+o=")</f>
        <v>#VALUE!</v>
      </c>
      <c r="IB62" t="e">
        <f>AND('UP133'!AO24,"AAAAAB93/+s=")</f>
        <v>#VALUE!</v>
      </c>
      <c r="IC62" t="e">
        <f>AND('UP133'!AP24,"AAAAAB93/+w=")</f>
        <v>#VALUE!</v>
      </c>
      <c r="ID62" t="e">
        <f>AND('UP133'!AQ24,"AAAAAB93/+0=")</f>
        <v>#VALUE!</v>
      </c>
      <c r="IE62" t="e">
        <f>AND('UP133'!AR24,"AAAAAB93/+4=")</f>
        <v>#VALUE!</v>
      </c>
      <c r="IF62" t="e">
        <f>AND('UP133'!AS24,"AAAAAB93/+8=")</f>
        <v>#VALUE!</v>
      </c>
      <c r="IG62" t="e">
        <f>AND('UP133'!AT24,"AAAAAB93//A=")</f>
        <v>#VALUE!</v>
      </c>
      <c r="IH62" t="e">
        <f>AND('UP133'!AU24,"AAAAAB93//E=")</f>
        <v>#VALUE!</v>
      </c>
      <c r="II62" t="e">
        <f>AND('UP133'!AV24,"AAAAAB93//I=")</f>
        <v>#VALUE!</v>
      </c>
      <c r="IJ62" t="e">
        <f>AND('UP133'!AW24,"AAAAAB93//M=")</f>
        <v>#VALUE!</v>
      </c>
      <c r="IK62" t="e">
        <f>AND('UP133'!AX24,"AAAAAB93//Q=")</f>
        <v>#VALUE!</v>
      </c>
      <c r="IL62" t="e">
        <f>AND('UP133'!AY24,"AAAAAB93//U=")</f>
        <v>#VALUE!</v>
      </c>
      <c r="IM62" t="e">
        <f>AND('UP133'!AZ24,"AAAAAB93//Y=")</f>
        <v>#VALUE!</v>
      </c>
      <c r="IN62" t="e">
        <f>AND('UP133'!BA24,"AAAAAB93//c=")</f>
        <v>#VALUE!</v>
      </c>
      <c r="IO62" t="e">
        <f>AND('UP133'!BB24,"AAAAAB93//g=")</f>
        <v>#VALUE!</v>
      </c>
      <c r="IP62" t="e">
        <f>AND('UP133'!BC24,"AAAAAB93//k=")</f>
        <v>#VALUE!</v>
      </c>
      <c r="IQ62" t="e">
        <f>AND('UP133'!BD24,"AAAAAB93//o=")</f>
        <v>#VALUE!</v>
      </c>
      <c r="IR62" t="e">
        <f>AND('UP133'!BE24,"AAAAAB93//s=")</f>
        <v>#VALUE!</v>
      </c>
      <c r="IS62" t="e">
        <f>AND('UP133'!BF24,"AAAAAB93//w=")</f>
        <v>#VALUE!</v>
      </c>
      <c r="IT62" t="e">
        <f>AND('UP133'!BG24,"AAAAAB93//0=")</f>
        <v>#VALUE!</v>
      </c>
      <c r="IU62" t="e">
        <f>AND('UP133'!BH24,"AAAAAB93//4=")</f>
        <v>#VALUE!</v>
      </c>
      <c r="IV62" t="e">
        <f>AND('UP133'!BI24,"AAAAAB93//8=")</f>
        <v>#VALUE!</v>
      </c>
    </row>
    <row r="63" spans="1:256">
      <c r="A63" t="e">
        <f>AND('UP133'!BJ24,"AAAAAHn+/wA=")</f>
        <v>#VALUE!</v>
      </c>
      <c r="B63" t="e">
        <f>AND('UP133'!BK24,"AAAAAHn+/wE=")</f>
        <v>#VALUE!</v>
      </c>
      <c r="C63" t="e">
        <f>AND('UP133'!BL24,"AAAAAHn+/wI=")</f>
        <v>#VALUE!</v>
      </c>
      <c r="D63" t="e">
        <f>AND('UP133'!BM24,"AAAAAHn+/wM=")</f>
        <v>#VALUE!</v>
      </c>
      <c r="E63" t="e">
        <f>AND('UP133'!BN24,"AAAAAHn+/wQ=")</f>
        <v>#VALUE!</v>
      </c>
      <c r="F63" t="e">
        <f>AND('UP133'!BO24,"AAAAAHn+/wU=")</f>
        <v>#VALUE!</v>
      </c>
      <c r="G63" t="e">
        <f>AND('UP133'!BP24,"AAAAAHn+/wY=")</f>
        <v>#VALUE!</v>
      </c>
      <c r="H63" t="e">
        <f>AND('UP133'!BQ24,"AAAAAHn+/wc=")</f>
        <v>#VALUE!</v>
      </c>
      <c r="I63" t="e">
        <f>AND('UP133'!BR24,"AAAAAHn+/wg=")</f>
        <v>#VALUE!</v>
      </c>
      <c r="J63" t="e">
        <f>AND('UP133'!BS24,"AAAAAHn+/wk=")</f>
        <v>#VALUE!</v>
      </c>
      <c r="K63" t="e">
        <f>AND('UP133'!BT24,"AAAAAHn+/wo=")</f>
        <v>#VALUE!</v>
      </c>
      <c r="L63" t="e">
        <f>AND('UP133'!BU24,"AAAAAHn+/ws=")</f>
        <v>#VALUE!</v>
      </c>
      <c r="M63" t="e">
        <f>AND('UP133'!BV24,"AAAAAHn+/ww=")</f>
        <v>#VALUE!</v>
      </c>
      <c r="N63" t="e">
        <f>AND('UP133'!BW24,"AAAAAHn+/w0=")</f>
        <v>#VALUE!</v>
      </c>
      <c r="O63" t="e">
        <f>AND('UP133'!BX24,"AAAAAHn+/w4=")</f>
        <v>#VALUE!</v>
      </c>
      <c r="P63" t="e">
        <f>AND('UP133'!BY24,"AAAAAHn+/w8=")</f>
        <v>#VALUE!</v>
      </c>
      <c r="Q63" t="e">
        <f>AND('UP133'!BZ24,"AAAAAHn+/xA=")</f>
        <v>#VALUE!</v>
      </c>
      <c r="R63" t="e">
        <f>AND('UP133'!CA24,"AAAAAHn+/xE=")</f>
        <v>#VALUE!</v>
      </c>
      <c r="S63" t="e">
        <f>AND('UP133'!CB24,"AAAAAHn+/xI=")</f>
        <v>#VALUE!</v>
      </c>
      <c r="T63" t="e">
        <f>AND('UP133'!CC24,"AAAAAHn+/xM=")</f>
        <v>#VALUE!</v>
      </c>
      <c r="U63" t="e">
        <f>AND('UP133'!CD24,"AAAAAHn+/xQ=")</f>
        <v>#VALUE!</v>
      </c>
      <c r="V63" t="e">
        <f>AND('UP133'!CE24,"AAAAAHn+/xU=")</f>
        <v>#VALUE!</v>
      </c>
      <c r="W63" t="e">
        <f>AND('UP133'!CF24,"AAAAAHn+/xY=")</f>
        <v>#VALUE!</v>
      </c>
      <c r="X63" t="e">
        <f>AND('UP133'!CG24,"AAAAAHn+/xc=")</f>
        <v>#VALUE!</v>
      </c>
      <c r="Y63" t="e">
        <f>AND('UP133'!CH24,"AAAAAHn+/xg=")</f>
        <v>#VALUE!</v>
      </c>
      <c r="Z63" t="e">
        <f>AND('UP133'!CI24,"AAAAAHn+/xk=")</f>
        <v>#VALUE!</v>
      </c>
      <c r="AA63" t="e">
        <f>AND('UP133'!CJ24,"AAAAAHn+/xo=")</f>
        <v>#VALUE!</v>
      </c>
      <c r="AB63" t="e">
        <f>AND('UP133'!CK24,"AAAAAHn+/xs=")</f>
        <v>#VALUE!</v>
      </c>
      <c r="AC63" t="e">
        <f>AND('UP133'!CL24,"AAAAAHn+/xw=")</f>
        <v>#VALUE!</v>
      </c>
      <c r="AD63" t="e">
        <f>AND('UP133'!CM24,"AAAAAHn+/x0=")</f>
        <v>#VALUE!</v>
      </c>
      <c r="AE63" t="e">
        <f>AND('UP133'!CN24,"AAAAAHn+/x4=")</f>
        <v>#VALUE!</v>
      </c>
      <c r="AF63" t="e">
        <f>AND('UP133'!CO24,"AAAAAHn+/x8=")</f>
        <v>#VALUE!</v>
      </c>
      <c r="AG63" t="e">
        <f>AND('UP133'!CP24,"AAAAAHn+/yA=")</f>
        <v>#VALUE!</v>
      </c>
      <c r="AH63" t="e">
        <f>AND('UP133'!CQ24,"AAAAAHn+/yE=")</f>
        <v>#VALUE!</v>
      </c>
      <c r="AI63" t="e">
        <f>AND('UP133'!CR24,"AAAAAHn+/yI=")</f>
        <v>#VALUE!</v>
      </c>
      <c r="AJ63" t="e">
        <f>AND('UP133'!CS24,"AAAAAHn+/yM=")</f>
        <v>#VALUE!</v>
      </c>
      <c r="AK63" t="e">
        <f>AND('UP133'!CT24,"AAAAAHn+/yQ=")</f>
        <v>#VALUE!</v>
      </c>
      <c r="AL63" t="e">
        <f>AND('UP133'!CU24,"AAAAAHn+/yU=")</f>
        <v>#VALUE!</v>
      </c>
      <c r="AM63" t="e">
        <f>AND('UP133'!CV24,"AAAAAHn+/yY=")</f>
        <v>#VALUE!</v>
      </c>
      <c r="AN63" t="e">
        <f>AND('UP133'!CW24,"AAAAAHn+/yc=")</f>
        <v>#VALUE!</v>
      </c>
      <c r="AO63" t="e">
        <f>AND('UP133'!CX24,"AAAAAHn+/yg=")</f>
        <v>#VALUE!</v>
      </c>
      <c r="AP63" t="e">
        <f>AND('UP133'!CY24,"AAAAAHn+/yk=")</f>
        <v>#VALUE!</v>
      </c>
      <c r="AQ63" t="e">
        <f>AND('UP133'!CZ24,"AAAAAHn+/yo=")</f>
        <v>#VALUE!</v>
      </c>
      <c r="AR63" t="e">
        <f>AND('UP133'!DA24,"AAAAAHn+/ys=")</f>
        <v>#VALUE!</v>
      </c>
      <c r="AS63" t="e">
        <f>AND('UP133'!DB24,"AAAAAHn+/yw=")</f>
        <v>#VALUE!</v>
      </c>
      <c r="AT63" t="e">
        <f>AND('UP133'!DC24,"AAAAAHn+/y0=")</f>
        <v>#VALUE!</v>
      </c>
      <c r="AU63" t="e">
        <f>AND('UP133'!DD24,"AAAAAHn+/y4=")</f>
        <v>#VALUE!</v>
      </c>
      <c r="AV63" t="e">
        <f>AND('UP133'!DE24,"AAAAAHn+/y8=")</f>
        <v>#VALUE!</v>
      </c>
      <c r="AW63" t="e">
        <f>AND('UP133'!DF24,"AAAAAHn+/zA=")</f>
        <v>#VALUE!</v>
      </c>
      <c r="AX63" t="e">
        <f>AND('UP133'!DG24,"AAAAAHn+/zE=")</f>
        <v>#VALUE!</v>
      </c>
      <c r="AY63" t="e">
        <f>AND('UP133'!DH24,"AAAAAHn+/zI=")</f>
        <v>#VALUE!</v>
      </c>
      <c r="AZ63" t="e">
        <f>AND('UP133'!DI24,"AAAAAHn+/zM=")</f>
        <v>#VALUE!</v>
      </c>
      <c r="BA63" t="e">
        <f>AND('UP133'!DJ24,"AAAAAHn+/zQ=")</f>
        <v>#VALUE!</v>
      </c>
      <c r="BB63" t="e">
        <f>AND('UP133'!DK24,"AAAAAHn+/zU=")</f>
        <v>#VALUE!</v>
      </c>
      <c r="BC63" t="e">
        <f>AND('UP133'!DL24,"AAAAAHn+/zY=")</f>
        <v>#VALUE!</v>
      </c>
      <c r="BD63" t="e">
        <f>AND('UP133'!DM24,"AAAAAHn+/zc=")</f>
        <v>#VALUE!</v>
      </c>
      <c r="BE63" t="e">
        <f>AND('UP133'!DN24,"AAAAAHn+/zg=")</f>
        <v>#VALUE!</v>
      </c>
      <c r="BF63" t="e">
        <f>AND('UP133'!DO24,"AAAAAHn+/zk=")</f>
        <v>#VALUE!</v>
      </c>
      <c r="BG63" t="e">
        <f>AND('UP133'!DP24,"AAAAAHn+/zo=")</f>
        <v>#VALUE!</v>
      </c>
      <c r="BH63" t="e">
        <f>AND('UP133'!DQ24,"AAAAAHn+/zs=")</f>
        <v>#VALUE!</v>
      </c>
      <c r="BI63" t="e">
        <f>AND('UP133'!DR24,"AAAAAHn+/zw=")</f>
        <v>#VALUE!</v>
      </c>
      <c r="BJ63" t="e">
        <f>AND('UP133'!DS24,"AAAAAHn+/z0=")</f>
        <v>#VALUE!</v>
      </c>
      <c r="BK63" t="e">
        <f>AND('UP133'!DT24,"AAAAAHn+/z4=")</f>
        <v>#VALUE!</v>
      </c>
      <c r="BL63" t="e">
        <f>AND('UP133'!DU24,"AAAAAHn+/z8=")</f>
        <v>#VALUE!</v>
      </c>
      <c r="BM63" t="e">
        <f>AND('UP133'!DV24,"AAAAAHn+/0A=")</f>
        <v>#VALUE!</v>
      </c>
      <c r="BN63" t="e">
        <f>AND('UP133'!DW24,"AAAAAHn+/0E=")</f>
        <v>#VALUE!</v>
      </c>
      <c r="BO63" t="e">
        <f>AND('UP133'!DX24,"AAAAAHn+/0I=")</f>
        <v>#VALUE!</v>
      </c>
      <c r="BP63" t="e">
        <f>AND('UP133'!DY24,"AAAAAHn+/0M=")</f>
        <v>#VALUE!</v>
      </c>
      <c r="BQ63" t="e">
        <f>AND('UP133'!DZ24,"AAAAAHn+/0Q=")</f>
        <v>#VALUE!</v>
      </c>
      <c r="BR63" t="e">
        <f>AND('UP133'!EA24,"AAAAAHn+/0U=")</f>
        <v>#VALUE!</v>
      </c>
      <c r="BS63" t="e">
        <f>AND('UP133'!EB24,"AAAAAHn+/0Y=")</f>
        <v>#VALUE!</v>
      </c>
      <c r="BT63" t="e">
        <f>AND('UP133'!EC24,"AAAAAHn+/0c=")</f>
        <v>#VALUE!</v>
      </c>
      <c r="BU63" t="e">
        <f>AND('UP133'!ED24,"AAAAAHn+/0g=")</f>
        <v>#VALUE!</v>
      </c>
      <c r="BV63" t="e">
        <f>AND('UP133'!EE24,"AAAAAHn+/0k=")</f>
        <v>#VALUE!</v>
      </c>
      <c r="BW63" t="e">
        <f>AND('UP133'!EF24,"AAAAAHn+/0o=")</f>
        <v>#VALUE!</v>
      </c>
      <c r="BX63" t="e">
        <f>AND('UP133'!EG24,"AAAAAHn+/0s=")</f>
        <v>#VALUE!</v>
      </c>
      <c r="BY63" t="e">
        <f>AND('UP133'!EH24,"AAAAAHn+/0w=")</f>
        <v>#VALUE!</v>
      </c>
      <c r="BZ63" t="e">
        <f>AND('UP133'!EI24,"AAAAAHn+/00=")</f>
        <v>#VALUE!</v>
      </c>
      <c r="CA63" t="e">
        <f>AND('UP133'!EJ24,"AAAAAHn+/04=")</f>
        <v>#VALUE!</v>
      </c>
      <c r="CB63" t="e">
        <f>AND('UP133'!EK24,"AAAAAHn+/08=")</f>
        <v>#VALUE!</v>
      </c>
      <c r="CC63" t="e">
        <f>AND('UP133'!EL24,"AAAAAHn+/1A=")</f>
        <v>#VALUE!</v>
      </c>
      <c r="CD63" t="e">
        <f>AND('UP133'!EM24,"AAAAAHn+/1E=")</f>
        <v>#VALUE!</v>
      </c>
      <c r="CE63" t="e">
        <f>AND('UP133'!EN24,"AAAAAHn+/1I=")</f>
        <v>#VALUE!</v>
      </c>
      <c r="CF63" t="e">
        <f>AND('UP133'!EO24,"AAAAAHn+/1M=")</f>
        <v>#VALUE!</v>
      </c>
      <c r="CG63" t="e">
        <f>AND('UP133'!EP24,"AAAAAHn+/1Q=")</f>
        <v>#VALUE!</v>
      </c>
      <c r="CH63" t="e">
        <f>AND('UP133'!EQ24,"AAAAAHn+/1U=")</f>
        <v>#VALUE!</v>
      </c>
      <c r="CI63" t="e">
        <f>AND('UP133'!ER24,"AAAAAHn+/1Y=")</f>
        <v>#VALUE!</v>
      </c>
      <c r="CJ63" t="e">
        <f>AND('UP133'!ES24,"AAAAAHn+/1c=")</f>
        <v>#VALUE!</v>
      </c>
      <c r="CK63" t="e">
        <f>AND('UP133'!ET24,"AAAAAHn+/1g=")</f>
        <v>#VALUE!</v>
      </c>
      <c r="CL63" t="e">
        <f>AND('UP133'!EU24,"AAAAAHn+/1k=")</f>
        <v>#VALUE!</v>
      </c>
      <c r="CM63" t="e">
        <f>AND('UP133'!EV24,"AAAAAHn+/1o=")</f>
        <v>#VALUE!</v>
      </c>
      <c r="CN63" t="e">
        <f>AND('UP133'!EW24,"AAAAAHn+/1s=")</f>
        <v>#VALUE!</v>
      </c>
      <c r="CO63" t="e">
        <f>AND('UP133'!EX24,"AAAAAHn+/1w=")</f>
        <v>#VALUE!</v>
      </c>
      <c r="CP63" t="e">
        <f>AND('UP133'!EY24,"AAAAAHn+/10=")</f>
        <v>#VALUE!</v>
      </c>
      <c r="CQ63" t="e">
        <f>AND('UP133'!EZ24,"AAAAAHn+/14=")</f>
        <v>#VALUE!</v>
      </c>
      <c r="CR63" t="e">
        <f>AND('UP133'!FA24,"AAAAAHn+/18=")</f>
        <v>#VALUE!</v>
      </c>
      <c r="CS63" t="e">
        <f>AND('UP133'!FB24,"AAAAAHn+/2A=")</f>
        <v>#VALUE!</v>
      </c>
      <c r="CT63" t="e">
        <f>AND('UP133'!FC24,"AAAAAHn+/2E=")</f>
        <v>#VALUE!</v>
      </c>
      <c r="CU63" t="e">
        <f>AND('UP133'!FD24,"AAAAAHn+/2I=")</f>
        <v>#VALUE!</v>
      </c>
      <c r="CV63" t="e">
        <f>AND('UP133'!FE24,"AAAAAHn+/2M=")</f>
        <v>#VALUE!</v>
      </c>
      <c r="CW63" t="e">
        <f>AND('UP133'!FF24,"AAAAAHn+/2Q=")</f>
        <v>#VALUE!</v>
      </c>
      <c r="CX63" t="e">
        <f>AND('UP133'!FG24,"AAAAAHn+/2U=")</f>
        <v>#VALUE!</v>
      </c>
      <c r="CY63" t="e">
        <f>AND('UP133'!FH24,"AAAAAHn+/2Y=")</f>
        <v>#VALUE!</v>
      </c>
      <c r="CZ63" t="e">
        <f>AND('UP133'!FI24,"AAAAAHn+/2c=")</f>
        <v>#VALUE!</v>
      </c>
      <c r="DA63" t="e">
        <f>AND('UP133'!FJ24,"AAAAAHn+/2g=")</f>
        <v>#VALUE!</v>
      </c>
      <c r="DB63" t="e">
        <f>AND('UP133'!FK24,"AAAAAHn+/2k=")</f>
        <v>#VALUE!</v>
      </c>
      <c r="DC63" t="e">
        <f>AND('UP133'!FL24,"AAAAAHn+/2o=")</f>
        <v>#VALUE!</v>
      </c>
      <c r="DD63" t="e">
        <f>AND('UP133'!FM24,"AAAAAHn+/2s=")</f>
        <v>#VALUE!</v>
      </c>
      <c r="DE63" t="e">
        <f>AND('UP133'!FN24,"AAAAAHn+/2w=")</f>
        <v>#VALUE!</v>
      </c>
      <c r="DF63" t="e">
        <f>AND('UP133'!FO24,"AAAAAHn+/20=")</f>
        <v>#VALUE!</v>
      </c>
      <c r="DG63" t="e">
        <f>AND('UP133'!FP24,"AAAAAHn+/24=")</f>
        <v>#VALUE!</v>
      </c>
      <c r="DH63" t="e">
        <f>AND('UP133'!FQ24,"AAAAAHn+/28=")</f>
        <v>#VALUE!</v>
      </c>
      <c r="DI63" t="e">
        <f>AND('UP133'!FR24,"AAAAAHn+/3A=")</f>
        <v>#VALUE!</v>
      </c>
      <c r="DJ63" t="e">
        <f>AND('UP133'!FS24,"AAAAAHn+/3E=")</f>
        <v>#VALUE!</v>
      </c>
      <c r="DK63" t="e">
        <f>AND('UP133'!FT24,"AAAAAHn+/3I=")</f>
        <v>#VALUE!</v>
      </c>
      <c r="DL63" t="e">
        <f>AND('UP133'!FU24,"AAAAAHn+/3M=")</f>
        <v>#VALUE!</v>
      </c>
      <c r="DM63" t="e">
        <f>AND('UP133'!FV24,"AAAAAHn+/3Q=")</f>
        <v>#VALUE!</v>
      </c>
      <c r="DN63" t="e">
        <f>AND('UP133'!FW24,"AAAAAHn+/3U=")</f>
        <v>#VALUE!</v>
      </c>
      <c r="DO63" t="e">
        <f>AND('UP133'!FX24,"AAAAAHn+/3Y=")</f>
        <v>#VALUE!</v>
      </c>
      <c r="DP63" t="e">
        <f>AND('UP133'!FY24,"AAAAAHn+/3c=")</f>
        <v>#VALUE!</v>
      </c>
      <c r="DQ63" t="e">
        <f>AND('UP133'!FZ24,"AAAAAHn+/3g=")</f>
        <v>#VALUE!</v>
      </c>
      <c r="DR63" t="e">
        <f>AND('UP133'!GA24,"AAAAAHn+/3k=")</f>
        <v>#VALUE!</v>
      </c>
      <c r="DS63" t="e">
        <f>AND('UP133'!GB24,"AAAAAHn+/3o=")</f>
        <v>#VALUE!</v>
      </c>
      <c r="DT63" t="e">
        <f>AND('UP133'!GC24,"AAAAAHn+/3s=")</f>
        <v>#VALUE!</v>
      </c>
      <c r="DU63" t="e">
        <f>AND('UP133'!GD24,"AAAAAHn+/3w=")</f>
        <v>#VALUE!</v>
      </c>
      <c r="DV63" t="e">
        <f>AND('UP133'!GE24,"AAAAAHn+/30=")</f>
        <v>#VALUE!</v>
      </c>
      <c r="DW63" t="e">
        <f>AND('UP133'!GF24,"AAAAAHn+/34=")</f>
        <v>#VALUE!</v>
      </c>
      <c r="DX63" t="e">
        <f>AND('UP133'!GG24,"AAAAAHn+/38=")</f>
        <v>#VALUE!</v>
      </c>
      <c r="DY63" t="e">
        <f>AND('UP133'!GH24,"AAAAAHn+/4A=")</f>
        <v>#VALUE!</v>
      </c>
      <c r="DZ63" t="e">
        <f>AND('UP133'!GI24,"AAAAAHn+/4E=")</f>
        <v>#VALUE!</v>
      </c>
      <c r="EA63" t="e">
        <f>AND('UP133'!GJ24,"AAAAAHn+/4I=")</f>
        <v>#VALUE!</v>
      </c>
      <c r="EB63" t="e">
        <f>AND('UP133'!GK24,"AAAAAHn+/4M=")</f>
        <v>#VALUE!</v>
      </c>
      <c r="EC63" t="e">
        <f>AND('UP133'!GL24,"AAAAAHn+/4Q=")</f>
        <v>#VALUE!</v>
      </c>
      <c r="ED63" t="e">
        <f>AND('UP133'!GM24,"AAAAAHn+/4U=")</f>
        <v>#VALUE!</v>
      </c>
      <c r="EE63" t="e">
        <f>AND('UP133'!GN24,"AAAAAHn+/4Y=")</f>
        <v>#VALUE!</v>
      </c>
      <c r="EF63" t="e">
        <f>AND('UP133'!GO24,"AAAAAHn+/4c=")</f>
        <v>#VALUE!</v>
      </c>
      <c r="EG63" t="e">
        <f>AND('UP133'!GP24,"AAAAAHn+/4g=")</f>
        <v>#VALUE!</v>
      </c>
      <c r="EH63" t="e">
        <f>AND('UP133'!GQ24,"AAAAAHn+/4k=")</f>
        <v>#VALUE!</v>
      </c>
      <c r="EI63" t="e">
        <f>AND('UP133'!GR24,"AAAAAHn+/4o=")</f>
        <v>#VALUE!</v>
      </c>
      <c r="EJ63" t="e">
        <f>AND('UP133'!GS24,"AAAAAHn+/4s=")</f>
        <v>#VALUE!</v>
      </c>
      <c r="EK63" t="e">
        <f>AND('UP133'!GT24,"AAAAAHn+/4w=")</f>
        <v>#VALUE!</v>
      </c>
      <c r="EL63" t="e">
        <f>AND('UP133'!GU24,"AAAAAHn+/40=")</f>
        <v>#VALUE!</v>
      </c>
      <c r="EM63" t="e">
        <f>AND('UP133'!GV24,"AAAAAHn+/44=")</f>
        <v>#VALUE!</v>
      </c>
      <c r="EN63" t="e">
        <f>AND('UP133'!GW24,"AAAAAHn+/48=")</f>
        <v>#VALUE!</v>
      </c>
      <c r="EO63" t="e">
        <f>AND('UP133'!GX24,"AAAAAHn+/5A=")</f>
        <v>#VALUE!</v>
      </c>
      <c r="EP63" t="e">
        <f>AND('UP133'!GY24,"AAAAAHn+/5E=")</f>
        <v>#VALUE!</v>
      </c>
      <c r="EQ63" t="e">
        <f>AND('UP133'!GZ24,"AAAAAHn+/5I=")</f>
        <v>#VALUE!</v>
      </c>
      <c r="ER63" t="e">
        <f>AND('UP133'!HA24,"AAAAAHn+/5M=")</f>
        <v>#VALUE!</v>
      </c>
      <c r="ES63" t="e">
        <f>AND('UP133'!HB24,"AAAAAHn+/5Q=")</f>
        <v>#VALUE!</v>
      </c>
      <c r="ET63" t="e">
        <f>AND('UP133'!HC24,"AAAAAHn+/5U=")</f>
        <v>#VALUE!</v>
      </c>
      <c r="EU63" t="e">
        <f>AND('UP133'!HD24,"AAAAAHn+/5Y=")</f>
        <v>#VALUE!</v>
      </c>
      <c r="EV63" t="e">
        <f>AND('UP133'!HE24,"AAAAAHn+/5c=")</f>
        <v>#VALUE!</v>
      </c>
      <c r="EW63" t="e">
        <f>AND('UP133'!HF24,"AAAAAHn+/5g=")</f>
        <v>#VALUE!</v>
      </c>
      <c r="EX63" t="e">
        <f>AND('UP133'!HG24,"AAAAAHn+/5k=")</f>
        <v>#VALUE!</v>
      </c>
      <c r="EY63" t="e">
        <f>AND('UP133'!HH24,"AAAAAHn+/5o=")</f>
        <v>#VALUE!</v>
      </c>
      <c r="EZ63" t="e">
        <f>AND('UP133'!HI24,"AAAAAHn+/5s=")</f>
        <v>#VALUE!</v>
      </c>
      <c r="FA63" t="e">
        <f>AND('UP133'!HJ24,"AAAAAHn+/5w=")</f>
        <v>#VALUE!</v>
      </c>
      <c r="FB63" t="e">
        <f>AND('UP133'!HK24,"AAAAAHn+/50=")</f>
        <v>#VALUE!</v>
      </c>
      <c r="FC63" t="e">
        <f>AND('UP133'!HL24,"AAAAAHn+/54=")</f>
        <v>#VALUE!</v>
      </c>
      <c r="FD63" t="e">
        <f>AND('UP133'!HM24,"AAAAAHn+/58=")</f>
        <v>#VALUE!</v>
      </c>
      <c r="FE63" t="e">
        <f>AND('UP133'!HN24,"AAAAAHn+/6A=")</f>
        <v>#VALUE!</v>
      </c>
      <c r="FF63" t="e">
        <f>AND('UP133'!HO24,"AAAAAHn+/6E=")</f>
        <v>#VALUE!</v>
      </c>
      <c r="FG63" t="e">
        <f>AND('UP133'!HP24,"AAAAAHn+/6I=")</f>
        <v>#VALUE!</v>
      </c>
      <c r="FH63" t="e">
        <f>AND('UP133'!HQ24,"AAAAAHn+/6M=")</f>
        <v>#VALUE!</v>
      </c>
      <c r="FI63" t="e">
        <f>AND('UP133'!HR24,"AAAAAHn+/6Q=")</f>
        <v>#VALUE!</v>
      </c>
      <c r="FJ63" t="e">
        <f>AND('UP133'!HS24,"AAAAAHn+/6U=")</f>
        <v>#VALUE!</v>
      </c>
      <c r="FK63" t="e">
        <f>AND('UP133'!HT24,"AAAAAHn+/6Y=")</f>
        <v>#VALUE!</v>
      </c>
      <c r="FL63" t="e">
        <f>AND('UP133'!HU24,"AAAAAHn+/6c=")</f>
        <v>#VALUE!</v>
      </c>
      <c r="FM63" t="e">
        <f>AND('UP133'!HV24,"AAAAAHn+/6g=")</f>
        <v>#VALUE!</v>
      </c>
      <c r="FN63" t="e">
        <f>AND('UP133'!HW24,"AAAAAHn+/6k=")</f>
        <v>#VALUE!</v>
      </c>
      <c r="FO63" t="e">
        <f>AND('UP133'!HX24,"AAAAAHn+/6o=")</f>
        <v>#VALUE!</v>
      </c>
      <c r="FP63" t="e">
        <f>AND('UP133'!HY24,"AAAAAHn+/6s=")</f>
        <v>#VALUE!</v>
      </c>
      <c r="FQ63" t="e">
        <f>AND('UP133'!HZ24,"AAAAAHn+/6w=")</f>
        <v>#VALUE!</v>
      </c>
      <c r="FR63" t="e">
        <f>AND('UP133'!IA24,"AAAAAHn+/60=")</f>
        <v>#VALUE!</v>
      </c>
      <c r="FS63" t="e">
        <f>AND('UP133'!IB24,"AAAAAHn+/64=")</f>
        <v>#VALUE!</v>
      </c>
      <c r="FT63" t="e">
        <f>AND('UP133'!IC24,"AAAAAHn+/68=")</f>
        <v>#VALUE!</v>
      </c>
      <c r="FU63" t="e">
        <f>AND('UP133'!ID24,"AAAAAHn+/7A=")</f>
        <v>#VALUE!</v>
      </c>
      <c r="FV63" t="e">
        <f>AND('UP133'!IE24,"AAAAAHn+/7E=")</f>
        <v>#VALUE!</v>
      </c>
      <c r="FW63" t="e">
        <f>AND('UP133'!IF24,"AAAAAHn+/7I=")</f>
        <v>#VALUE!</v>
      </c>
      <c r="FX63" t="e">
        <f>AND('UP133'!IG24,"AAAAAHn+/7M=")</f>
        <v>#VALUE!</v>
      </c>
      <c r="FY63" t="e">
        <f>AND('UP133'!IH24,"AAAAAHn+/7Q=")</f>
        <v>#VALUE!</v>
      </c>
      <c r="FZ63" t="e">
        <f>AND('UP133'!II24,"AAAAAHn+/7U=")</f>
        <v>#VALUE!</v>
      </c>
      <c r="GA63" t="e">
        <f>AND('UP133'!IJ24,"AAAAAHn+/7Y=")</f>
        <v>#VALUE!</v>
      </c>
      <c r="GB63" t="e">
        <f>AND('UP133'!IK24,"AAAAAHn+/7c=")</f>
        <v>#VALUE!</v>
      </c>
      <c r="GC63" t="e">
        <f>AND('UP133'!IL24,"AAAAAHn+/7g=")</f>
        <v>#VALUE!</v>
      </c>
      <c r="GD63" t="e">
        <f>AND('UP133'!IM24,"AAAAAHn+/7k=")</f>
        <v>#VALUE!</v>
      </c>
      <c r="GE63" t="e">
        <f>AND('UP133'!IN24,"AAAAAHn+/7o=")</f>
        <v>#VALUE!</v>
      </c>
      <c r="GF63" t="e">
        <f>AND('UP133'!IO24,"AAAAAHn+/7s=")</f>
        <v>#VALUE!</v>
      </c>
      <c r="GG63" t="e">
        <f>AND('UP133'!IP24,"AAAAAHn+/7w=")</f>
        <v>#VALUE!</v>
      </c>
      <c r="GH63" t="e">
        <f>AND('UP133'!IQ24,"AAAAAHn+/70=")</f>
        <v>#VALUE!</v>
      </c>
      <c r="GI63">
        <f>IF('UP133'!25:25,"AAAAAHn+/74=",0)</f>
        <v>0</v>
      </c>
      <c r="GJ63" t="e">
        <f>AND('UP133'!A25,"AAAAAHn+/78=")</f>
        <v>#VALUE!</v>
      </c>
      <c r="GK63" t="e">
        <f>AND('UP133'!B25,"AAAAAHn+/8A=")</f>
        <v>#VALUE!</v>
      </c>
      <c r="GL63" t="e">
        <f>AND('UP133'!C25,"AAAAAHn+/8E=")</f>
        <v>#VALUE!</v>
      </c>
      <c r="GM63" t="e">
        <f>AND('UP133'!D25,"AAAAAHn+/8I=")</f>
        <v>#VALUE!</v>
      </c>
      <c r="GN63" t="e">
        <f>AND('UP133'!E25,"AAAAAHn+/8M=")</f>
        <v>#VALUE!</v>
      </c>
      <c r="GO63" t="e">
        <f>AND('UP133'!F25,"AAAAAHn+/8Q=")</f>
        <v>#VALUE!</v>
      </c>
      <c r="GP63" t="e">
        <f>AND('UP133'!G25,"AAAAAHn+/8U=")</f>
        <v>#VALUE!</v>
      </c>
      <c r="GQ63" t="e">
        <f>AND('UP133'!H25,"AAAAAHn+/8Y=")</f>
        <v>#VALUE!</v>
      </c>
      <c r="GR63" t="e">
        <f>AND('UP133'!I25,"AAAAAHn+/8c=")</f>
        <v>#VALUE!</v>
      </c>
      <c r="GS63" t="e">
        <f>AND('UP133'!J25,"AAAAAHn+/8g=")</f>
        <v>#VALUE!</v>
      </c>
      <c r="GT63" t="e">
        <f>AND('UP133'!K25,"AAAAAHn+/8k=")</f>
        <v>#VALUE!</v>
      </c>
      <c r="GU63" t="e">
        <f>AND('UP133'!L25,"AAAAAHn+/8o=")</f>
        <v>#VALUE!</v>
      </c>
      <c r="GV63" t="e">
        <f>AND('UP133'!M25,"AAAAAHn+/8s=")</f>
        <v>#VALUE!</v>
      </c>
      <c r="GW63" t="e">
        <f>AND('UP133'!N25,"AAAAAHn+/8w=")</f>
        <v>#VALUE!</v>
      </c>
      <c r="GX63" t="e">
        <f>AND('UP133'!O25,"AAAAAHn+/80=")</f>
        <v>#VALUE!</v>
      </c>
      <c r="GY63" t="e">
        <f>AND('UP133'!P25,"AAAAAHn+/84=")</f>
        <v>#VALUE!</v>
      </c>
      <c r="GZ63" t="e">
        <f>AND('UP133'!Q25,"AAAAAHn+/88=")</f>
        <v>#VALUE!</v>
      </c>
      <c r="HA63" t="e">
        <f>AND('UP133'!R25,"AAAAAHn+/9A=")</f>
        <v>#VALUE!</v>
      </c>
      <c r="HB63" t="e">
        <f>AND('UP133'!S25,"AAAAAHn+/9E=")</f>
        <v>#VALUE!</v>
      </c>
      <c r="HC63" t="e">
        <f>AND('UP133'!T25,"AAAAAHn+/9I=")</f>
        <v>#VALUE!</v>
      </c>
      <c r="HD63" t="e">
        <f>AND('UP133'!U25,"AAAAAHn+/9M=")</f>
        <v>#VALUE!</v>
      </c>
      <c r="HE63" t="e">
        <f>AND('UP133'!V25,"AAAAAHn+/9Q=")</f>
        <v>#VALUE!</v>
      </c>
      <c r="HF63" t="e">
        <f>AND('UP133'!W25,"AAAAAHn+/9U=")</f>
        <v>#VALUE!</v>
      </c>
      <c r="HG63" t="e">
        <f>AND('UP133'!X25,"AAAAAHn+/9Y=")</f>
        <v>#VALUE!</v>
      </c>
      <c r="HH63" t="e">
        <f>AND('UP133'!Y25,"AAAAAHn+/9c=")</f>
        <v>#VALUE!</v>
      </c>
      <c r="HI63" t="e">
        <f>AND('UP133'!Z25,"AAAAAHn+/9g=")</f>
        <v>#VALUE!</v>
      </c>
      <c r="HJ63" t="e">
        <f>AND('UP133'!AA25,"AAAAAHn+/9k=")</f>
        <v>#VALUE!</v>
      </c>
      <c r="HK63" t="e">
        <f>AND('UP133'!AB25,"AAAAAHn+/9o=")</f>
        <v>#VALUE!</v>
      </c>
      <c r="HL63" t="e">
        <f>AND('UP133'!AC25,"AAAAAHn+/9s=")</f>
        <v>#VALUE!</v>
      </c>
      <c r="HM63" t="e">
        <f>AND('UP133'!AD25,"AAAAAHn+/9w=")</f>
        <v>#VALUE!</v>
      </c>
      <c r="HN63" t="e">
        <f>AND('UP133'!AE25,"AAAAAHn+/90=")</f>
        <v>#VALUE!</v>
      </c>
      <c r="HO63" t="e">
        <f>AND('UP133'!AF25,"AAAAAHn+/94=")</f>
        <v>#VALUE!</v>
      </c>
      <c r="HP63" t="e">
        <f>AND('UP133'!AG25,"AAAAAHn+/98=")</f>
        <v>#VALUE!</v>
      </c>
      <c r="HQ63" t="e">
        <f>AND('UP133'!AH25,"AAAAAHn+/+A=")</f>
        <v>#VALUE!</v>
      </c>
      <c r="HR63" t="e">
        <f>AND('UP133'!AI25,"AAAAAHn+/+E=")</f>
        <v>#VALUE!</v>
      </c>
      <c r="HS63" t="e">
        <f>AND('UP133'!AJ25,"AAAAAHn+/+I=")</f>
        <v>#VALUE!</v>
      </c>
      <c r="HT63" t="e">
        <f>AND('UP133'!AK25,"AAAAAHn+/+M=")</f>
        <v>#VALUE!</v>
      </c>
      <c r="HU63" t="e">
        <f>AND('UP133'!AL25,"AAAAAHn+/+Q=")</f>
        <v>#VALUE!</v>
      </c>
      <c r="HV63" t="e">
        <f>AND('UP133'!AM25,"AAAAAHn+/+U=")</f>
        <v>#VALUE!</v>
      </c>
      <c r="HW63" t="e">
        <f>AND('UP133'!AN25,"AAAAAHn+/+Y=")</f>
        <v>#VALUE!</v>
      </c>
      <c r="HX63" t="e">
        <f>AND('UP133'!AO25,"AAAAAHn+/+c=")</f>
        <v>#VALUE!</v>
      </c>
      <c r="HY63" t="e">
        <f>AND('UP133'!AP25,"AAAAAHn+/+g=")</f>
        <v>#VALUE!</v>
      </c>
      <c r="HZ63" t="e">
        <f>AND('UP133'!AQ25,"AAAAAHn+/+k=")</f>
        <v>#VALUE!</v>
      </c>
      <c r="IA63" t="e">
        <f>AND('UP133'!AR25,"AAAAAHn+/+o=")</f>
        <v>#VALUE!</v>
      </c>
      <c r="IB63" t="e">
        <f>AND('UP133'!AS25,"AAAAAHn+/+s=")</f>
        <v>#VALUE!</v>
      </c>
      <c r="IC63" t="e">
        <f>AND('UP133'!AT25,"AAAAAHn+/+w=")</f>
        <v>#VALUE!</v>
      </c>
      <c r="ID63" t="e">
        <f>AND('UP133'!AU25,"AAAAAHn+/+0=")</f>
        <v>#VALUE!</v>
      </c>
      <c r="IE63" t="e">
        <f>AND('UP133'!AV25,"AAAAAHn+/+4=")</f>
        <v>#VALUE!</v>
      </c>
      <c r="IF63" t="e">
        <f>AND('UP133'!AW25,"AAAAAHn+/+8=")</f>
        <v>#VALUE!</v>
      </c>
      <c r="IG63" t="e">
        <f>AND('UP133'!AX25,"AAAAAHn+//A=")</f>
        <v>#VALUE!</v>
      </c>
      <c r="IH63" t="e">
        <f>AND('UP133'!AY25,"AAAAAHn+//E=")</f>
        <v>#VALUE!</v>
      </c>
      <c r="II63" t="e">
        <f>AND('UP133'!AZ25,"AAAAAHn+//I=")</f>
        <v>#VALUE!</v>
      </c>
      <c r="IJ63" t="e">
        <f>AND('UP133'!BA25,"AAAAAHn+//M=")</f>
        <v>#VALUE!</v>
      </c>
      <c r="IK63" t="e">
        <f>AND('UP133'!BB25,"AAAAAHn+//Q=")</f>
        <v>#VALUE!</v>
      </c>
      <c r="IL63" t="e">
        <f>AND('UP133'!BC25,"AAAAAHn+//U=")</f>
        <v>#VALUE!</v>
      </c>
      <c r="IM63" t="e">
        <f>AND('UP133'!BD25,"AAAAAHn+//Y=")</f>
        <v>#VALUE!</v>
      </c>
      <c r="IN63" t="e">
        <f>AND('UP133'!BE25,"AAAAAHn+//c=")</f>
        <v>#VALUE!</v>
      </c>
      <c r="IO63" t="e">
        <f>AND('UP133'!BF25,"AAAAAHn+//g=")</f>
        <v>#VALUE!</v>
      </c>
      <c r="IP63" t="e">
        <f>AND('UP133'!BG25,"AAAAAHn+//k=")</f>
        <v>#VALUE!</v>
      </c>
      <c r="IQ63" t="e">
        <f>AND('UP133'!BH25,"AAAAAHn+//o=")</f>
        <v>#VALUE!</v>
      </c>
      <c r="IR63" t="e">
        <f>AND('UP133'!BI25,"AAAAAHn+//s=")</f>
        <v>#VALUE!</v>
      </c>
      <c r="IS63" t="e">
        <f>AND('UP133'!BJ25,"AAAAAHn+//w=")</f>
        <v>#VALUE!</v>
      </c>
      <c r="IT63" t="e">
        <f>AND('UP133'!BK25,"AAAAAHn+//0=")</f>
        <v>#VALUE!</v>
      </c>
      <c r="IU63" t="e">
        <f>AND('UP133'!BL25,"AAAAAHn+//4=")</f>
        <v>#VALUE!</v>
      </c>
      <c r="IV63" t="e">
        <f>AND('UP133'!BM25,"AAAAAHn+//8=")</f>
        <v>#VALUE!</v>
      </c>
    </row>
    <row r="64" spans="1:256">
      <c r="A64" t="e">
        <f>AND('UP133'!BN25,"AAAAAB/9bwA=")</f>
        <v>#VALUE!</v>
      </c>
      <c r="B64" t="e">
        <f>AND('UP133'!BO25,"AAAAAB/9bwE=")</f>
        <v>#VALUE!</v>
      </c>
      <c r="C64" t="e">
        <f>AND('UP133'!BP25,"AAAAAB/9bwI=")</f>
        <v>#VALUE!</v>
      </c>
      <c r="D64" t="e">
        <f>AND('UP133'!BQ25,"AAAAAB/9bwM=")</f>
        <v>#VALUE!</v>
      </c>
      <c r="E64" t="e">
        <f>AND('UP133'!BR25,"AAAAAB/9bwQ=")</f>
        <v>#VALUE!</v>
      </c>
      <c r="F64" t="e">
        <f>AND('UP133'!BS25,"AAAAAB/9bwU=")</f>
        <v>#VALUE!</v>
      </c>
      <c r="G64" t="e">
        <f>AND('UP133'!BT25,"AAAAAB/9bwY=")</f>
        <v>#VALUE!</v>
      </c>
      <c r="H64" t="e">
        <f>AND('UP133'!BU25,"AAAAAB/9bwc=")</f>
        <v>#VALUE!</v>
      </c>
      <c r="I64" t="e">
        <f>AND('UP133'!BV25,"AAAAAB/9bwg=")</f>
        <v>#VALUE!</v>
      </c>
      <c r="J64" t="e">
        <f>AND('UP133'!BW25,"AAAAAB/9bwk=")</f>
        <v>#VALUE!</v>
      </c>
      <c r="K64" t="e">
        <f>AND('UP133'!BX25,"AAAAAB/9bwo=")</f>
        <v>#VALUE!</v>
      </c>
      <c r="L64" t="e">
        <f>AND('UP133'!BY25,"AAAAAB/9bws=")</f>
        <v>#VALUE!</v>
      </c>
      <c r="M64" t="e">
        <f>AND('UP133'!BZ25,"AAAAAB/9bww=")</f>
        <v>#VALUE!</v>
      </c>
      <c r="N64" t="e">
        <f>AND('UP133'!CA25,"AAAAAB/9bw0=")</f>
        <v>#VALUE!</v>
      </c>
      <c r="O64" t="e">
        <f>AND('UP133'!CB25,"AAAAAB/9bw4=")</f>
        <v>#VALUE!</v>
      </c>
      <c r="P64" t="e">
        <f>AND('UP133'!CC25,"AAAAAB/9bw8=")</f>
        <v>#VALUE!</v>
      </c>
      <c r="Q64" t="e">
        <f>AND('UP133'!CD25,"AAAAAB/9bxA=")</f>
        <v>#VALUE!</v>
      </c>
      <c r="R64" t="e">
        <f>AND('UP133'!CE25,"AAAAAB/9bxE=")</f>
        <v>#VALUE!</v>
      </c>
      <c r="S64" t="e">
        <f>AND('UP133'!CF25,"AAAAAB/9bxI=")</f>
        <v>#VALUE!</v>
      </c>
      <c r="T64" t="e">
        <f>AND('UP133'!CG25,"AAAAAB/9bxM=")</f>
        <v>#VALUE!</v>
      </c>
      <c r="U64" t="e">
        <f>AND('UP133'!CH25,"AAAAAB/9bxQ=")</f>
        <v>#VALUE!</v>
      </c>
      <c r="V64" t="e">
        <f>AND('UP133'!CI25,"AAAAAB/9bxU=")</f>
        <v>#VALUE!</v>
      </c>
      <c r="W64" t="e">
        <f>AND('UP133'!CJ25,"AAAAAB/9bxY=")</f>
        <v>#VALUE!</v>
      </c>
      <c r="X64" t="e">
        <f>AND('UP133'!CK25,"AAAAAB/9bxc=")</f>
        <v>#VALUE!</v>
      </c>
      <c r="Y64" t="e">
        <f>AND('UP133'!CL25,"AAAAAB/9bxg=")</f>
        <v>#VALUE!</v>
      </c>
      <c r="Z64" t="e">
        <f>AND('UP133'!CM25,"AAAAAB/9bxk=")</f>
        <v>#VALUE!</v>
      </c>
      <c r="AA64" t="e">
        <f>AND('UP133'!CN25,"AAAAAB/9bxo=")</f>
        <v>#VALUE!</v>
      </c>
      <c r="AB64" t="e">
        <f>AND('UP133'!CO25,"AAAAAB/9bxs=")</f>
        <v>#VALUE!</v>
      </c>
      <c r="AC64" t="e">
        <f>AND('UP133'!CP25,"AAAAAB/9bxw=")</f>
        <v>#VALUE!</v>
      </c>
      <c r="AD64" t="e">
        <f>AND('UP133'!CQ25,"AAAAAB/9bx0=")</f>
        <v>#VALUE!</v>
      </c>
      <c r="AE64" t="e">
        <f>AND('UP133'!CR25,"AAAAAB/9bx4=")</f>
        <v>#VALUE!</v>
      </c>
      <c r="AF64" t="e">
        <f>AND('UP133'!CS25,"AAAAAB/9bx8=")</f>
        <v>#VALUE!</v>
      </c>
      <c r="AG64" t="e">
        <f>AND('UP133'!CT25,"AAAAAB/9byA=")</f>
        <v>#VALUE!</v>
      </c>
      <c r="AH64" t="e">
        <f>AND('UP133'!CU25,"AAAAAB/9byE=")</f>
        <v>#VALUE!</v>
      </c>
      <c r="AI64" t="e">
        <f>AND('UP133'!CV25,"AAAAAB/9byI=")</f>
        <v>#VALUE!</v>
      </c>
      <c r="AJ64" t="e">
        <f>AND('UP133'!CW25,"AAAAAB/9byM=")</f>
        <v>#VALUE!</v>
      </c>
      <c r="AK64" t="e">
        <f>AND('UP133'!CX25,"AAAAAB/9byQ=")</f>
        <v>#VALUE!</v>
      </c>
      <c r="AL64" t="e">
        <f>AND('UP133'!CY25,"AAAAAB/9byU=")</f>
        <v>#VALUE!</v>
      </c>
      <c r="AM64" t="e">
        <f>AND('UP133'!CZ25,"AAAAAB/9byY=")</f>
        <v>#VALUE!</v>
      </c>
      <c r="AN64" t="e">
        <f>AND('UP133'!DA25,"AAAAAB/9byc=")</f>
        <v>#VALUE!</v>
      </c>
      <c r="AO64" t="e">
        <f>AND('UP133'!DB25,"AAAAAB/9byg=")</f>
        <v>#VALUE!</v>
      </c>
      <c r="AP64" t="e">
        <f>AND('UP133'!DC25,"AAAAAB/9byk=")</f>
        <v>#VALUE!</v>
      </c>
      <c r="AQ64" t="e">
        <f>AND('UP133'!DD25,"AAAAAB/9byo=")</f>
        <v>#VALUE!</v>
      </c>
      <c r="AR64" t="e">
        <f>AND('UP133'!DE25,"AAAAAB/9bys=")</f>
        <v>#VALUE!</v>
      </c>
      <c r="AS64" t="e">
        <f>AND('UP133'!DF25,"AAAAAB/9byw=")</f>
        <v>#VALUE!</v>
      </c>
      <c r="AT64" t="e">
        <f>AND('UP133'!DG25,"AAAAAB/9by0=")</f>
        <v>#VALUE!</v>
      </c>
      <c r="AU64" t="e">
        <f>AND('UP133'!DH25,"AAAAAB/9by4=")</f>
        <v>#VALUE!</v>
      </c>
      <c r="AV64" t="e">
        <f>AND('UP133'!DI25,"AAAAAB/9by8=")</f>
        <v>#VALUE!</v>
      </c>
      <c r="AW64" t="e">
        <f>AND('UP133'!DJ25,"AAAAAB/9bzA=")</f>
        <v>#VALUE!</v>
      </c>
      <c r="AX64" t="e">
        <f>AND('UP133'!DK25,"AAAAAB/9bzE=")</f>
        <v>#VALUE!</v>
      </c>
      <c r="AY64" t="e">
        <f>AND('UP133'!DL25,"AAAAAB/9bzI=")</f>
        <v>#VALUE!</v>
      </c>
      <c r="AZ64" t="e">
        <f>AND('UP133'!DM25,"AAAAAB/9bzM=")</f>
        <v>#VALUE!</v>
      </c>
      <c r="BA64" t="e">
        <f>AND('UP133'!DN25,"AAAAAB/9bzQ=")</f>
        <v>#VALUE!</v>
      </c>
      <c r="BB64" t="e">
        <f>AND('UP133'!DO25,"AAAAAB/9bzU=")</f>
        <v>#VALUE!</v>
      </c>
      <c r="BC64" t="e">
        <f>AND('UP133'!DP25,"AAAAAB/9bzY=")</f>
        <v>#VALUE!</v>
      </c>
      <c r="BD64" t="e">
        <f>AND('UP133'!DQ25,"AAAAAB/9bzc=")</f>
        <v>#VALUE!</v>
      </c>
      <c r="BE64" t="e">
        <f>AND('UP133'!DR25,"AAAAAB/9bzg=")</f>
        <v>#VALUE!</v>
      </c>
      <c r="BF64" t="e">
        <f>AND('UP133'!DS25,"AAAAAB/9bzk=")</f>
        <v>#VALUE!</v>
      </c>
      <c r="BG64" t="e">
        <f>AND('UP133'!DT25,"AAAAAB/9bzo=")</f>
        <v>#VALUE!</v>
      </c>
      <c r="BH64" t="e">
        <f>AND('UP133'!DU25,"AAAAAB/9bzs=")</f>
        <v>#VALUE!</v>
      </c>
      <c r="BI64" t="e">
        <f>AND('UP133'!DV25,"AAAAAB/9bzw=")</f>
        <v>#VALUE!</v>
      </c>
      <c r="BJ64" t="e">
        <f>AND('UP133'!DW25,"AAAAAB/9bz0=")</f>
        <v>#VALUE!</v>
      </c>
      <c r="BK64" t="e">
        <f>AND('UP133'!DX25,"AAAAAB/9bz4=")</f>
        <v>#VALUE!</v>
      </c>
      <c r="BL64" t="e">
        <f>AND('UP133'!DY25,"AAAAAB/9bz8=")</f>
        <v>#VALUE!</v>
      </c>
      <c r="BM64" t="e">
        <f>AND('UP133'!DZ25,"AAAAAB/9b0A=")</f>
        <v>#VALUE!</v>
      </c>
      <c r="BN64" t="e">
        <f>AND('UP133'!EA25,"AAAAAB/9b0E=")</f>
        <v>#VALUE!</v>
      </c>
      <c r="BO64" t="e">
        <f>AND('UP133'!EB25,"AAAAAB/9b0I=")</f>
        <v>#VALUE!</v>
      </c>
      <c r="BP64" t="e">
        <f>AND('UP133'!EC25,"AAAAAB/9b0M=")</f>
        <v>#VALUE!</v>
      </c>
      <c r="BQ64" t="e">
        <f>AND('UP133'!ED25,"AAAAAB/9b0Q=")</f>
        <v>#VALUE!</v>
      </c>
      <c r="BR64" t="e">
        <f>AND('UP133'!EE25,"AAAAAB/9b0U=")</f>
        <v>#VALUE!</v>
      </c>
      <c r="BS64" t="e">
        <f>AND('UP133'!EF25,"AAAAAB/9b0Y=")</f>
        <v>#VALUE!</v>
      </c>
      <c r="BT64" t="e">
        <f>AND('UP133'!EG25,"AAAAAB/9b0c=")</f>
        <v>#VALUE!</v>
      </c>
      <c r="BU64" t="e">
        <f>AND('UP133'!EH25,"AAAAAB/9b0g=")</f>
        <v>#VALUE!</v>
      </c>
      <c r="BV64" t="e">
        <f>AND('UP133'!EI25,"AAAAAB/9b0k=")</f>
        <v>#VALUE!</v>
      </c>
      <c r="BW64" t="e">
        <f>AND('UP133'!EJ25,"AAAAAB/9b0o=")</f>
        <v>#VALUE!</v>
      </c>
      <c r="BX64" t="e">
        <f>AND('UP133'!EK25,"AAAAAB/9b0s=")</f>
        <v>#VALUE!</v>
      </c>
      <c r="BY64" t="e">
        <f>AND('UP133'!EL25,"AAAAAB/9b0w=")</f>
        <v>#VALUE!</v>
      </c>
      <c r="BZ64" t="e">
        <f>AND('UP133'!EM25,"AAAAAB/9b00=")</f>
        <v>#VALUE!</v>
      </c>
      <c r="CA64" t="e">
        <f>AND('UP133'!EN25,"AAAAAB/9b04=")</f>
        <v>#VALUE!</v>
      </c>
      <c r="CB64" t="e">
        <f>AND('UP133'!EO25,"AAAAAB/9b08=")</f>
        <v>#VALUE!</v>
      </c>
      <c r="CC64" t="e">
        <f>AND('UP133'!EP25,"AAAAAB/9b1A=")</f>
        <v>#VALUE!</v>
      </c>
      <c r="CD64" t="e">
        <f>AND('UP133'!EQ25,"AAAAAB/9b1E=")</f>
        <v>#VALUE!</v>
      </c>
      <c r="CE64" t="e">
        <f>AND('UP133'!ER25,"AAAAAB/9b1I=")</f>
        <v>#VALUE!</v>
      </c>
      <c r="CF64" t="e">
        <f>AND('UP133'!ES25,"AAAAAB/9b1M=")</f>
        <v>#VALUE!</v>
      </c>
      <c r="CG64" t="e">
        <f>AND('UP133'!ET25,"AAAAAB/9b1Q=")</f>
        <v>#VALUE!</v>
      </c>
      <c r="CH64" t="e">
        <f>AND('UP133'!EU25,"AAAAAB/9b1U=")</f>
        <v>#VALUE!</v>
      </c>
      <c r="CI64" t="e">
        <f>AND('UP133'!EV25,"AAAAAB/9b1Y=")</f>
        <v>#VALUE!</v>
      </c>
      <c r="CJ64" t="e">
        <f>AND('UP133'!EW25,"AAAAAB/9b1c=")</f>
        <v>#VALUE!</v>
      </c>
      <c r="CK64" t="e">
        <f>AND('UP133'!EX25,"AAAAAB/9b1g=")</f>
        <v>#VALUE!</v>
      </c>
      <c r="CL64" t="e">
        <f>AND('UP133'!EY25,"AAAAAB/9b1k=")</f>
        <v>#VALUE!</v>
      </c>
      <c r="CM64" t="e">
        <f>AND('UP133'!EZ25,"AAAAAB/9b1o=")</f>
        <v>#VALUE!</v>
      </c>
      <c r="CN64" t="e">
        <f>AND('UP133'!FA25,"AAAAAB/9b1s=")</f>
        <v>#VALUE!</v>
      </c>
      <c r="CO64" t="e">
        <f>AND('UP133'!FB25,"AAAAAB/9b1w=")</f>
        <v>#VALUE!</v>
      </c>
      <c r="CP64" t="e">
        <f>AND('UP133'!FC25,"AAAAAB/9b10=")</f>
        <v>#VALUE!</v>
      </c>
      <c r="CQ64" t="e">
        <f>AND('UP133'!FD25,"AAAAAB/9b14=")</f>
        <v>#VALUE!</v>
      </c>
      <c r="CR64" t="e">
        <f>AND('UP133'!FE25,"AAAAAB/9b18=")</f>
        <v>#VALUE!</v>
      </c>
      <c r="CS64" t="e">
        <f>AND('UP133'!FF25,"AAAAAB/9b2A=")</f>
        <v>#VALUE!</v>
      </c>
      <c r="CT64" t="e">
        <f>AND('UP133'!FG25,"AAAAAB/9b2E=")</f>
        <v>#VALUE!</v>
      </c>
      <c r="CU64" t="e">
        <f>AND('UP133'!FH25,"AAAAAB/9b2I=")</f>
        <v>#VALUE!</v>
      </c>
      <c r="CV64" t="e">
        <f>AND('UP133'!FI25,"AAAAAB/9b2M=")</f>
        <v>#VALUE!</v>
      </c>
      <c r="CW64" t="e">
        <f>AND('UP133'!FJ25,"AAAAAB/9b2Q=")</f>
        <v>#VALUE!</v>
      </c>
      <c r="CX64" t="e">
        <f>AND('UP133'!FK25,"AAAAAB/9b2U=")</f>
        <v>#VALUE!</v>
      </c>
      <c r="CY64" t="e">
        <f>AND('UP133'!FL25,"AAAAAB/9b2Y=")</f>
        <v>#VALUE!</v>
      </c>
      <c r="CZ64" t="e">
        <f>AND('UP133'!FM25,"AAAAAB/9b2c=")</f>
        <v>#VALUE!</v>
      </c>
      <c r="DA64" t="e">
        <f>AND('UP133'!FN25,"AAAAAB/9b2g=")</f>
        <v>#VALUE!</v>
      </c>
      <c r="DB64" t="e">
        <f>AND('UP133'!FO25,"AAAAAB/9b2k=")</f>
        <v>#VALUE!</v>
      </c>
      <c r="DC64" t="e">
        <f>AND('UP133'!FP25,"AAAAAB/9b2o=")</f>
        <v>#VALUE!</v>
      </c>
      <c r="DD64" t="e">
        <f>AND('UP133'!FQ25,"AAAAAB/9b2s=")</f>
        <v>#VALUE!</v>
      </c>
      <c r="DE64" t="e">
        <f>AND('UP133'!FR25,"AAAAAB/9b2w=")</f>
        <v>#VALUE!</v>
      </c>
      <c r="DF64" t="e">
        <f>AND('UP133'!FS25,"AAAAAB/9b20=")</f>
        <v>#VALUE!</v>
      </c>
      <c r="DG64" t="e">
        <f>AND('UP133'!FT25,"AAAAAB/9b24=")</f>
        <v>#VALUE!</v>
      </c>
      <c r="DH64" t="e">
        <f>AND('UP133'!FU25,"AAAAAB/9b28=")</f>
        <v>#VALUE!</v>
      </c>
      <c r="DI64" t="e">
        <f>AND('UP133'!FV25,"AAAAAB/9b3A=")</f>
        <v>#VALUE!</v>
      </c>
      <c r="DJ64" t="e">
        <f>AND('UP133'!FW25,"AAAAAB/9b3E=")</f>
        <v>#VALUE!</v>
      </c>
      <c r="DK64" t="e">
        <f>AND('UP133'!FX25,"AAAAAB/9b3I=")</f>
        <v>#VALUE!</v>
      </c>
      <c r="DL64" t="e">
        <f>AND('UP133'!FY25,"AAAAAB/9b3M=")</f>
        <v>#VALUE!</v>
      </c>
      <c r="DM64" t="e">
        <f>AND('UP133'!FZ25,"AAAAAB/9b3Q=")</f>
        <v>#VALUE!</v>
      </c>
      <c r="DN64" t="e">
        <f>AND('UP133'!GA25,"AAAAAB/9b3U=")</f>
        <v>#VALUE!</v>
      </c>
      <c r="DO64" t="e">
        <f>AND('UP133'!GB25,"AAAAAB/9b3Y=")</f>
        <v>#VALUE!</v>
      </c>
      <c r="DP64" t="e">
        <f>AND('UP133'!GC25,"AAAAAB/9b3c=")</f>
        <v>#VALUE!</v>
      </c>
      <c r="DQ64" t="e">
        <f>AND('UP133'!GD25,"AAAAAB/9b3g=")</f>
        <v>#VALUE!</v>
      </c>
      <c r="DR64" t="e">
        <f>AND('UP133'!GE25,"AAAAAB/9b3k=")</f>
        <v>#VALUE!</v>
      </c>
      <c r="DS64" t="e">
        <f>AND('UP133'!GF25,"AAAAAB/9b3o=")</f>
        <v>#VALUE!</v>
      </c>
      <c r="DT64" t="e">
        <f>AND('UP133'!GG25,"AAAAAB/9b3s=")</f>
        <v>#VALUE!</v>
      </c>
      <c r="DU64" t="e">
        <f>AND('UP133'!GH25,"AAAAAB/9b3w=")</f>
        <v>#VALUE!</v>
      </c>
      <c r="DV64" t="e">
        <f>AND('UP133'!GI25,"AAAAAB/9b30=")</f>
        <v>#VALUE!</v>
      </c>
      <c r="DW64" t="e">
        <f>AND('UP133'!GJ25,"AAAAAB/9b34=")</f>
        <v>#VALUE!</v>
      </c>
      <c r="DX64" t="e">
        <f>AND('UP133'!GK25,"AAAAAB/9b38=")</f>
        <v>#VALUE!</v>
      </c>
      <c r="DY64" t="e">
        <f>AND('UP133'!GL25,"AAAAAB/9b4A=")</f>
        <v>#VALUE!</v>
      </c>
      <c r="DZ64" t="e">
        <f>AND('UP133'!GM25,"AAAAAB/9b4E=")</f>
        <v>#VALUE!</v>
      </c>
      <c r="EA64" t="e">
        <f>AND('UP133'!GN25,"AAAAAB/9b4I=")</f>
        <v>#VALUE!</v>
      </c>
      <c r="EB64" t="e">
        <f>AND('UP133'!GO25,"AAAAAB/9b4M=")</f>
        <v>#VALUE!</v>
      </c>
      <c r="EC64" t="e">
        <f>AND('UP133'!GP25,"AAAAAB/9b4Q=")</f>
        <v>#VALUE!</v>
      </c>
      <c r="ED64" t="e">
        <f>AND('UP133'!GQ25,"AAAAAB/9b4U=")</f>
        <v>#VALUE!</v>
      </c>
      <c r="EE64" t="e">
        <f>AND('UP133'!GR25,"AAAAAB/9b4Y=")</f>
        <v>#VALUE!</v>
      </c>
      <c r="EF64" t="e">
        <f>AND('UP133'!GS25,"AAAAAB/9b4c=")</f>
        <v>#VALUE!</v>
      </c>
      <c r="EG64" t="e">
        <f>AND('UP133'!GT25,"AAAAAB/9b4g=")</f>
        <v>#VALUE!</v>
      </c>
      <c r="EH64" t="e">
        <f>AND('UP133'!GU25,"AAAAAB/9b4k=")</f>
        <v>#VALUE!</v>
      </c>
      <c r="EI64" t="e">
        <f>AND('UP133'!GV25,"AAAAAB/9b4o=")</f>
        <v>#VALUE!</v>
      </c>
      <c r="EJ64" t="e">
        <f>AND('UP133'!GW25,"AAAAAB/9b4s=")</f>
        <v>#VALUE!</v>
      </c>
      <c r="EK64" t="e">
        <f>AND('UP133'!GX25,"AAAAAB/9b4w=")</f>
        <v>#VALUE!</v>
      </c>
      <c r="EL64" t="e">
        <f>AND('UP133'!GY25,"AAAAAB/9b40=")</f>
        <v>#VALUE!</v>
      </c>
      <c r="EM64" t="e">
        <f>AND('UP133'!GZ25,"AAAAAB/9b44=")</f>
        <v>#VALUE!</v>
      </c>
      <c r="EN64" t="e">
        <f>AND('UP133'!HA25,"AAAAAB/9b48=")</f>
        <v>#VALUE!</v>
      </c>
      <c r="EO64" t="e">
        <f>AND('UP133'!HB25,"AAAAAB/9b5A=")</f>
        <v>#VALUE!</v>
      </c>
      <c r="EP64" t="e">
        <f>AND('UP133'!HC25,"AAAAAB/9b5E=")</f>
        <v>#VALUE!</v>
      </c>
      <c r="EQ64" t="e">
        <f>AND('UP133'!HD25,"AAAAAB/9b5I=")</f>
        <v>#VALUE!</v>
      </c>
      <c r="ER64" t="e">
        <f>AND('UP133'!HE25,"AAAAAB/9b5M=")</f>
        <v>#VALUE!</v>
      </c>
      <c r="ES64" t="e">
        <f>AND('UP133'!HF25,"AAAAAB/9b5Q=")</f>
        <v>#VALUE!</v>
      </c>
      <c r="ET64" t="e">
        <f>AND('UP133'!HG25,"AAAAAB/9b5U=")</f>
        <v>#VALUE!</v>
      </c>
      <c r="EU64" t="e">
        <f>AND('UP133'!HH25,"AAAAAB/9b5Y=")</f>
        <v>#VALUE!</v>
      </c>
      <c r="EV64" t="e">
        <f>AND('UP133'!HI25,"AAAAAB/9b5c=")</f>
        <v>#VALUE!</v>
      </c>
      <c r="EW64" t="e">
        <f>AND('UP133'!HJ25,"AAAAAB/9b5g=")</f>
        <v>#VALUE!</v>
      </c>
      <c r="EX64" t="e">
        <f>AND('UP133'!HK25,"AAAAAB/9b5k=")</f>
        <v>#VALUE!</v>
      </c>
      <c r="EY64" t="e">
        <f>AND('UP133'!HL25,"AAAAAB/9b5o=")</f>
        <v>#VALUE!</v>
      </c>
      <c r="EZ64" t="e">
        <f>AND('UP133'!HM25,"AAAAAB/9b5s=")</f>
        <v>#VALUE!</v>
      </c>
      <c r="FA64" t="e">
        <f>AND('UP133'!HN25,"AAAAAB/9b5w=")</f>
        <v>#VALUE!</v>
      </c>
      <c r="FB64" t="e">
        <f>AND('UP133'!HO25,"AAAAAB/9b50=")</f>
        <v>#VALUE!</v>
      </c>
      <c r="FC64" t="e">
        <f>AND('UP133'!HP25,"AAAAAB/9b54=")</f>
        <v>#VALUE!</v>
      </c>
      <c r="FD64" t="e">
        <f>AND('UP133'!HQ25,"AAAAAB/9b58=")</f>
        <v>#VALUE!</v>
      </c>
      <c r="FE64" t="e">
        <f>AND('UP133'!HR25,"AAAAAB/9b6A=")</f>
        <v>#VALUE!</v>
      </c>
      <c r="FF64" t="e">
        <f>AND('UP133'!HS25,"AAAAAB/9b6E=")</f>
        <v>#VALUE!</v>
      </c>
      <c r="FG64" t="e">
        <f>AND('UP133'!HT25,"AAAAAB/9b6I=")</f>
        <v>#VALUE!</v>
      </c>
      <c r="FH64" t="e">
        <f>AND('UP133'!HU25,"AAAAAB/9b6M=")</f>
        <v>#VALUE!</v>
      </c>
      <c r="FI64" t="e">
        <f>AND('UP133'!HV25,"AAAAAB/9b6Q=")</f>
        <v>#VALUE!</v>
      </c>
      <c r="FJ64" t="e">
        <f>AND('UP133'!HW25,"AAAAAB/9b6U=")</f>
        <v>#VALUE!</v>
      </c>
      <c r="FK64" t="e">
        <f>AND('UP133'!HX25,"AAAAAB/9b6Y=")</f>
        <v>#VALUE!</v>
      </c>
      <c r="FL64" t="e">
        <f>AND('UP133'!HY25,"AAAAAB/9b6c=")</f>
        <v>#VALUE!</v>
      </c>
      <c r="FM64" t="e">
        <f>AND('UP133'!HZ25,"AAAAAB/9b6g=")</f>
        <v>#VALUE!</v>
      </c>
      <c r="FN64" t="e">
        <f>AND('UP133'!IA25,"AAAAAB/9b6k=")</f>
        <v>#VALUE!</v>
      </c>
      <c r="FO64" t="e">
        <f>AND('UP133'!IB25,"AAAAAB/9b6o=")</f>
        <v>#VALUE!</v>
      </c>
      <c r="FP64" t="e">
        <f>AND('UP133'!IC25,"AAAAAB/9b6s=")</f>
        <v>#VALUE!</v>
      </c>
      <c r="FQ64" t="e">
        <f>AND('UP133'!ID25,"AAAAAB/9b6w=")</f>
        <v>#VALUE!</v>
      </c>
      <c r="FR64" t="e">
        <f>AND('UP133'!IE25,"AAAAAB/9b60=")</f>
        <v>#VALUE!</v>
      </c>
      <c r="FS64" t="e">
        <f>AND('UP133'!IF25,"AAAAAB/9b64=")</f>
        <v>#VALUE!</v>
      </c>
      <c r="FT64" t="e">
        <f>AND('UP133'!IG25,"AAAAAB/9b68=")</f>
        <v>#VALUE!</v>
      </c>
      <c r="FU64" t="e">
        <f>AND('UP133'!IH25,"AAAAAB/9b7A=")</f>
        <v>#VALUE!</v>
      </c>
      <c r="FV64" t="e">
        <f>AND('UP133'!II25,"AAAAAB/9b7E=")</f>
        <v>#VALUE!</v>
      </c>
      <c r="FW64" t="e">
        <f>AND('UP133'!IJ25,"AAAAAB/9b7I=")</f>
        <v>#VALUE!</v>
      </c>
      <c r="FX64" t="e">
        <f>AND('UP133'!IK25,"AAAAAB/9b7M=")</f>
        <v>#VALUE!</v>
      </c>
      <c r="FY64" t="e">
        <f>AND('UP133'!IL25,"AAAAAB/9b7Q=")</f>
        <v>#VALUE!</v>
      </c>
      <c r="FZ64" t="e">
        <f>AND('UP133'!IM25,"AAAAAB/9b7U=")</f>
        <v>#VALUE!</v>
      </c>
      <c r="GA64" t="e">
        <f>AND('UP133'!IN25,"AAAAAB/9b7Y=")</f>
        <v>#VALUE!</v>
      </c>
      <c r="GB64" t="e">
        <f>AND('UP133'!IO25,"AAAAAB/9b7c=")</f>
        <v>#VALUE!</v>
      </c>
      <c r="GC64" t="e">
        <f>AND('UP133'!IP25,"AAAAAB/9b7g=")</f>
        <v>#VALUE!</v>
      </c>
      <c r="GD64" t="e">
        <f>AND('UP133'!IQ25,"AAAAAB/9b7k=")</f>
        <v>#VALUE!</v>
      </c>
      <c r="GE64">
        <f>IF('UP133'!26:26,"AAAAAB/9b7o=",0)</f>
        <v>0</v>
      </c>
      <c r="GF64" t="e">
        <f>AND('UP133'!A26,"AAAAAB/9b7s=")</f>
        <v>#VALUE!</v>
      </c>
      <c r="GG64" t="e">
        <f>AND('UP133'!B26,"AAAAAB/9b7w=")</f>
        <v>#VALUE!</v>
      </c>
      <c r="GH64" t="e">
        <f>AND('UP133'!C26,"AAAAAB/9b70=")</f>
        <v>#VALUE!</v>
      </c>
      <c r="GI64" t="e">
        <f>AND('UP133'!D26,"AAAAAB/9b74=")</f>
        <v>#VALUE!</v>
      </c>
      <c r="GJ64" t="e">
        <f>AND('UP133'!E26,"AAAAAB/9b78=")</f>
        <v>#VALUE!</v>
      </c>
      <c r="GK64" t="e">
        <f>AND('UP133'!F26,"AAAAAB/9b8A=")</f>
        <v>#VALUE!</v>
      </c>
      <c r="GL64" t="e">
        <f>AND('UP133'!G26,"AAAAAB/9b8E=")</f>
        <v>#VALUE!</v>
      </c>
      <c r="GM64" t="e">
        <f>AND('UP133'!H26,"AAAAAB/9b8I=")</f>
        <v>#VALUE!</v>
      </c>
      <c r="GN64" t="e">
        <f>AND('UP133'!I26,"AAAAAB/9b8M=")</f>
        <v>#VALUE!</v>
      </c>
      <c r="GO64" t="e">
        <f>AND('UP133'!J26,"AAAAAB/9b8Q=")</f>
        <v>#VALUE!</v>
      </c>
      <c r="GP64" t="e">
        <f>AND('UP133'!K26,"AAAAAB/9b8U=")</f>
        <v>#VALUE!</v>
      </c>
      <c r="GQ64" t="e">
        <f>AND('UP133'!L26,"AAAAAB/9b8Y=")</f>
        <v>#VALUE!</v>
      </c>
      <c r="GR64" t="e">
        <f>AND('UP133'!M26,"AAAAAB/9b8c=")</f>
        <v>#VALUE!</v>
      </c>
      <c r="GS64" t="e">
        <f>AND('UP133'!N26,"AAAAAB/9b8g=")</f>
        <v>#VALUE!</v>
      </c>
      <c r="GT64" t="e">
        <f>AND('UP133'!O26,"AAAAAB/9b8k=")</f>
        <v>#VALUE!</v>
      </c>
      <c r="GU64" t="e">
        <f>AND('UP133'!P26,"AAAAAB/9b8o=")</f>
        <v>#VALUE!</v>
      </c>
      <c r="GV64" t="e">
        <f>AND('UP133'!Q26,"AAAAAB/9b8s=")</f>
        <v>#VALUE!</v>
      </c>
      <c r="GW64" t="e">
        <f>AND('UP133'!R26,"AAAAAB/9b8w=")</f>
        <v>#VALUE!</v>
      </c>
      <c r="GX64" t="e">
        <f>AND('UP133'!S26,"AAAAAB/9b80=")</f>
        <v>#VALUE!</v>
      </c>
      <c r="GY64" t="e">
        <f>AND('UP133'!T26,"AAAAAB/9b84=")</f>
        <v>#VALUE!</v>
      </c>
      <c r="GZ64" t="e">
        <f>AND('UP133'!U26,"AAAAAB/9b88=")</f>
        <v>#VALUE!</v>
      </c>
      <c r="HA64" t="e">
        <f>AND('UP133'!V26,"AAAAAB/9b9A=")</f>
        <v>#VALUE!</v>
      </c>
      <c r="HB64" t="e">
        <f>AND('UP133'!W26,"AAAAAB/9b9E=")</f>
        <v>#VALUE!</v>
      </c>
      <c r="HC64" t="e">
        <f>AND('UP133'!X26,"AAAAAB/9b9I=")</f>
        <v>#VALUE!</v>
      </c>
      <c r="HD64" t="e">
        <f>AND('UP133'!Y26,"AAAAAB/9b9M=")</f>
        <v>#VALUE!</v>
      </c>
      <c r="HE64" t="e">
        <f>AND('UP133'!Z26,"AAAAAB/9b9Q=")</f>
        <v>#VALUE!</v>
      </c>
      <c r="HF64" t="e">
        <f>AND('UP133'!AA26,"AAAAAB/9b9U=")</f>
        <v>#VALUE!</v>
      </c>
      <c r="HG64" t="e">
        <f>AND('UP133'!AB26,"AAAAAB/9b9Y=")</f>
        <v>#VALUE!</v>
      </c>
      <c r="HH64" t="e">
        <f>AND('UP133'!AC26,"AAAAAB/9b9c=")</f>
        <v>#VALUE!</v>
      </c>
      <c r="HI64" t="e">
        <f>AND('UP133'!AD26,"AAAAAB/9b9g=")</f>
        <v>#VALUE!</v>
      </c>
      <c r="HJ64" t="e">
        <f>AND('UP133'!AE26,"AAAAAB/9b9k=")</f>
        <v>#VALUE!</v>
      </c>
      <c r="HK64" t="e">
        <f>AND('UP133'!AF26,"AAAAAB/9b9o=")</f>
        <v>#VALUE!</v>
      </c>
      <c r="HL64" t="e">
        <f>AND('UP133'!AG26,"AAAAAB/9b9s=")</f>
        <v>#VALUE!</v>
      </c>
      <c r="HM64" t="e">
        <f>AND('UP133'!AH26,"AAAAAB/9b9w=")</f>
        <v>#VALUE!</v>
      </c>
      <c r="HN64" t="e">
        <f>AND('UP133'!AI26,"AAAAAB/9b90=")</f>
        <v>#VALUE!</v>
      </c>
      <c r="HO64" t="e">
        <f>AND('UP133'!AJ26,"AAAAAB/9b94=")</f>
        <v>#VALUE!</v>
      </c>
      <c r="HP64" t="e">
        <f>AND('UP133'!AK26,"AAAAAB/9b98=")</f>
        <v>#VALUE!</v>
      </c>
      <c r="HQ64" t="e">
        <f>AND('UP133'!AL26,"AAAAAB/9b+A=")</f>
        <v>#VALUE!</v>
      </c>
      <c r="HR64" t="e">
        <f>AND('UP133'!AM26,"AAAAAB/9b+E=")</f>
        <v>#VALUE!</v>
      </c>
      <c r="HS64" t="e">
        <f>AND('UP133'!AN26,"AAAAAB/9b+I=")</f>
        <v>#VALUE!</v>
      </c>
      <c r="HT64" t="e">
        <f>AND('UP133'!AO26,"AAAAAB/9b+M=")</f>
        <v>#VALUE!</v>
      </c>
      <c r="HU64" t="e">
        <f>AND('UP133'!AP26,"AAAAAB/9b+Q=")</f>
        <v>#VALUE!</v>
      </c>
      <c r="HV64" t="e">
        <f>AND('UP133'!AQ26,"AAAAAB/9b+U=")</f>
        <v>#VALUE!</v>
      </c>
      <c r="HW64" t="e">
        <f>AND('UP133'!AR26,"AAAAAB/9b+Y=")</f>
        <v>#VALUE!</v>
      </c>
      <c r="HX64" t="e">
        <f>AND('UP133'!AS26,"AAAAAB/9b+c=")</f>
        <v>#VALUE!</v>
      </c>
      <c r="HY64" t="e">
        <f>AND('UP133'!AT26,"AAAAAB/9b+g=")</f>
        <v>#VALUE!</v>
      </c>
      <c r="HZ64" t="e">
        <f>AND('UP133'!AU26,"AAAAAB/9b+k=")</f>
        <v>#VALUE!</v>
      </c>
      <c r="IA64" t="e">
        <f>AND('UP133'!AV26,"AAAAAB/9b+o=")</f>
        <v>#VALUE!</v>
      </c>
      <c r="IB64" t="e">
        <f>AND('UP133'!AW26,"AAAAAB/9b+s=")</f>
        <v>#VALUE!</v>
      </c>
      <c r="IC64" t="e">
        <f>AND('UP133'!AX26,"AAAAAB/9b+w=")</f>
        <v>#VALUE!</v>
      </c>
      <c r="ID64" t="e">
        <f>AND('UP133'!AY26,"AAAAAB/9b+0=")</f>
        <v>#VALUE!</v>
      </c>
      <c r="IE64" t="e">
        <f>AND('UP133'!AZ26,"AAAAAB/9b+4=")</f>
        <v>#VALUE!</v>
      </c>
      <c r="IF64" t="e">
        <f>AND('UP133'!BA26,"AAAAAB/9b+8=")</f>
        <v>#VALUE!</v>
      </c>
      <c r="IG64" t="e">
        <f>AND('UP133'!BB26,"AAAAAB/9b/A=")</f>
        <v>#VALUE!</v>
      </c>
      <c r="IH64" t="e">
        <f>AND('UP133'!BC26,"AAAAAB/9b/E=")</f>
        <v>#VALUE!</v>
      </c>
      <c r="II64" t="e">
        <f>AND('UP133'!BD26,"AAAAAB/9b/I=")</f>
        <v>#VALUE!</v>
      </c>
      <c r="IJ64" t="e">
        <f>AND('UP133'!BE26,"AAAAAB/9b/M=")</f>
        <v>#VALUE!</v>
      </c>
      <c r="IK64" t="e">
        <f>AND('UP133'!BF26,"AAAAAB/9b/Q=")</f>
        <v>#VALUE!</v>
      </c>
      <c r="IL64" t="e">
        <f>AND('UP133'!BG26,"AAAAAB/9b/U=")</f>
        <v>#VALUE!</v>
      </c>
      <c r="IM64" t="e">
        <f>AND('UP133'!BH26,"AAAAAB/9b/Y=")</f>
        <v>#VALUE!</v>
      </c>
      <c r="IN64" t="e">
        <f>AND('UP133'!BI26,"AAAAAB/9b/c=")</f>
        <v>#VALUE!</v>
      </c>
      <c r="IO64" t="e">
        <f>AND('UP133'!BJ26,"AAAAAB/9b/g=")</f>
        <v>#VALUE!</v>
      </c>
      <c r="IP64" t="e">
        <f>AND('UP133'!BK26,"AAAAAB/9b/k=")</f>
        <v>#VALUE!</v>
      </c>
      <c r="IQ64" t="e">
        <f>AND('UP133'!BL26,"AAAAAB/9b/o=")</f>
        <v>#VALUE!</v>
      </c>
      <c r="IR64" t="e">
        <f>AND('UP133'!BM26,"AAAAAB/9b/s=")</f>
        <v>#VALUE!</v>
      </c>
      <c r="IS64" t="e">
        <f>AND('UP133'!BN26,"AAAAAB/9b/w=")</f>
        <v>#VALUE!</v>
      </c>
      <c r="IT64" t="e">
        <f>AND('UP133'!BO26,"AAAAAB/9b/0=")</f>
        <v>#VALUE!</v>
      </c>
      <c r="IU64" t="e">
        <f>AND('UP133'!BP26,"AAAAAB/9b/4=")</f>
        <v>#VALUE!</v>
      </c>
      <c r="IV64" t="e">
        <f>AND('UP133'!BQ26,"AAAAAB/9b/8=")</f>
        <v>#VALUE!</v>
      </c>
    </row>
    <row r="65" spans="1:256">
      <c r="A65" t="e">
        <f>AND('UP133'!BR26,"AAAAAH/7/wA=")</f>
        <v>#VALUE!</v>
      </c>
      <c r="B65" t="e">
        <f>AND('UP133'!BS26,"AAAAAH/7/wE=")</f>
        <v>#VALUE!</v>
      </c>
      <c r="C65" t="e">
        <f>AND('UP133'!BT26,"AAAAAH/7/wI=")</f>
        <v>#VALUE!</v>
      </c>
      <c r="D65" t="e">
        <f>AND('UP133'!BU26,"AAAAAH/7/wM=")</f>
        <v>#VALUE!</v>
      </c>
      <c r="E65" t="e">
        <f>AND('UP133'!BV26,"AAAAAH/7/wQ=")</f>
        <v>#VALUE!</v>
      </c>
      <c r="F65" t="e">
        <f>AND('UP133'!BW26,"AAAAAH/7/wU=")</f>
        <v>#VALUE!</v>
      </c>
      <c r="G65" t="e">
        <f>AND('UP133'!BX26,"AAAAAH/7/wY=")</f>
        <v>#VALUE!</v>
      </c>
      <c r="H65" t="e">
        <f>AND('UP133'!BY26,"AAAAAH/7/wc=")</f>
        <v>#VALUE!</v>
      </c>
      <c r="I65" t="e">
        <f>AND('UP133'!BZ26,"AAAAAH/7/wg=")</f>
        <v>#VALUE!</v>
      </c>
      <c r="J65" t="e">
        <f>AND('UP133'!CA26,"AAAAAH/7/wk=")</f>
        <v>#VALUE!</v>
      </c>
      <c r="K65" t="e">
        <f>AND('UP133'!CB26,"AAAAAH/7/wo=")</f>
        <v>#VALUE!</v>
      </c>
      <c r="L65" t="e">
        <f>AND('UP133'!CC26,"AAAAAH/7/ws=")</f>
        <v>#VALUE!</v>
      </c>
      <c r="M65" t="e">
        <f>AND('UP133'!CD26,"AAAAAH/7/ww=")</f>
        <v>#VALUE!</v>
      </c>
      <c r="N65" t="e">
        <f>AND('UP133'!CE26,"AAAAAH/7/w0=")</f>
        <v>#VALUE!</v>
      </c>
      <c r="O65" t="e">
        <f>AND('UP133'!CF26,"AAAAAH/7/w4=")</f>
        <v>#VALUE!</v>
      </c>
      <c r="P65" t="e">
        <f>AND('UP133'!CG26,"AAAAAH/7/w8=")</f>
        <v>#VALUE!</v>
      </c>
      <c r="Q65" t="e">
        <f>AND('UP133'!CH26,"AAAAAH/7/xA=")</f>
        <v>#VALUE!</v>
      </c>
      <c r="R65" t="e">
        <f>AND('UP133'!CI26,"AAAAAH/7/xE=")</f>
        <v>#VALUE!</v>
      </c>
      <c r="S65" t="e">
        <f>AND('UP133'!CJ26,"AAAAAH/7/xI=")</f>
        <v>#VALUE!</v>
      </c>
      <c r="T65" t="e">
        <f>AND('UP133'!CK26,"AAAAAH/7/xM=")</f>
        <v>#VALUE!</v>
      </c>
      <c r="U65" t="e">
        <f>AND('UP133'!CL26,"AAAAAH/7/xQ=")</f>
        <v>#VALUE!</v>
      </c>
      <c r="V65" t="e">
        <f>AND('UP133'!CM26,"AAAAAH/7/xU=")</f>
        <v>#VALUE!</v>
      </c>
      <c r="W65" t="e">
        <f>AND('UP133'!CN26,"AAAAAH/7/xY=")</f>
        <v>#VALUE!</v>
      </c>
      <c r="X65" t="e">
        <f>AND('UP133'!CO26,"AAAAAH/7/xc=")</f>
        <v>#VALUE!</v>
      </c>
      <c r="Y65" t="e">
        <f>AND('UP133'!CP26,"AAAAAH/7/xg=")</f>
        <v>#VALUE!</v>
      </c>
      <c r="Z65" t="e">
        <f>AND('UP133'!CQ26,"AAAAAH/7/xk=")</f>
        <v>#VALUE!</v>
      </c>
      <c r="AA65" t="e">
        <f>AND('UP133'!CR26,"AAAAAH/7/xo=")</f>
        <v>#VALUE!</v>
      </c>
      <c r="AB65" t="e">
        <f>AND('UP133'!CS26,"AAAAAH/7/xs=")</f>
        <v>#VALUE!</v>
      </c>
      <c r="AC65" t="e">
        <f>AND('UP133'!CT26,"AAAAAH/7/xw=")</f>
        <v>#VALUE!</v>
      </c>
      <c r="AD65" t="e">
        <f>AND('UP133'!CU26,"AAAAAH/7/x0=")</f>
        <v>#VALUE!</v>
      </c>
      <c r="AE65" t="e">
        <f>AND('UP133'!CV26,"AAAAAH/7/x4=")</f>
        <v>#VALUE!</v>
      </c>
      <c r="AF65" t="e">
        <f>AND('UP133'!CW26,"AAAAAH/7/x8=")</f>
        <v>#VALUE!</v>
      </c>
      <c r="AG65" t="e">
        <f>AND('UP133'!CX26,"AAAAAH/7/yA=")</f>
        <v>#VALUE!</v>
      </c>
      <c r="AH65" t="e">
        <f>AND('UP133'!CY26,"AAAAAH/7/yE=")</f>
        <v>#VALUE!</v>
      </c>
      <c r="AI65" t="e">
        <f>AND('UP133'!CZ26,"AAAAAH/7/yI=")</f>
        <v>#VALUE!</v>
      </c>
      <c r="AJ65" t="e">
        <f>AND('UP133'!DA26,"AAAAAH/7/yM=")</f>
        <v>#VALUE!</v>
      </c>
      <c r="AK65" t="e">
        <f>AND('UP133'!DB26,"AAAAAH/7/yQ=")</f>
        <v>#VALUE!</v>
      </c>
      <c r="AL65" t="e">
        <f>AND('UP133'!DC26,"AAAAAH/7/yU=")</f>
        <v>#VALUE!</v>
      </c>
      <c r="AM65" t="e">
        <f>AND('UP133'!DD26,"AAAAAH/7/yY=")</f>
        <v>#VALUE!</v>
      </c>
      <c r="AN65" t="e">
        <f>AND('UP133'!DE26,"AAAAAH/7/yc=")</f>
        <v>#VALUE!</v>
      </c>
      <c r="AO65" t="e">
        <f>AND('UP133'!DF26,"AAAAAH/7/yg=")</f>
        <v>#VALUE!</v>
      </c>
      <c r="AP65" t="e">
        <f>AND('UP133'!DG26,"AAAAAH/7/yk=")</f>
        <v>#VALUE!</v>
      </c>
      <c r="AQ65" t="e">
        <f>AND('UP133'!DH26,"AAAAAH/7/yo=")</f>
        <v>#VALUE!</v>
      </c>
      <c r="AR65" t="e">
        <f>AND('UP133'!DI26,"AAAAAH/7/ys=")</f>
        <v>#VALUE!</v>
      </c>
      <c r="AS65" t="e">
        <f>AND('UP133'!DJ26,"AAAAAH/7/yw=")</f>
        <v>#VALUE!</v>
      </c>
      <c r="AT65" t="e">
        <f>AND('UP133'!DK26,"AAAAAH/7/y0=")</f>
        <v>#VALUE!</v>
      </c>
      <c r="AU65" t="e">
        <f>AND('UP133'!DL26,"AAAAAH/7/y4=")</f>
        <v>#VALUE!</v>
      </c>
      <c r="AV65" t="e">
        <f>AND('UP133'!DM26,"AAAAAH/7/y8=")</f>
        <v>#VALUE!</v>
      </c>
      <c r="AW65" t="e">
        <f>AND('UP133'!DN26,"AAAAAH/7/zA=")</f>
        <v>#VALUE!</v>
      </c>
      <c r="AX65" t="e">
        <f>AND('UP133'!DO26,"AAAAAH/7/zE=")</f>
        <v>#VALUE!</v>
      </c>
      <c r="AY65" t="e">
        <f>AND('UP133'!DP26,"AAAAAH/7/zI=")</f>
        <v>#VALUE!</v>
      </c>
      <c r="AZ65" t="e">
        <f>AND('UP133'!DQ26,"AAAAAH/7/zM=")</f>
        <v>#VALUE!</v>
      </c>
      <c r="BA65" t="e">
        <f>AND('UP133'!DR26,"AAAAAH/7/zQ=")</f>
        <v>#VALUE!</v>
      </c>
      <c r="BB65" t="e">
        <f>AND('UP133'!DS26,"AAAAAH/7/zU=")</f>
        <v>#VALUE!</v>
      </c>
      <c r="BC65" t="e">
        <f>AND('UP133'!DT26,"AAAAAH/7/zY=")</f>
        <v>#VALUE!</v>
      </c>
      <c r="BD65" t="e">
        <f>AND('UP133'!DU26,"AAAAAH/7/zc=")</f>
        <v>#VALUE!</v>
      </c>
      <c r="BE65" t="e">
        <f>AND('UP133'!DV26,"AAAAAH/7/zg=")</f>
        <v>#VALUE!</v>
      </c>
      <c r="BF65" t="e">
        <f>AND('UP133'!DW26,"AAAAAH/7/zk=")</f>
        <v>#VALUE!</v>
      </c>
      <c r="BG65" t="e">
        <f>AND('UP133'!DX26,"AAAAAH/7/zo=")</f>
        <v>#VALUE!</v>
      </c>
      <c r="BH65" t="e">
        <f>AND('UP133'!DY26,"AAAAAH/7/zs=")</f>
        <v>#VALUE!</v>
      </c>
      <c r="BI65" t="e">
        <f>AND('UP133'!DZ26,"AAAAAH/7/zw=")</f>
        <v>#VALUE!</v>
      </c>
      <c r="BJ65" t="e">
        <f>AND('UP133'!EA26,"AAAAAH/7/z0=")</f>
        <v>#VALUE!</v>
      </c>
      <c r="BK65" t="e">
        <f>AND('UP133'!EB26,"AAAAAH/7/z4=")</f>
        <v>#VALUE!</v>
      </c>
      <c r="BL65" t="e">
        <f>AND('UP133'!EC26,"AAAAAH/7/z8=")</f>
        <v>#VALUE!</v>
      </c>
      <c r="BM65" t="e">
        <f>AND('UP133'!ED26,"AAAAAH/7/0A=")</f>
        <v>#VALUE!</v>
      </c>
      <c r="BN65" t="e">
        <f>AND('UP133'!EE26,"AAAAAH/7/0E=")</f>
        <v>#VALUE!</v>
      </c>
      <c r="BO65" t="e">
        <f>AND('UP133'!EF26,"AAAAAH/7/0I=")</f>
        <v>#VALUE!</v>
      </c>
      <c r="BP65" t="e">
        <f>AND('UP133'!EG26,"AAAAAH/7/0M=")</f>
        <v>#VALUE!</v>
      </c>
      <c r="BQ65" t="e">
        <f>AND('UP133'!EH26,"AAAAAH/7/0Q=")</f>
        <v>#VALUE!</v>
      </c>
      <c r="BR65" t="e">
        <f>AND('UP133'!EI26,"AAAAAH/7/0U=")</f>
        <v>#VALUE!</v>
      </c>
      <c r="BS65" t="e">
        <f>AND('UP133'!EJ26,"AAAAAH/7/0Y=")</f>
        <v>#VALUE!</v>
      </c>
      <c r="BT65" t="e">
        <f>AND('UP133'!EK26,"AAAAAH/7/0c=")</f>
        <v>#VALUE!</v>
      </c>
      <c r="BU65" t="e">
        <f>AND('UP133'!EL26,"AAAAAH/7/0g=")</f>
        <v>#VALUE!</v>
      </c>
      <c r="BV65" t="e">
        <f>AND('UP133'!EM26,"AAAAAH/7/0k=")</f>
        <v>#VALUE!</v>
      </c>
      <c r="BW65" t="e">
        <f>AND('UP133'!EN26,"AAAAAH/7/0o=")</f>
        <v>#VALUE!</v>
      </c>
      <c r="BX65" t="e">
        <f>AND('UP133'!EO26,"AAAAAH/7/0s=")</f>
        <v>#VALUE!</v>
      </c>
      <c r="BY65" t="e">
        <f>AND('UP133'!EP26,"AAAAAH/7/0w=")</f>
        <v>#VALUE!</v>
      </c>
      <c r="BZ65" t="e">
        <f>AND('UP133'!EQ26,"AAAAAH/7/00=")</f>
        <v>#VALUE!</v>
      </c>
      <c r="CA65" t="e">
        <f>AND('UP133'!ER26,"AAAAAH/7/04=")</f>
        <v>#VALUE!</v>
      </c>
      <c r="CB65" t="e">
        <f>AND('UP133'!ES26,"AAAAAH/7/08=")</f>
        <v>#VALUE!</v>
      </c>
      <c r="CC65" t="e">
        <f>AND('UP133'!ET26,"AAAAAH/7/1A=")</f>
        <v>#VALUE!</v>
      </c>
      <c r="CD65" t="e">
        <f>AND('UP133'!EU26,"AAAAAH/7/1E=")</f>
        <v>#VALUE!</v>
      </c>
      <c r="CE65" t="e">
        <f>AND('UP133'!EV26,"AAAAAH/7/1I=")</f>
        <v>#VALUE!</v>
      </c>
      <c r="CF65" t="e">
        <f>AND('UP133'!EW26,"AAAAAH/7/1M=")</f>
        <v>#VALUE!</v>
      </c>
      <c r="CG65" t="e">
        <f>AND('UP133'!EX26,"AAAAAH/7/1Q=")</f>
        <v>#VALUE!</v>
      </c>
      <c r="CH65" t="e">
        <f>AND('UP133'!EY26,"AAAAAH/7/1U=")</f>
        <v>#VALUE!</v>
      </c>
      <c r="CI65" t="e">
        <f>AND('UP133'!EZ26,"AAAAAH/7/1Y=")</f>
        <v>#VALUE!</v>
      </c>
      <c r="CJ65" t="e">
        <f>AND('UP133'!FA26,"AAAAAH/7/1c=")</f>
        <v>#VALUE!</v>
      </c>
      <c r="CK65" t="e">
        <f>AND('UP133'!FB26,"AAAAAH/7/1g=")</f>
        <v>#VALUE!</v>
      </c>
      <c r="CL65" t="e">
        <f>AND('UP133'!FC26,"AAAAAH/7/1k=")</f>
        <v>#VALUE!</v>
      </c>
      <c r="CM65" t="e">
        <f>AND('UP133'!FD26,"AAAAAH/7/1o=")</f>
        <v>#VALUE!</v>
      </c>
      <c r="CN65" t="e">
        <f>AND('UP133'!FE26,"AAAAAH/7/1s=")</f>
        <v>#VALUE!</v>
      </c>
      <c r="CO65" t="e">
        <f>AND('UP133'!FF26,"AAAAAH/7/1w=")</f>
        <v>#VALUE!</v>
      </c>
      <c r="CP65" t="e">
        <f>AND('UP133'!FG26,"AAAAAH/7/10=")</f>
        <v>#VALUE!</v>
      </c>
      <c r="CQ65" t="e">
        <f>AND('UP133'!FH26,"AAAAAH/7/14=")</f>
        <v>#VALUE!</v>
      </c>
      <c r="CR65" t="e">
        <f>AND('UP133'!FI26,"AAAAAH/7/18=")</f>
        <v>#VALUE!</v>
      </c>
      <c r="CS65" t="e">
        <f>AND('UP133'!FJ26,"AAAAAH/7/2A=")</f>
        <v>#VALUE!</v>
      </c>
      <c r="CT65" t="e">
        <f>AND('UP133'!FK26,"AAAAAH/7/2E=")</f>
        <v>#VALUE!</v>
      </c>
      <c r="CU65" t="e">
        <f>AND('UP133'!FL26,"AAAAAH/7/2I=")</f>
        <v>#VALUE!</v>
      </c>
      <c r="CV65" t="e">
        <f>AND('UP133'!FM26,"AAAAAH/7/2M=")</f>
        <v>#VALUE!</v>
      </c>
      <c r="CW65" t="e">
        <f>AND('UP133'!FN26,"AAAAAH/7/2Q=")</f>
        <v>#VALUE!</v>
      </c>
      <c r="CX65" t="e">
        <f>AND('UP133'!FO26,"AAAAAH/7/2U=")</f>
        <v>#VALUE!</v>
      </c>
      <c r="CY65" t="e">
        <f>AND('UP133'!FP26,"AAAAAH/7/2Y=")</f>
        <v>#VALUE!</v>
      </c>
      <c r="CZ65" t="e">
        <f>AND('UP133'!FQ26,"AAAAAH/7/2c=")</f>
        <v>#VALUE!</v>
      </c>
      <c r="DA65" t="e">
        <f>AND('UP133'!FR26,"AAAAAH/7/2g=")</f>
        <v>#VALUE!</v>
      </c>
      <c r="DB65" t="e">
        <f>AND('UP133'!FS26,"AAAAAH/7/2k=")</f>
        <v>#VALUE!</v>
      </c>
      <c r="DC65" t="e">
        <f>AND('UP133'!FT26,"AAAAAH/7/2o=")</f>
        <v>#VALUE!</v>
      </c>
      <c r="DD65" t="e">
        <f>AND('UP133'!FU26,"AAAAAH/7/2s=")</f>
        <v>#VALUE!</v>
      </c>
      <c r="DE65" t="e">
        <f>AND('UP133'!FV26,"AAAAAH/7/2w=")</f>
        <v>#VALUE!</v>
      </c>
      <c r="DF65" t="e">
        <f>AND('UP133'!FW26,"AAAAAH/7/20=")</f>
        <v>#VALUE!</v>
      </c>
      <c r="DG65" t="e">
        <f>AND('UP133'!FX26,"AAAAAH/7/24=")</f>
        <v>#VALUE!</v>
      </c>
      <c r="DH65" t="e">
        <f>AND('UP133'!FY26,"AAAAAH/7/28=")</f>
        <v>#VALUE!</v>
      </c>
      <c r="DI65" t="e">
        <f>AND('UP133'!FZ26,"AAAAAH/7/3A=")</f>
        <v>#VALUE!</v>
      </c>
      <c r="DJ65" t="e">
        <f>AND('UP133'!GA26,"AAAAAH/7/3E=")</f>
        <v>#VALUE!</v>
      </c>
      <c r="DK65" t="e">
        <f>AND('UP133'!GB26,"AAAAAH/7/3I=")</f>
        <v>#VALUE!</v>
      </c>
      <c r="DL65" t="e">
        <f>AND('UP133'!GC26,"AAAAAH/7/3M=")</f>
        <v>#VALUE!</v>
      </c>
      <c r="DM65" t="e">
        <f>AND('UP133'!GD26,"AAAAAH/7/3Q=")</f>
        <v>#VALUE!</v>
      </c>
      <c r="DN65" t="e">
        <f>AND('UP133'!GE26,"AAAAAH/7/3U=")</f>
        <v>#VALUE!</v>
      </c>
      <c r="DO65" t="e">
        <f>AND('UP133'!GF26,"AAAAAH/7/3Y=")</f>
        <v>#VALUE!</v>
      </c>
      <c r="DP65" t="e">
        <f>AND('UP133'!GG26,"AAAAAH/7/3c=")</f>
        <v>#VALUE!</v>
      </c>
      <c r="DQ65" t="e">
        <f>AND('UP133'!GH26,"AAAAAH/7/3g=")</f>
        <v>#VALUE!</v>
      </c>
      <c r="DR65" t="e">
        <f>AND('UP133'!GI26,"AAAAAH/7/3k=")</f>
        <v>#VALUE!</v>
      </c>
      <c r="DS65" t="e">
        <f>AND('UP133'!GJ26,"AAAAAH/7/3o=")</f>
        <v>#VALUE!</v>
      </c>
      <c r="DT65" t="e">
        <f>AND('UP133'!GK26,"AAAAAH/7/3s=")</f>
        <v>#VALUE!</v>
      </c>
      <c r="DU65" t="e">
        <f>AND('UP133'!GL26,"AAAAAH/7/3w=")</f>
        <v>#VALUE!</v>
      </c>
      <c r="DV65" t="e">
        <f>AND('UP133'!GM26,"AAAAAH/7/30=")</f>
        <v>#VALUE!</v>
      </c>
      <c r="DW65" t="e">
        <f>AND('UP133'!GN26,"AAAAAH/7/34=")</f>
        <v>#VALUE!</v>
      </c>
      <c r="DX65" t="e">
        <f>AND('UP133'!GO26,"AAAAAH/7/38=")</f>
        <v>#VALUE!</v>
      </c>
      <c r="DY65" t="e">
        <f>AND('UP133'!GP26,"AAAAAH/7/4A=")</f>
        <v>#VALUE!</v>
      </c>
      <c r="DZ65" t="e">
        <f>AND('UP133'!GQ26,"AAAAAH/7/4E=")</f>
        <v>#VALUE!</v>
      </c>
      <c r="EA65" t="e">
        <f>AND('UP133'!GR26,"AAAAAH/7/4I=")</f>
        <v>#VALUE!</v>
      </c>
      <c r="EB65" t="e">
        <f>AND('UP133'!GS26,"AAAAAH/7/4M=")</f>
        <v>#VALUE!</v>
      </c>
      <c r="EC65" t="e">
        <f>AND('UP133'!GT26,"AAAAAH/7/4Q=")</f>
        <v>#VALUE!</v>
      </c>
      <c r="ED65" t="e">
        <f>AND('UP133'!GU26,"AAAAAH/7/4U=")</f>
        <v>#VALUE!</v>
      </c>
      <c r="EE65" t="e">
        <f>AND('UP133'!GV26,"AAAAAH/7/4Y=")</f>
        <v>#VALUE!</v>
      </c>
      <c r="EF65" t="e">
        <f>AND('UP133'!GW26,"AAAAAH/7/4c=")</f>
        <v>#VALUE!</v>
      </c>
      <c r="EG65" t="e">
        <f>AND('UP133'!GX26,"AAAAAH/7/4g=")</f>
        <v>#VALUE!</v>
      </c>
      <c r="EH65" t="e">
        <f>AND('UP133'!GY26,"AAAAAH/7/4k=")</f>
        <v>#VALUE!</v>
      </c>
      <c r="EI65" t="e">
        <f>AND('UP133'!GZ26,"AAAAAH/7/4o=")</f>
        <v>#VALUE!</v>
      </c>
      <c r="EJ65" t="e">
        <f>AND('UP133'!HA26,"AAAAAH/7/4s=")</f>
        <v>#VALUE!</v>
      </c>
      <c r="EK65" t="e">
        <f>AND('UP133'!HB26,"AAAAAH/7/4w=")</f>
        <v>#VALUE!</v>
      </c>
      <c r="EL65" t="e">
        <f>AND('UP133'!HC26,"AAAAAH/7/40=")</f>
        <v>#VALUE!</v>
      </c>
      <c r="EM65" t="e">
        <f>AND('UP133'!HD26,"AAAAAH/7/44=")</f>
        <v>#VALUE!</v>
      </c>
      <c r="EN65" t="e">
        <f>AND('UP133'!HE26,"AAAAAH/7/48=")</f>
        <v>#VALUE!</v>
      </c>
      <c r="EO65" t="e">
        <f>AND('UP133'!HF26,"AAAAAH/7/5A=")</f>
        <v>#VALUE!</v>
      </c>
      <c r="EP65" t="e">
        <f>AND('UP133'!HG26,"AAAAAH/7/5E=")</f>
        <v>#VALUE!</v>
      </c>
      <c r="EQ65" t="e">
        <f>AND('UP133'!HH26,"AAAAAH/7/5I=")</f>
        <v>#VALUE!</v>
      </c>
      <c r="ER65" t="e">
        <f>AND('UP133'!HI26,"AAAAAH/7/5M=")</f>
        <v>#VALUE!</v>
      </c>
      <c r="ES65" t="e">
        <f>AND('UP133'!HJ26,"AAAAAH/7/5Q=")</f>
        <v>#VALUE!</v>
      </c>
      <c r="ET65" t="e">
        <f>AND('UP133'!HK26,"AAAAAH/7/5U=")</f>
        <v>#VALUE!</v>
      </c>
      <c r="EU65" t="e">
        <f>AND('UP133'!HL26,"AAAAAH/7/5Y=")</f>
        <v>#VALUE!</v>
      </c>
      <c r="EV65" t="e">
        <f>AND('UP133'!HM26,"AAAAAH/7/5c=")</f>
        <v>#VALUE!</v>
      </c>
      <c r="EW65" t="e">
        <f>AND('UP133'!HN26,"AAAAAH/7/5g=")</f>
        <v>#VALUE!</v>
      </c>
      <c r="EX65" t="e">
        <f>AND('UP133'!HO26,"AAAAAH/7/5k=")</f>
        <v>#VALUE!</v>
      </c>
      <c r="EY65" t="e">
        <f>AND('UP133'!HP26,"AAAAAH/7/5o=")</f>
        <v>#VALUE!</v>
      </c>
      <c r="EZ65" t="e">
        <f>AND('UP133'!HQ26,"AAAAAH/7/5s=")</f>
        <v>#VALUE!</v>
      </c>
      <c r="FA65" t="e">
        <f>AND('UP133'!HR26,"AAAAAH/7/5w=")</f>
        <v>#VALUE!</v>
      </c>
      <c r="FB65" t="e">
        <f>AND('UP133'!HS26,"AAAAAH/7/50=")</f>
        <v>#VALUE!</v>
      </c>
      <c r="FC65" t="e">
        <f>AND('UP133'!HT26,"AAAAAH/7/54=")</f>
        <v>#VALUE!</v>
      </c>
      <c r="FD65" t="e">
        <f>AND('UP133'!HU26,"AAAAAH/7/58=")</f>
        <v>#VALUE!</v>
      </c>
      <c r="FE65" t="e">
        <f>AND('UP133'!HV26,"AAAAAH/7/6A=")</f>
        <v>#VALUE!</v>
      </c>
      <c r="FF65" t="e">
        <f>AND('UP133'!HW26,"AAAAAH/7/6E=")</f>
        <v>#VALUE!</v>
      </c>
      <c r="FG65" t="e">
        <f>AND('UP133'!HX26,"AAAAAH/7/6I=")</f>
        <v>#VALUE!</v>
      </c>
      <c r="FH65" t="e">
        <f>AND('UP133'!HY26,"AAAAAH/7/6M=")</f>
        <v>#VALUE!</v>
      </c>
      <c r="FI65" t="e">
        <f>AND('UP133'!HZ26,"AAAAAH/7/6Q=")</f>
        <v>#VALUE!</v>
      </c>
      <c r="FJ65" t="e">
        <f>AND('UP133'!IA26,"AAAAAH/7/6U=")</f>
        <v>#VALUE!</v>
      </c>
      <c r="FK65" t="e">
        <f>AND('UP133'!IB26,"AAAAAH/7/6Y=")</f>
        <v>#VALUE!</v>
      </c>
      <c r="FL65" t="e">
        <f>AND('UP133'!IC26,"AAAAAH/7/6c=")</f>
        <v>#VALUE!</v>
      </c>
      <c r="FM65" t="e">
        <f>AND('UP133'!ID26,"AAAAAH/7/6g=")</f>
        <v>#VALUE!</v>
      </c>
      <c r="FN65" t="e">
        <f>AND('UP133'!IE26,"AAAAAH/7/6k=")</f>
        <v>#VALUE!</v>
      </c>
      <c r="FO65" t="e">
        <f>AND('UP133'!IF26,"AAAAAH/7/6o=")</f>
        <v>#VALUE!</v>
      </c>
      <c r="FP65" t="e">
        <f>AND('UP133'!IG26,"AAAAAH/7/6s=")</f>
        <v>#VALUE!</v>
      </c>
      <c r="FQ65" t="e">
        <f>AND('UP133'!IH26,"AAAAAH/7/6w=")</f>
        <v>#VALUE!</v>
      </c>
      <c r="FR65" t="e">
        <f>AND('UP133'!II26,"AAAAAH/7/60=")</f>
        <v>#VALUE!</v>
      </c>
      <c r="FS65" t="e">
        <f>AND('UP133'!IJ26,"AAAAAH/7/64=")</f>
        <v>#VALUE!</v>
      </c>
      <c r="FT65" t="e">
        <f>AND('UP133'!IK26,"AAAAAH/7/68=")</f>
        <v>#VALUE!</v>
      </c>
      <c r="FU65" t="e">
        <f>AND('UP133'!IL26,"AAAAAH/7/7A=")</f>
        <v>#VALUE!</v>
      </c>
      <c r="FV65" t="e">
        <f>AND('UP133'!IM26,"AAAAAH/7/7E=")</f>
        <v>#VALUE!</v>
      </c>
      <c r="FW65" t="e">
        <f>AND('UP133'!IN26,"AAAAAH/7/7I=")</f>
        <v>#VALUE!</v>
      </c>
      <c r="FX65" t="e">
        <f>AND('UP133'!IO26,"AAAAAH/7/7M=")</f>
        <v>#VALUE!</v>
      </c>
      <c r="FY65" t="e">
        <f>AND('UP133'!IP26,"AAAAAH/7/7Q=")</f>
        <v>#VALUE!</v>
      </c>
      <c r="FZ65" t="e">
        <f>AND('UP133'!IQ26,"AAAAAH/7/7U=")</f>
        <v>#VALUE!</v>
      </c>
      <c r="GA65">
        <f>IF('UP133'!27:27,"AAAAAH/7/7Y=",0)</f>
        <v>0</v>
      </c>
      <c r="GB65" t="e">
        <f>AND('UP133'!A27,"AAAAAH/7/7c=")</f>
        <v>#VALUE!</v>
      </c>
      <c r="GC65" t="e">
        <f>AND('UP133'!B27,"AAAAAH/7/7g=")</f>
        <v>#VALUE!</v>
      </c>
      <c r="GD65" t="e">
        <f>AND('UP133'!C27,"AAAAAH/7/7k=")</f>
        <v>#VALUE!</v>
      </c>
      <c r="GE65" t="e">
        <f>AND('UP133'!D27,"AAAAAH/7/7o=")</f>
        <v>#VALUE!</v>
      </c>
      <c r="GF65" t="e">
        <f>AND('UP133'!E27,"AAAAAH/7/7s=")</f>
        <v>#VALUE!</v>
      </c>
      <c r="GG65" t="e">
        <f>AND('UP133'!F27,"AAAAAH/7/7w=")</f>
        <v>#VALUE!</v>
      </c>
      <c r="GH65" t="e">
        <f>AND('UP133'!G27,"AAAAAH/7/70=")</f>
        <v>#VALUE!</v>
      </c>
      <c r="GI65" t="e">
        <f>AND('UP133'!H27,"AAAAAH/7/74=")</f>
        <v>#VALUE!</v>
      </c>
      <c r="GJ65" t="e">
        <f>AND('UP133'!I27,"AAAAAH/7/78=")</f>
        <v>#VALUE!</v>
      </c>
      <c r="GK65" t="e">
        <f>AND('UP133'!J27,"AAAAAH/7/8A=")</f>
        <v>#VALUE!</v>
      </c>
      <c r="GL65" t="e">
        <f>AND('UP133'!K27,"AAAAAH/7/8E=")</f>
        <v>#VALUE!</v>
      </c>
      <c r="GM65" t="e">
        <f>AND('UP133'!L27,"AAAAAH/7/8I=")</f>
        <v>#VALUE!</v>
      </c>
      <c r="GN65" t="e">
        <f>AND('UP133'!M27,"AAAAAH/7/8M=")</f>
        <v>#VALUE!</v>
      </c>
      <c r="GO65" t="e">
        <f>AND('UP133'!N27,"AAAAAH/7/8Q=")</f>
        <v>#VALUE!</v>
      </c>
      <c r="GP65" t="e">
        <f>AND('UP133'!O27,"AAAAAH/7/8U=")</f>
        <v>#VALUE!</v>
      </c>
      <c r="GQ65" t="e">
        <f>AND('UP133'!P27,"AAAAAH/7/8Y=")</f>
        <v>#VALUE!</v>
      </c>
      <c r="GR65" t="e">
        <f>AND('UP133'!Q27,"AAAAAH/7/8c=")</f>
        <v>#VALUE!</v>
      </c>
      <c r="GS65" t="e">
        <f>AND('UP133'!R27,"AAAAAH/7/8g=")</f>
        <v>#VALUE!</v>
      </c>
      <c r="GT65" t="e">
        <f>AND('UP133'!S27,"AAAAAH/7/8k=")</f>
        <v>#VALUE!</v>
      </c>
      <c r="GU65" t="e">
        <f>AND('UP133'!T27,"AAAAAH/7/8o=")</f>
        <v>#VALUE!</v>
      </c>
      <c r="GV65" t="e">
        <f>AND('UP133'!U27,"AAAAAH/7/8s=")</f>
        <v>#VALUE!</v>
      </c>
      <c r="GW65" t="e">
        <f>AND('UP133'!V27,"AAAAAH/7/8w=")</f>
        <v>#VALUE!</v>
      </c>
      <c r="GX65" t="e">
        <f>AND('UP133'!W27,"AAAAAH/7/80=")</f>
        <v>#VALUE!</v>
      </c>
      <c r="GY65" t="e">
        <f>AND('UP133'!X27,"AAAAAH/7/84=")</f>
        <v>#VALUE!</v>
      </c>
      <c r="GZ65" t="e">
        <f>AND('UP133'!Y27,"AAAAAH/7/88=")</f>
        <v>#VALUE!</v>
      </c>
      <c r="HA65" t="e">
        <f>AND('UP133'!Z27,"AAAAAH/7/9A=")</f>
        <v>#VALUE!</v>
      </c>
      <c r="HB65" t="e">
        <f>AND('UP133'!AA27,"AAAAAH/7/9E=")</f>
        <v>#VALUE!</v>
      </c>
      <c r="HC65" t="e">
        <f>AND('UP133'!AB27,"AAAAAH/7/9I=")</f>
        <v>#VALUE!</v>
      </c>
      <c r="HD65" t="e">
        <f>AND('UP133'!AC27,"AAAAAH/7/9M=")</f>
        <v>#VALUE!</v>
      </c>
      <c r="HE65" t="e">
        <f>AND('UP133'!AD27,"AAAAAH/7/9Q=")</f>
        <v>#VALUE!</v>
      </c>
      <c r="HF65" t="e">
        <f>AND('UP133'!AE27,"AAAAAH/7/9U=")</f>
        <v>#VALUE!</v>
      </c>
      <c r="HG65" t="e">
        <f>AND('UP133'!AF27,"AAAAAH/7/9Y=")</f>
        <v>#VALUE!</v>
      </c>
      <c r="HH65" t="e">
        <f>AND('UP133'!AG27,"AAAAAH/7/9c=")</f>
        <v>#VALUE!</v>
      </c>
      <c r="HI65" t="e">
        <f>AND('UP133'!AH27,"AAAAAH/7/9g=")</f>
        <v>#VALUE!</v>
      </c>
      <c r="HJ65" t="e">
        <f>AND('UP133'!AI27,"AAAAAH/7/9k=")</f>
        <v>#VALUE!</v>
      </c>
      <c r="HK65" t="e">
        <f>AND('UP133'!AJ27,"AAAAAH/7/9o=")</f>
        <v>#VALUE!</v>
      </c>
      <c r="HL65" t="e">
        <f>AND('UP133'!AK27,"AAAAAH/7/9s=")</f>
        <v>#VALUE!</v>
      </c>
      <c r="HM65" t="e">
        <f>AND('UP133'!AL27,"AAAAAH/7/9w=")</f>
        <v>#VALUE!</v>
      </c>
      <c r="HN65" t="e">
        <f>AND('UP133'!AM27,"AAAAAH/7/90=")</f>
        <v>#VALUE!</v>
      </c>
      <c r="HO65" t="e">
        <f>AND('UP133'!AN27,"AAAAAH/7/94=")</f>
        <v>#VALUE!</v>
      </c>
      <c r="HP65" t="e">
        <f>AND('UP133'!AO27,"AAAAAH/7/98=")</f>
        <v>#VALUE!</v>
      </c>
      <c r="HQ65" t="e">
        <f>AND('UP133'!AP27,"AAAAAH/7/+A=")</f>
        <v>#VALUE!</v>
      </c>
      <c r="HR65" t="e">
        <f>AND('UP133'!AQ27,"AAAAAH/7/+E=")</f>
        <v>#VALUE!</v>
      </c>
      <c r="HS65" t="e">
        <f>AND('UP133'!AR27,"AAAAAH/7/+I=")</f>
        <v>#VALUE!</v>
      </c>
      <c r="HT65" t="e">
        <f>AND('UP133'!AS27,"AAAAAH/7/+M=")</f>
        <v>#VALUE!</v>
      </c>
      <c r="HU65" t="e">
        <f>AND('UP133'!AT27,"AAAAAH/7/+Q=")</f>
        <v>#VALUE!</v>
      </c>
      <c r="HV65" t="e">
        <f>AND('UP133'!AU27,"AAAAAH/7/+U=")</f>
        <v>#VALUE!</v>
      </c>
      <c r="HW65" t="e">
        <f>AND('UP133'!AV27,"AAAAAH/7/+Y=")</f>
        <v>#VALUE!</v>
      </c>
      <c r="HX65" t="e">
        <f>AND('UP133'!AW27,"AAAAAH/7/+c=")</f>
        <v>#VALUE!</v>
      </c>
      <c r="HY65" t="e">
        <f>AND('UP133'!AX27,"AAAAAH/7/+g=")</f>
        <v>#VALUE!</v>
      </c>
      <c r="HZ65" t="e">
        <f>AND('UP133'!AY27,"AAAAAH/7/+k=")</f>
        <v>#VALUE!</v>
      </c>
      <c r="IA65" t="e">
        <f>AND('UP133'!AZ27,"AAAAAH/7/+o=")</f>
        <v>#VALUE!</v>
      </c>
      <c r="IB65" t="e">
        <f>AND('UP133'!BA27,"AAAAAH/7/+s=")</f>
        <v>#VALUE!</v>
      </c>
      <c r="IC65" t="e">
        <f>AND('UP133'!BB27,"AAAAAH/7/+w=")</f>
        <v>#VALUE!</v>
      </c>
      <c r="ID65" t="e">
        <f>AND('UP133'!BC27,"AAAAAH/7/+0=")</f>
        <v>#VALUE!</v>
      </c>
      <c r="IE65" t="e">
        <f>AND('UP133'!BD27,"AAAAAH/7/+4=")</f>
        <v>#VALUE!</v>
      </c>
      <c r="IF65" t="e">
        <f>AND('UP133'!BE27,"AAAAAH/7/+8=")</f>
        <v>#VALUE!</v>
      </c>
      <c r="IG65" t="e">
        <f>AND('UP133'!BF27,"AAAAAH/7//A=")</f>
        <v>#VALUE!</v>
      </c>
      <c r="IH65" t="e">
        <f>AND('UP133'!BG27,"AAAAAH/7//E=")</f>
        <v>#VALUE!</v>
      </c>
      <c r="II65" t="e">
        <f>AND('UP133'!BH27,"AAAAAH/7//I=")</f>
        <v>#VALUE!</v>
      </c>
      <c r="IJ65" t="e">
        <f>AND('UP133'!BI27,"AAAAAH/7//M=")</f>
        <v>#VALUE!</v>
      </c>
      <c r="IK65" t="e">
        <f>AND('UP133'!BJ27,"AAAAAH/7//Q=")</f>
        <v>#VALUE!</v>
      </c>
      <c r="IL65" t="e">
        <f>AND('UP133'!BK27,"AAAAAH/7//U=")</f>
        <v>#VALUE!</v>
      </c>
      <c r="IM65" t="e">
        <f>AND('UP133'!BL27,"AAAAAH/7//Y=")</f>
        <v>#VALUE!</v>
      </c>
      <c r="IN65" t="e">
        <f>AND('UP133'!BM27,"AAAAAH/7//c=")</f>
        <v>#VALUE!</v>
      </c>
      <c r="IO65" t="e">
        <f>AND('UP133'!BN27,"AAAAAH/7//g=")</f>
        <v>#VALUE!</v>
      </c>
      <c r="IP65" t="e">
        <f>AND('UP133'!BO27,"AAAAAH/7//k=")</f>
        <v>#VALUE!</v>
      </c>
      <c r="IQ65" t="e">
        <f>AND('UP133'!BP27,"AAAAAH/7//o=")</f>
        <v>#VALUE!</v>
      </c>
      <c r="IR65" t="e">
        <f>AND('UP133'!BQ27,"AAAAAH/7//s=")</f>
        <v>#VALUE!</v>
      </c>
      <c r="IS65" t="e">
        <f>AND('UP133'!BR27,"AAAAAH/7//w=")</f>
        <v>#VALUE!</v>
      </c>
      <c r="IT65" t="e">
        <f>AND('UP133'!BS27,"AAAAAH/7//0=")</f>
        <v>#VALUE!</v>
      </c>
      <c r="IU65" t="e">
        <f>AND('UP133'!BT27,"AAAAAH/7//4=")</f>
        <v>#VALUE!</v>
      </c>
      <c r="IV65" t="e">
        <f>AND('UP133'!BU27,"AAAAAH/7//8=")</f>
        <v>#VALUE!</v>
      </c>
    </row>
    <row r="66" spans="1:256">
      <c r="A66" t="e">
        <f>AND('UP133'!BV27,"AAAAAG//awA=")</f>
        <v>#VALUE!</v>
      </c>
      <c r="B66" t="e">
        <f>AND('UP133'!BW27,"AAAAAG//awE=")</f>
        <v>#VALUE!</v>
      </c>
      <c r="C66" t="e">
        <f>AND('UP133'!BX27,"AAAAAG//awI=")</f>
        <v>#VALUE!</v>
      </c>
      <c r="D66" t="e">
        <f>AND('UP133'!BY27,"AAAAAG//awM=")</f>
        <v>#VALUE!</v>
      </c>
      <c r="E66" t="e">
        <f>AND('UP133'!BZ27,"AAAAAG//awQ=")</f>
        <v>#VALUE!</v>
      </c>
      <c r="F66" t="e">
        <f>AND('UP133'!CA27,"AAAAAG//awU=")</f>
        <v>#VALUE!</v>
      </c>
      <c r="G66" t="e">
        <f>AND('UP133'!CB27,"AAAAAG//awY=")</f>
        <v>#VALUE!</v>
      </c>
      <c r="H66" t="e">
        <f>AND('UP133'!CC27,"AAAAAG//awc=")</f>
        <v>#VALUE!</v>
      </c>
      <c r="I66" t="e">
        <f>AND('UP133'!CD27,"AAAAAG//awg=")</f>
        <v>#VALUE!</v>
      </c>
      <c r="J66" t="e">
        <f>AND('UP133'!CE27,"AAAAAG//awk=")</f>
        <v>#VALUE!</v>
      </c>
      <c r="K66" t="e">
        <f>AND('UP133'!CF27,"AAAAAG//awo=")</f>
        <v>#VALUE!</v>
      </c>
      <c r="L66" t="e">
        <f>AND('UP133'!CG27,"AAAAAG//aws=")</f>
        <v>#VALUE!</v>
      </c>
      <c r="M66" t="e">
        <f>AND('UP133'!CH27,"AAAAAG//aww=")</f>
        <v>#VALUE!</v>
      </c>
      <c r="N66" t="e">
        <f>AND('UP133'!CI27,"AAAAAG//aw0=")</f>
        <v>#VALUE!</v>
      </c>
      <c r="O66" t="e">
        <f>AND('UP133'!CJ27,"AAAAAG//aw4=")</f>
        <v>#VALUE!</v>
      </c>
      <c r="P66" t="e">
        <f>AND('UP133'!CK27,"AAAAAG//aw8=")</f>
        <v>#VALUE!</v>
      </c>
      <c r="Q66" t="e">
        <f>AND('UP133'!CL27,"AAAAAG//axA=")</f>
        <v>#VALUE!</v>
      </c>
      <c r="R66" t="e">
        <f>AND('UP133'!CM27,"AAAAAG//axE=")</f>
        <v>#VALUE!</v>
      </c>
      <c r="S66" t="e">
        <f>AND('UP133'!CN27,"AAAAAG//axI=")</f>
        <v>#VALUE!</v>
      </c>
      <c r="T66" t="e">
        <f>AND('UP133'!CO27,"AAAAAG//axM=")</f>
        <v>#VALUE!</v>
      </c>
      <c r="U66" t="e">
        <f>AND('UP133'!CP27,"AAAAAG//axQ=")</f>
        <v>#VALUE!</v>
      </c>
      <c r="V66" t="e">
        <f>AND('UP133'!CQ27,"AAAAAG//axU=")</f>
        <v>#VALUE!</v>
      </c>
      <c r="W66" t="e">
        <f>AND('UP133'!CR27,"AAAAAG//axY=")</f>
        <v>#VALUE!</v>
      </c>
      <c r="X66" t="e">
        <f>AND('UP133'!CS27,"AAAAAG//axc=")</f>
        <v>#VALUE!</v>
      </c>
      <c r="Y66" t="e">
        <f>AND('UP133'!CT27,"AAAAAG//axg=")</f>
        <v>#VALUE!</v>
      </c>
      <c r="Z66" t="e">
        <f>AND('UP133'!CU27,"AAAAAG//axk=")</f>
        <v>#VALUE!</v>
      </c>
      <c r="AA66" t="e">
        <f>AND('UP133'!CV27,"AAAAAG//axo=")</f>
        <v>#VALUE!</v>
      </c>
      <c r="AB66" t="e">
        <f>AND('UP133'!CW27,"AAAAAG//axs=")</f>
        <v>#VALUE!</v>
      </c>
      <c r="AC66" t="e">
        <f>AND('UP133'!CX27,"AAAAAG//axw=")</f>
        <v>#VALUE!</v>
      </c>
      <c r="AD66" t="e">
        <f>AND('UP133'!CY27,"AAAAAG//ax0=")</f>
        <v>#VALUE!</v>
      </c>
      <c r="AE66" t="e">
        <f>AND('UP133'!CZ27,"AAAAAG//ax4=")</f>
        <v>#VALUE!</v>
      </c>
      <c r="AF66" t="e">
        <f>AND('UP133'!DA27,"AAAAAG//ax8=")</f>
        <v>#VALUE!</v>
      </c>
      <c r="AG66" t="e">
        <f>AND('UP133'!DB27,"AAAAAG//ayA=")</f>
        <v>#VALUE!</v>
      </c>
      <c r="AH66" t="e">
        <f>AND('UP133'!DC27,"AAAAAG//ayE=")</f>
        <v>#VALUE!</v>
      </c>
      <c r="AI66" t="e">
        <f>AND('UP133'!DD27,"AAAAAG//ayI=")</f>
        <v>#VALUE!</v>
      </c>
      <c r="AJ66" t="e">
        <f>AND('UP133'!DE27,"AAAAAG//ayM=")</f>
        <v>#VALUE!</v>
      </c>
      <c r="AK66" t="e">
        <f>AND('UP133'!DF27,"AAAAAG//ayQ=")</f>
        <v>#VALUE!</v>
      </c>
      <c r="AL66" t="e">
        <f>AND('UP133'!DG27,"AAAAAG//ayU=")</f>
        <v>#VALUE!</v>
      </c>
      <c r="AM66" t="e">
        <f>AND('UP133'!DH27,"AAAAAG//ayY=")</f>
        <v>#VALUE!</v>
      </c>
      <c r="AN66" t="e">
        <f>AND('UP133'!DI27,"AAAAAG//ayc=")</f>
        <v>#VALUE!</v>
      </c>
      <c r="AO66" t="e">
        <f>AND('UP133'!DJ27,"AAAAAG//ayg=")</f>
        <v>#VALUE!</v>
      </c>
      <c r="AP66" t="e">
        <f>AND('UP133'!DK27,"AAAAAG//ayk=")</f>
        <v>#VALUE!</v>
      </c>
      <c r="AQ66" t="e">
        <f>AND('UP133'!DL27,"AAAAAG//ayo=")</f>
        <v>#VALUE!</v>
      </c>
      <c r="AR66" t="e">
        <f>AND('UP133'!DM27,"AAAAAG//ays=")</f>
        <v>#VALUE!</v>
      </c>
      <c r="AS66" t="e">
        <f>AND('UP133'!DN27,"AAAAAG//ayw=")</f>
        <v>#VALUE!</v>
      </c>
      <c r="AT66" t="e">
        <f>AND('UP133'!DO27,"AAAAAG//ay0=")</f>
        <v>#VALUE!</v>
      </c>
      <c r="AU66" t="e">
        <f>AND('UP133'!DP27,"AAAAAG//ay4=")</f>
        <v>#VALUE!</v>
      </c>
      <c r="AV66" t="e">
        <f>AND('UP133'!DQ27,"AAAAAG//ay8=")</f>
        <v>#VALUE!</v>
      </c>
      <c r="AW66" t="e">
        <f>AND('UP133'!DR27,"AAAAAG//azA=")</f>
        <v>#VALUE!</v>
      </c>
      <c r="AX66" t="e">
        <f>AND('UP133'!DS27,"AAAAAG//azE=")</f>
        <v>#VALUE!</v>
      </c>
      <c r="AY66" t="e">
        <f>AND('UP133'!DT27,"AAAAAG//azI=")</f>
        <v>#VALUE!</v>
      </c>
      <c r="AZ66" t="e">
        <f>AND('UP133'!DU27,"AAAAAG//azM=")</f>
        <v>#VALUE!</v>
      </c>
      <c r="BA66" t="e">
        <f>AND('UP133'!DV27,"AAAAAG//azQ=")</f>
        <v>#VALUE!</v>
      </c>
      <c r="BB66" t="e">
        <f>AND('UP133'!DW27,"AAAAAG//azU=")</f>
        <v>#VALUE!</v>
      </c>
      <c r="BC66" t="e">
        <f>AND('UP133'!DX27,"AAAAAG//azY=")</f>
        <v>#VALUE!</v>
      </c>
      <c r="BD66" t="e">
        <f>AND('UP133'!DY27,"AAAAAG//azc=")</f>
        <v>#VALUE!</v>
      </c>
      <c r="BE66" t="e">
        <f>AND('UP133'!DZ27,"AAAAAG//azg=")</f>
        <v>#VALUE!</v>
      </c>
      <c r="BF66" t="e">
        <f>AND('UP133'!EA27,"AAAAAG//azk=")</f>
        <v>#VALUE!</v>
      </c>
      <c r="BG66" t="e">
        <f>AND('UP133'!EB27,"AAAAAG//azo=")</f>
        <v>#VALUE!</v>
      </c>
      <c r="BH66" t="e">
        <f>AND('UP133'!EC27,"AAAAAG//azs=")</f>
        <v>#VALUE!</v>
      </c>
      <c r="BI66" t="e">
        <f>AND('UP133'!ED27,"AAAAAG//azw=")</f>
        <v>#VALUE!</v>
      </c>
      <c r="BJ66" t="e">
        <f>AND('UP133'!EE27,"AAAAAG//az0=")</f>
        <v>#VALUE!</v>
      </c>
      <c r="BK66" t="e">
        <f>AND('UP133'!EF27,"AAAAAG//az4=")</f>
        <v>#VALUE!</v>
      </c>
      <c r="BL66" t="e">
        <f>AND('UP133'!EG27,"AAAAAG//az8=")</f>
        <v>#VALUE!</v>
      </c>
      <c r="BM66" t="e">
        <f>AND('UP133'!EH27,"AAAAAG//a0A=")</f>
        <v>#VALUE!</v>
      </c>
      <c r="BN66" t="e">
        <f>AND('UP133'!EI27,"AAAAAG//a0E=")</f>
        <v>#VALUE!</v>
      </c>
      <c r="BO66" t="e">
        <f>AND('UP133'!EJ27,"AAAAAG//a0I=")</f>
        <v>#VALUE!</v>
      </c>
      <c r="BP66" t="e">
        <f>AND('UP133'!EK27,"AAAAAG//a0M=")</f>
        <v>#VALUE!</v>
      </c>
      <c r="BQ66" t="e">
        <f>AND('UP133'!EL27,"AAAAAG//a0Q=")</f>
        <v>#VALUE!</v>
      </c>
      <c r="BR66" t="e">
        <f>AND('UP133'!EM27,"AAAAAG//a0U=")</f>
        <v>#VALUE!</v>
      </c>
      <c r="BS66" t="e">
        <f>AND('UP133'!EN27,"AAAAAG//a0Y=")</f>
        <v>#VALUE!</v>
      </c>
      <c r="BT66" t="e">
        <f>AND('UP133'!EO27,"AAAAAG//a0c=")</f>
        <v>#VALUE!</v>
      </c>
      <c r="BU66" t="e">
        <f>AND('UP133'!EP27,"AAAAAG//a0g=")</f>
        <v>#VALUE!</v>
      </c>
      <c r="BV66" t="e">
        <f>AND('UP133'!EQ27,"AAAAAG//a0k=")</f>
        <v>#VALUE!</v>
      </c>
      <c r="BW66" t="e">
        <f>AND('UP133'!ER27,"AAAAAG//a0o=")</f>
        <v>#VALUE!</v>
      </c>
      <c r="BX66" t="e">
        <f>AND('UP133'!ES27,"AAAAAG//a0s=")</f>
        <v>#VALUE!</v>
      </c>
      <c r="BY66" t="e">
        <f>AND('UP133'!ET27,"AAAAAG//a0w=")</f>
        <v>#VALUE!</v>
      </c>
      <c r="BZ66" t="e">
        <f>AND('UP133'!EU27,"AAAAAG//a00=")</f>
        <v>#VALUE!</v>
      </c>
      <c r="CA66" t="e">
        <f>AND('UP133'!EV27,"AAAAAG//a04=")</f>
        <v>#VALUE!</v>
      </c>
      <c r="CB66" t="e">
        <f>AND('UP133'!EW27,"AAAAAG//a08=")</f>
        <v>#VALUE!</v>
      </c>
      <c r="CC66" t="e">
        <f>AND('UP133'!EX27,"AAAAAG//a1A=")</f>
        <v>#VALUE!</v>
      </c>
      <c r="CD66" t="e">
        <f>AND('UP133'!EY27,"AAAAAG//a1E=")</f>
        <v>#VALUE!</v>
      </c>
      <c r="CE66" t="e">
        <f>AND('UP133'!EZ27,"AAAAAG//a1I=")</f>
        <v>#VALUE!</v>
      </c>
      <c r="CF66" t="e">
        <f>AND('UP133'!FA27,"AAAAAG//a1M=")</f>
        <v>#VALUE!</v>
      </c>
      <c r="CG66" t="e">
        <f>AND('UP133'!FB27,"AAAAAG//a1Q=")</f>
        <v>#VALUE!</v>
      </c>
      <c r="CH66" t="e">
        <f>AND('UP133'!FC27,"AAAAAG//a1U=")</f>
        <v>#VALUE!</v>
      </c>
      <c r="CI66" t="e">
        <f>AND('UP133'!FD27,"AAAAAG//a1Y=")</f>
        <v>#VALUE!</v>
      </c>
      <c r="CJ66" t="e">
        <f>AND('UP133'!FE27,"AAAAAG//a1c=")</f>
        <v>#VALUE!</v>
      </c>
      <c r="CK66" t="e">
        <f>AND('UP133'!FF27,"AAAAAG//a1g=")</f>
        <v>#VALUE!</v>
      </c>
      <c r="CL66" t="e">
        <f>AND('UP133'!FG27,"AAAAAG//a1k=")</f>
        <v>#VALUE!</v>
      </c>
      <c r="CM66" t="e">
        <f>AND('UP133'!FH27,"AAAAAG//a1o=")</f>
        <v>#VALUE!</v>
      </c>
      <c r="CN66" t="e">
        <f>AND('UP133'!FI27,"AAAAAG//a1s=")</f>
        <v>#VALUE!</v>
      </c>
      <c r="CO66" t="e">
        <f>AND('UP133'!FJ27,"AAAAAG//a1w=")</f>
        <v>#VALUE!</v>
      </c>
      <c r="CP66" t="e">
        <f>AND('UP133'!FK27,"AAAAAG//a10=")</f>
        <v>#VALUE!</v>
      </c>
      <c r="CQ66" t="e">
        <f>AND('UP133'!FL27,"AAAAAG//a14=")</f>
        <v>#VALUE!</v>
      </c>
      <c r="CR66" t="e">
        <f>AND('UP133'!FM27,"AAAAAG//a18=")</f>
        <v>#VALUE!</v>
      </c>
      <c r="CS66" t="e">
        <f>AND('UP133'!FN27,"AAAAAG//a2A=")</f>
        <v>#VALUE!</v>
      </c>
      <c r="CT66" t="e">
        <f>AND('UP133'!FO27,"AAAAAG//a2E=")</f>
        <v>#VALUE!</v>
      </c>
      <c r="CU66" t="e">
        <f>AND('UP133'!FP27,"AAAAAG//a2I=")</f>
        <v>#VALUE!</v>
      </c>
      <c r="CV66" t="e">
        <f>AND('UP133'!FQ27,"AAAAAG//a2M=")</f>
        <v>#VALUE!</v>
      </c>
      <c r="CW66" t="e">
        <f>AND('UP133'!FR27,"AAAAAG//a2Q=")</f>
        <v>#VALUE!</v>
      </c>
      <c r="CX66" t="e">
        <f>AND('UP133'!FS27,"AAAAAG//a2U=")</f>
        <v>#VALUE!</v>
      </c>
      <c r="CY66" t="e">
        <f>AND('UP133'!FT27,"AAAAAG//a2Y=")</f>
        <v>#VALUE!</v>
      </c>
      <c r="CZ66" t="e">
        <f>AND('UP133'!FU27,"AAAAAG//a2c=")</f>
        <v>#VALUE!</v>
      </c>
      <c r="DA66" t="e">
        <f>AND('UP133'!FV27,"AAAAAG//a2g=")</f>
        <v>#VALUE!</v>
      </c>
      <c r="DB66" t="e">
        <f>AND('UP133'!FW27,"AAAAAG//a2k=")</f>
        <v>#VALUE!</v>
      </c>
      <c r="DC66" t="e">
        <f>AND('UP133'!FX27,"AAAAAG//a2o=")</f>
        <v>#VALUE!</v>
      </c>
      <c r="DD66" t="e">
        <f>AND('UP133'!FY27,"AAAAAG//a2s=")</f>
        <v>#VALUE!</v>
      </c>
      <c r="DE66" t="e">
        <f>AND('UP133'!FZ27,"AAAAAG//a2w=")</f>
        <v>#VALUE!</v>
      </c>
      <c r="DF66" t="e">
        <f>AND('UP133'!GA27,"AAAAAG//a20=")</f>
        <v>#VALUE!</v>
      </c>
      <c r="DG66" t="e">
        <f>AND('UP133'!GB27,"AAAAAG//a24=")</f>
        <v>#VALUE!</v>
      </c>
      <c r="DH66" t="e">
        <f>AND('UP133'!GC27,"AAAAAG//a28=")</f>
        <v>#VALUE!</v>
      </c>
      <c r="DI66" t="e">
        <f>AND('UP133'!GD27,"AAAAAG//a3A=")</f>
        <v>#VALUE!</v>
      </c>
      <c r="DJ66" t="e">
        <f>AND('UP133'!GE27,"AAAAAG//a3E=")</f>
        <v>#VALUE!</v>
      </c>
      <c r="DK66" t="e">
        <f>AND('UP133'!GF27,"AAAAAG//a3I=")</f>
        <v>#VALUE!</v>
      </c>
      <c r="DL66" t="e">
        <f>AND('UP133'!GG27,"AAAAAG//a3M=")</f>
        <v>#VALUE!</v>
      </c>
      <c r="DM66" t="e">
        <f>AND('UP133'!GH27,"AAAAAG//a3Q=")</f>
        <v>#VALUE!</v>
      </c>
      <c r="DN66" t="e">
        <f>AND('UP133'!GI27,"AAAAAG//a3U=")</f>
        <v>#VALUE!</v>
      </c>
      <c r="DO66" t="e">
        <f>AND('UP133'!GJ27,"AAAAAG//a3Y=")</f>
        <v>#VALUE!</v>
      </c>
      <c r="DP66" t="e">
        <f>AND('UP133'!GK27,"AAAAAG//a3c=")</f>
        <v>#VALUE!</v>
      </c>
      <c r="DQ66" t="e">
        <f>AND('UP133'!GL27,"AAAAAG//a3g=")</f>
        <v>#VALUE!</v>
      </c>
      <c r="DR66" t="e">
        <f>AND('UP133'!GM27,"AAAAAG//a3k=")</f>
        <v>#VALUE!</v>
      </c>
      <c r="DS66" t="e">
        <f>AND('UP133'!GN27,"AAAAAG//a3o=")</f>
        <v>#VALUE!</v>
      </c>
      <c r="DT66" t="e">
        <f>AND('UP133'!GO27,"AAAAAG//a3s=")</f>
        <v>#VALUE!</v>
      </c>
      <c r="DU66" t="e">
        <f>AND('UP133'!GP27,"AAAAAG//a3w=")</f>
        <v>#VALUE!</v>
      </c>
      <c r="DV66" t="e">
        <f>AND('UP133'!GQ27,"AAAAAG//a30=")</f>
        <v>#VALUE!</v>
      </c>
      <c r="DW66" t="e">
        <f>AND('UP133'!GR27,"AAAAAG//a34=")</f>
        <v>#VALUE!</v>
      </c>
      <c r="DX66" t="e">
        <f>AND('UP133'!GS27,"AAAAAG//a38=")</f>
        <v>#VALUE!</v>
      </c>
      <c r="DY66" t="e">
        <f>AND('UP133'!GT27,"AAAAAG//a4A=")</f>
        <v>#VALUE!</v>
      </c>
      <c r="DZ66" t="e">
        <f>AND('UP133'!GU27,"AAAAAG//a4E=")</f>
        <v>#VALUE!</v>
      </c>
      <c r="EA66" t="e">
        <f>AND('UP133'!GV27,"AAAAAG//a4I=")</f>
        <v>#VALUE!</v>
      </c>
      <c r="EB66" t="e">
        <f>AND('UP133'!GW27,"AAAAAG//a4M=")</f>
        <v>#VALUE!</v>
      </c>
      <c r="EC66" t="e">
        <f>AND('UP133'!GX27,"AAAAAG//a4Q=")</f>
        <v>#VALUE!</v>
      </c>
      <c r="ED66" t="e">
        <f>AND('UP133'!GY27,"AAAAAG//a4U=")</f>
        <v>#VALUE!</v>
      </c>
      <c r="EE66" t="e">
        <f>AND('UP133'!GZ27,"AAAAAG//a4Y=")</f>
        <v>#VALUE!</v>
      </c>
      <c r="EF66" t="e">
        <f>AND('UP133'!HA27,"AAAAAG//a4c=")</f>
        <v>#VALUE!</v>
      </c>
      <c r="EG66" t="e">
        <f>AND('UP133'!HB27,"AAAAAG//a4g=")</f>
        <v>#VALUE!</v>
      </c>
      <c r="EH66" t="e">
        <f>AND('UP133'!HC27,"AAAAAG//a4k=")</f>
        <v>#VALUE!</v>
      </c>
      <c r="EI66" t="e">
        <f>AND('UP133'!HD27,"AAAAAG//a4o=")</f>
        <v>#VALUE!</v>
      </c>
      <c r="EJ66" t="e">
        <f>AND('UP133'!HE27,"AAAAAG//a4s=")</f>
        <v>#VALUE!</v>
      </c>
      <c r="EK66" t="e">
        <f>AND('UP133'!HF27,"AAAAAG//a4w=")</f>
        <v>#VALUE!</v>
      </c>
      <c r="EL66" t="e">
        <f>AND('UP133'!HG27,"AAAAAG//a40=")</f>
        <v>#VALUE!</v>
      </c>
      <c r="EM66" t="e">
        <f>AND('UP133'!HH27,"AAAAAG//a44=")</f>
        <v>#VALUE!</v>
      </c>
      <c r="EN66" t="e">
        <f>AND('UP133'!HI27,"AAAAAG//a48=")</f>
        <v>#VALUE!</v>
      </c>
      <c r="EO66" t="e">
        <f>AND('UP133'!HJ27,"AAAAAG//a5A=")</f>
        <v>#VALUE!</v>
      </c>
      <c r="EP66" t="e">
        <f>AND('UP133'!HK27,"AAAAAG//a5E=")</f>
        <v>#VALUE!</v>
      </c>
      <c r="EQ66" t="e">
        <f>AND('UP133'!HL27,"AAAAAG//a5I=")</f>
        <v>#VALUE!</v>
      </c>
      <c r="ER66" t="e">
        <f>AND('UP133'!HM27,"AAAAAG//a5M=")</f>
        <v>#VALUE!</v>
      </c>
      <c r="ES66" t="e">
        <f>AND('UP133'!HN27,"AAAAAG//a5Q=")</f>
        <v>#VALUE!</v>
      </c>
      <c r="ET66" t="e">
        <f>AND('UP133'!HO27,"AAAAAG//a5U=")</f>
        <v>#VALUE!</v>
      </c>
      <c r="EU66" t="e">
        <f>AND('UP133'!HP27,"AAAAAG//a5Y=")</f>
        <v>#VALUE!</v>
      </c>
      <c r="EV66" t="e">
        <f>AND('UP133'!HQ27,"AAAAAG//a5c=")</f>
        <v>#VALUE!</v>
      </c>
      <c r="EW66" t="e">
        <f>AND('UP133'!HR27,"AAAAAG//a5g=")</f>
        <v>#VALUE!</v>
      </c>
      <c r="EX66" t="e">
        <f>AND('UP133'!HS27,"AAAAAG//a5k=")</f>
        <v>#VALUE!</v>
      </c>
      <c r="EY66" t="e">
        <f>AND('UP133'!HT27,"AAAAAG//a5o=")</f>
        <v>#VALUE!</v>
      </c>
      <c r="EZ66" t="e">
        <f>AND('UP133'!HU27,"AAAAAG//a5s=")</f>
        <v>#VALUE!</v>
      </c>
      <c r="FA66" t="e">
        <f>AND('UP133'!HV27,"AAAAAG//a5w=")</f>
        <v>#VALUE!</v>
      </c>
      <c r="FB66" t="e">
        <f>AND('UP133'!HW27,"AAAAAG//a50=")</f>
        <v>#VALUE!</v>
      </c>
      <c r="FC66" t="e">
        <f>AND('UP133'!HX27,"AAAAAG//a54=")</f>
        <v>#VALUE!</v>
      </c>
      <c r="FD66" t="e">
        <f>AND('UP133'!HY27,"AAAAAG//a58=")</f>
        <v>#VALUE!</v>
      </c>
      <c r="FE66" t="e">
        <f>AND('UP133'!HZ27,"AAAAAG//a6A=")</f>
        <v>#VALUE!</v>
      </c>
      <c r="FF66" t="e">
        <f>AND('UP133'!IA27,"AAAAAG//a6E=")</f>
        <v>#VALUE!</v>
      </c>
      <c r="FG66" t="e">
        <f>AND('UP133'!IB27,"AAAAAG//a6I=")</f>
        <v>#VALUE!</v>
      </c>
      <c r="FH66" t="e">
        <f>AND('UP133'!IC27,"AAAAAG//a6M=")</f>
        <v>#VALUE!</v>
      </c>
      <c r="FI66" t="e">
        <f>AND('UP133'!ID27,"AAAAAG//a6Q=")</f>
        <v>#VALUE!</v>
      </c>
      <c r="FJ66" t="e">
        <f>AND('UP133'!IE27,"AAAAAG//a6U=")</f>
        <v>#VALUE!</v>
      </c>
      <c r="FK66" t="e">
        <f>AND('UP133'!IF27,"AAAAAG//a6Y=")</f>
        <v>#VALUE!</v>
      </c>
      <c r="FL66" t="e">
        <f>AND('UP133'!IG27,"AAAAAG//a6c=")</f>
        <v>#VALUE!</v>
      </c>
      <c r="FM66" t="e">
        <f>AND('UP133'!IH27,"AAAAAG//a6g=")</f>
        <v>#VALUE!</v>
      </c>
      <c r="FN66" t="e">
        <f>AND('UP133'!II27,"AAAAAG//a6k=")</f>
        <v>#VALUE!</v>
      </c>
      <c r="FO66" t="e">
        <f>AND('UP133'!IJ27,"AAAAAG//a6o=")</f>
        <v>#VALUE!</v>
      </c>
      <c r="FP66" t="e">
        <f>AND('UP133'!IK27,"AAAAAG//a6s=")</f>
        <v>#VALUE!</v>
      </c>
      <c r="FQ66" t="e">
        <f>AND('UP133'!IL27,"AAAAAG//a6w=")</f>
        <v>#VALUE!</v>
      </c>
      <c r="FR66" t="e">
        <f>AND('UP133'!IM27,"AAAAAG//a60=")</f>
        <v>#VALUE!</v>
      </c>
      <c r="FS66" t="e">
        <f>AND('UP133'!IN27,"AAAAAG//a64=")</f>
        <v>#VALUE!</v>
      </c>
      <c r="FT66" t="e">
        <f>AND('UP133'!IO27,"AAAAAG//a68=")</f>
        <v>#VALUE!</v>
      </c>
      <c r="FU66" t="e">
        <f>AND('UP133'!IP27,"AAAAAG//a7A=")</f>
        <v>#VALUE!</v>
      </c>
      <c r="FV66" t="e">
        <f>AND('UP133'!IQ27,"AAAAAG//a7E=")</f>
        <v>#VALUE!</v>
      </c>
      <c r="FW66">
        <f>IF('UP133'!28:28,"AAAAAG//a7I=",0)</f>
        <v>0</v>
      </c>
      <c r="FX66" t="e">
        <f>AND('UP133'!A28,"AAAAAG//a7M=")</f>
        <v>#VALUE!</v>
      </c>
      <c r="FY66" t="e">
        <f>AND('UP133'!B28,"AAAAAG//a7Q=")</f>
        <v>#VALUE!</v>
      </c>
      <c r="FZ66" t="e">
        <f>AND('UP133'!C28,"AAAAAG//a7U=")</f>
        <v>#VALUE!</v>
      </c>
      <c r="GA66" t="e">
        <f>AND('UP133'!D28,"AAAAAG//a7Y=")</f>
        <v>#VALUE!</v>
      </c>
      <c r="GB66" t="e">
        <f>AND('UP133'!E28,"AAAAAG//a7c=")</f>
        <v>#VALUE!</v>
      </c>
      <c r="GC66" t="e">
        <f>AND('UP133'!F28,"AAAAAG//a7g=")</f>
        <v>#VALUE!</v>
      </c>
      <c r="GD66" t="e">
        <f>AND('UP133'!G28,"AAAAAG//a7k=")</f>
        <v>#VALUE!</v>
      </c>
      <c r="GE66" t="e">
        <f>AND('UP133'!H28,"AAAAAG//a7o=")</f>
        <v>#VALUE!</v>
      </c>
      <c r="GF66" t="e">
        <f>AND('UP133'!I28,"AAAAAG//a7s=")</f>
        <v>#VALUE!</v>
      </c>
      <c r="GG66" t="e">
        <f>AND('UP133'!J28,"AAAAAG//a7w=")</f>
        <v>#VALUE!</v>
      </c>
      <c r="GH66" t="e">
        <f>AND('UP133'!K28,"AAAAAG//a70=")</f>
        <v>#VALUE!</v>
      </c>
      <c r="GI66" t="e">
        <f>AND('UP133'!L28,"AAAAAG//a74=")</f>
        <v>#VALUE!</v>
      </c>
      <c r="GJ66" t="e">
        <f>AND('UP133'!M28,"AAAAAG//a78=")</f>
        <v>#VALUE!</v>
      </c>
      <c r="GK66" t="e">
        <f>AND('UP133'!N28,"AAAAAG//a8A=")</f>
        <v>#VALUE!</v>
      </c>
      <c r="GL66" t="e">
        <f>AND('UP133'!O28,"AAAAAG//a8E=")</f>
        <v>#VALUE!</v>
      </c>
      <c r="GM66" t="e">
        <f>AND('UP133'!P28,"AAAAAG//a8I=")</f>
        <v>#VALUE!</v>
      </c>
      <c r="GN66" t="e">
        <f>AND('UP133'!Q28,"AAAAAG//a8M=")</f>
        <v>#VALUE!</v>
      </c>
      <c r="GO66" t="e">
        <f>AND('UP133'!R28,"AAAAAG//a8Q=")</f>
        <v>#VALUE!</v>
      </c>
      <c r="GP66" t="e">
        <f>AND('UP133'!S28,"AAAAAG//a8U=")</f>
        <v>#VALUE!</v>
      </c>
      <c r="GQ66" t="e">
        <f>AND('UP133'!T28,"AAAAAG//a8Y=")</f>
        <v>#VALUE!</v>
      </c>
      <c r="GR66" t="e">
        <f>AND('UP133'!U28,"AAAAAG//a8c=")</f>
        <v>#VALUE!</v>
      </c>
      <c r="GS66" t="e">
        <f>AND('UP133'!V28,"AAAAAG//a8g=")</f>
        <v>#VALUE!</v>
      </c>
      <c r="GT66" t="e">
        <f>AND('UP133'!W28,"AAAAAG//a8k=")</f>
        <v>#VALUE!</v>
      </c>
      <c r="GU66" t="e">
        <f>AND('UP133'!X28,"AAAAAG//a8o=")</f>
        <v>#VALUE!</v>
      </c>
      <c r="GV66" t="e">
        <f>AND('UP133'!Y28,"AAAAAG//a8s=")</f>
        <v>#VALUE!</v>
      </c>
      <c r="GW66" t="e">
        <f>AND('UP133'!Z28,"AAAAAG//a8w=")</f>
        <v>#VALUE!</v>
      </c>
      <c r="GX66" t="e">
        <f>AND('UP133'!AA28,"AAAAAG//a80=")</f>
        <v>#VALUE!</v>
      </c>
      <c r="GY66" t="e">
        <f>AND('UP133'!AB28,"AAAAAG//a84=")</f>
        <v>#VALUE!</v>
      </c>
      <c r="GZ66" t="e">
        <f>AND('UP133'!AC28,"AAAAAG//a88=")</f>
        <v>#VALUE!</v>
      </c>
      <c r="HA66" t="e">
        <f>AND('UP133'!AD28,"AAAAAG//a9A=")</f>
        <v>#VALUE!</v>
      </c>
      <c r="HB66" t="e">
        <f>AND('UP133'!AE28,"AAAAAG//a9E=")</f>
        <v>#VALUE!</v>
      </c>
      <c r="HC66" t="e">
        <f>AND('UP133'!AF28,"AAAAAG//a9I=")</f>
        <v>#VALUE!</v>
      </c>
      <c r="HD66" t="e">
        <f>AND('UP133'!AG28,"AAAAAG//a9M=")</f>
        <v>#VALUE!</v>
      </c>
      <c r="HE66" t="e">
        <f>AND('UP133'!AH28,"AAAAAG//a9Q=")</f>
        <v>#VALUE!</v>
      </c>
      <c r="HF66" t="e">
        <f>AND('UP133'!AI28,"AAAAAG//a9U=")</f>
        <v>#VALUE!</v>
      </c>
      <c r="HG66" t="e">
        <f>AND('UP133'!AJ28,"AAAAAG//a9Y=")</f>
        <v>#VALUE!</v>
      </c>
      <c r="HH66" t="e">
        <f>AND('UP133'!AK28,"AAAAAG//a9c=")</f>
        <v>#VALUE!</v>
      </c>
      <c r="HI66" t="e">
        <f>AND('UP133'!AL28,"AAAAAG//a9g=")</f>
        <v>#VALUE!</v>
      </c>
      <c r="HJ66" t="e">
        <f>AND('UP133'!AM28,"AAAAAG//a9k=")</f>
        <v>#VALUE!</v>
      </c>
      <c r="HK66" t="e">
        <f>AND('UP133'!AN28,"AAAAAG//a9o=")</f>
        <v>#VALUE!</v>
      </c>
      <c r="HL66" t="e">
        <f>AND('UP133'!AO28,"AAAAAG//a9s=")</f>
        <v>#VALUE!</v>
      </c>
      <c r="HM66" t="e">
        <f>AND('UP133'!AP28,"AAAAAG//a9w=")</f>
        <v>#VALUE!</v>
      </c>
      <c r="HN66" t="e">
        <f>AND('UP133'!AQ28,"AAAAAG//a90=")</f>
        <v>#VALUE!</v>
      </c>
      <c r="HO66" t="e">
        <f>AND('UP133'!AR28,"AAAAAG//a94=")</f>
        <v>#VALUE!</v>
      </c>
      <c r="HP66" t="e">
        <f>AND('UP133'!AS28,"AAAAAG//a98=")</f>
        <v>#VALUE!</v>
      </c>
      <c r="HQ66" t="e">
        <f>AND('UP133'!AT28,"AAAAAG//a+A=")</f>
        <v>#VALUE!</v>
      </c>
      <c r="HR66" t="e">
        <f>AND('UP133'!AU28,"AAAAAG//a+E=")</f>
        <v>#VALUE!</v>
      </c>
      <c r="HS66" t="e">
        <f>AND('UP133'!AV28,"AAAAAG//a+I=")</f>
        <v>#VALUE!</v>
      </c>
      <c r="HT66" t="e">
        <f>AND('UP133'!AW28,"AAAAAG//a+M=")</f>
        <v>#VALUE!</v>
      </c>
      <c r="HU66" t="e">
        <f>AND('UP133'!AX28,"AAAAAG//a+Q=")</f>
        <v>#VALUE!</v>
      </c>
      <c r="HV66" t="e">
        <f>AND('UP133'!AY28,"AAAAAG//a+U=")</f>
        <v>#VALUE!</v>
      </c>
      <c r="HW66" t="e">
        <f>AND('UP133'!AZ28,"AAAAAG//a+Y=")</f>
        <v>#VALUE!</v>
      </c>
      <c r="HX66" t="e">
        <f>AND('UP133'!BA28,"AAAAAG//a+c=")</f>
        <v>#VALUE!</v>
      </c>
      <c r="HY66" t="e">
        <f>AND('UP133'!BB28,"AAAAAG//a+g=")</f>
        <v>#VALUE!</v>
      </c>
      <c r="HZ66" t="e">
        <f>AND('UP133'!BC28,"AAAAAG//a+k=")</f>
        <v>#VALUE!</v>
      </c>
      <c r="IA66" t="e">
        <f>AND('UP133'!BD28,"AAAAAG//a+o=")</f>
        <v>#VALUE!</v>
      </c>
      <c r="IB66" t="e">
        <f>AND('UP133'!BE28,"AAAAAG//a+s=")</f>
        <v>#VALUE!</v>
      </c>
      <c r="IC66" t="e">
        <f>AND('UP133'!BF28,"AAAAAG//a+w=")</f>
        <v>#VALUE!</v>
      </c>
      <c r="ID66" t="e">
        <f>AND('UP133'!BG28,"AAAAAG//a+0=")</f>
        <v>#VALUE!</v>
      </c>
      <c r="IE66" t="e">
        <f>AND('UP133'!BH28,"AAAAAG//a+4=")</f>
        <v>#VALUE!</v>
      </c>
      <c r="IF66" t="e">
        <f>AND('UP133'!BI28,"AAAAAG//a+8=")</f>
        <v>#VALUE!</v>
      </c>
      <c r="IG66" t="e">
        <f>AND('UP133'!BJ28,"AAAAAG//a/A=")</f>
        <v>#VALUE!</v>
      </c>
      <c r="IH66" t="e">
        <f>AND('UP133'!BK28,"AAAAAG//a/E=")</f>
        <v>#VALUE!</v>
      </c>
      <c r="II66" t="e">
        <f>AND('UP133'!BL28,"AAAAAG//a/I=")</f>
        <v>#VALUE!</v>
      </c>
      <c r="IJ66" t="e">
        <f>AND('UP133'!BM28,"AAAAAG//a/M=")</f>
        <v>#VALUE!</v>
      </c>
      <c r="IK66" t="e">
        <f>AND('UP133'!BN28,"AAAAAG//a/Q=")</f>
        <v>#VALUE!</v>
      </c>
      <c r="IL66" t="e">
        <f>AND('UP133'!BO28,"AAAAAG//a/U=")</f>
        <v>#VALUE!</v>
      </c>
      <c r="IM66" t="e">
        <f>AND('UP133'!BP28,"AAAAAG//a/Y=")</f>
        <v>#VALUE!</v>
      </c>
      <c r="IN66" t="e">
        <f>AND('UP133'!BQ28,"AAAAAG//a/c=")</f>
        <v>#VALUE!</v>
      </c>
      <c r="IO66" t="e">
        <f>AND('UP133'!BR28,"AAAAAG//a/g=")</f>
        <v>#VALUE!</v>
      </c>
      <c r="IP66" t="e">
        <f>AND('UP133'!BS28,"AAAAAG//a/k=")</f>
        <v>#VALUE!</v>
      </c>
      <c r="IQ66" t="e">
        <f>AND('UP133'!BT28,"AAAAAG//a/o=")</f>
        <v>#VALUE!</v>
      </c>
      <c r="IR66" t="e">
        <f>AND('UP133'!BU28,"AAAAAG//a/s=")</f>
        <v>#VALUE!</v>
      </c>
      <c r="IS66" t="e">
        <f>AND('UP133'!BV28,"AAAAAG//a/w=")</f>
        <v>#VALUE!</v>
      </c>
      <c r="IT66" t="e">
        <f>AND('UP133'!BW28,"AAAAAG//a/0=")</f>
        <v>#VALUE!</v>
      </c>
      <c r="IU66" t="e">
        <f>AND('UP133'!BX28,"AAAAAG//a/4=")</f>
        <v>#VALUE!</v>
      </c>
      <c r="IV66" t="e">
        <f>AND('UP133'!BY28,"AAAAAG//a/8=")</f>
        <v>#VALUE!</v>
      </c>
    </row>
    <row r="67" spans="1:256">
      <c r="A67" t="e">
        <f>AND('UP133'!BZ28,"AAAAAB262wA=")</f>
        <v>#VALUE!</v>
      </c>
      <c r="B67" t="e">
        <f>AND('UP133'!CA28,"AAAAAB262wE=")</f>
        <v>#VALUE!</v>
      </c>
      <c r="C67" t="e">
        <f>AND('UP133'!CB28,"AAAAAB262wI=")</f>
        <v>#VALUE!</v>
      </c>
      <c r="D67" t="e">
        <f>AND('UP133'!CC28,"AAAAAB262wM=")</f>
        <v>#VALUE!</v>
      </c>
      <c r="E67" t="e">
        <f>AND('UP133'!CD28,"AAAAAB262wQ=")</f>
        <v>#VALUE!</v>
      </c>
      <c r="F67" t="e">
        <f>AND('UP133'!CE28,"AAAAAB262wU=")</f>
        <v>#VALUE!</v>
      </c>
      <c r="G67" t="e">
        <f>AND('UP133'!CF28,"AAAAAB262wY=")</f>
        <v>#VALUE!</v>
      </c>
      <c r="H67" t="e">
        <f>AND('UP133'!CG28,"AAAAAB262wc=")</f>
        <v>#VALUE!</v>
      </c>
      <c r="I67" t="e">
        <f>AND('UP133'!CH28,"AAAAAB262wg=")</f>
        <v>#VALUE!</v>
      </c>
      <c r="J67" t="e">
        <f>AND('UP133'!CI28,"AAAAAB262wk=")</f>
        <v>#VALUE!</v>
      </c>
      <c r="K67" t="e">
        <f>AND('UP133'!CJ28,"AAAAAB262wo=")</f>
        <v>#VALUE!</v>
      </c>
      <c r="L67" t="e">
        <f>AND('UP133'!CK28,"AAAAAB262ws=")</f>
        <v>#VALUE!</v>
      </c>
      <c r="M67" t="e">
        <f>AND('UP133'!CL28,"AAAAAB262ww=")</f>
        <v>#VALUE!</v>
      </c>
      <c r="N67" t="e">
        <f>AND('UP133'!CM28,"AAAAAB262w0=")</f>
        <v>#VALUE!</v>
      </c>
      <c r="O67" t="e">
        <f>AND('UP133'!CN28,"AAAAAB262w4=")</f>
        <v>#VALUE!</v>
      </c>
      <c r="P67" t="e">
        <f>AND('UP133'!CO28,"AAAAAB262w8=")</f>
        <v>#VALUE!</v>
      </c>
      <c r="Q67" t="e">
        <f>AND('UP133'!CP28,"AAAAAB262xA=")</f>
        <v>#VALUE!</v>
      </c>
      <c r="R67" t="e">
        <f>AND('UP133'!CQ28,"AAAAAB262xE=")</f>
        <v>#VALUE!</v>
      </c>
      <c r="S67" t="e">
        <f>AND('UP133'!CR28,"AAAAAB262xI=")</f>
        <v>#VALUE!</v>
      </c>
      <c r="T67" t="e">
        <f>AND('UP133'!CS28,"AAAAAB262xM=")</f>
        <v>#VALUE!</v>
      </c>
      <c r="U67" t="e">
        <f>AND('UP133'!CT28,"AAAAAB262xQ=")</f>
        <v>#VALUE!</v>
      </c>
      <c r="V67" t="e">
        <f>AND('UP133'!CU28,"AAAAAB262xU=")</f>
        <v>#VALUE!</v>
      </c>
      <c r="W67" t="e">
        <f>AND('UP133'!CV28,"AAAAAB262xY=")</f>
        <v>#VALUE!</v>
      </c>
      <c r="X67" t="e">
        <f>AND('UP133'!CW28,"AAAAAB262xc=")</f>
        <v>#VALUE!</v>
      </c>
      <c r="Y67" t="e">
        <f>AND('UP133'!CX28,"AAAAAB262xg=")</f>
        <v>#VALUE!</v>
      </c>
      <c r="Z67" t="e">
        <f>AND('UP133'!CY28,"AAAAAB262xk=")</f>
        <v>#VALUE!</v>
      </c>
      <c r="AA67" t="e">
        <f>AND('UP133'!CZ28,"AAAAAB262xo=")</f>
        <v>#VALUE!</v>
      </c>
      <c r="AB67" t="e">
        <f>AND('UP133'!DA28,"AAAAAB262xs=")</f>
        <v>#VALUE!</v>
      </c>
      <c r="AC67" t="e">
        <f>AND('UP133'!DB28,"AAAAAB262xw=")</f>
        <v>#VALUE!</v>
      </c>
      <c r="AD67" t="e">
        <f>AND('UP133'!DC28,"AAAAAB262x0=")</f>
        <v>#VALUE!</v>
      </c>
      <c r="AE67" t="e">
        <f>AND('UP133'!DD28,"AAAAAB262x4=")</f>
        <v>#VALUE!</v>
      </c>
      <c r="AF67" t="e">
        <f>AND('UP133'!DE28,"AAAAAB262x8=")</f>
        <v>#VALUE!</v>
      </c>
      <c r="AG67" t="e">
        <f>AND('UP133'!DF28,"AAAAAB262yA=")</f>
        <v>#VALUE!</v>
      </c>
      <c r="AH67" t="e">
        <f>AND('UP133'!DG28,"AAAAAB262yE=")</f>
        <v>#VALUE!</v>
      </c>
      <c r="AI67" t="e">
        <f>AND('UP133'!DH28,"AAAAAB262yI=")</f>
        <v>#VALUE!</v>
      </c>
      <c r="AJ67" t="e">
        <f>AND('UP133'!DI28,"AAAAAB262yM=")</f>
        <v>#VALUE!</v>
      </c>
      <c r="AK67" t="e">
        <f>AND('UP133'!DJ28,"AAAAAB262yQ=")</f>
        <v>#VALUE!</v>
      </c>
      <c r="AL67" t="e">
        <f>AND('UP133'!DK28,"AAAAAB262yU=")</f>
        <v>#VALUE!</v>
      </c>
      <c r="AM67" t="e">
        <f>AND('UP133'!DL28,"AAAAAB262yY=")</f>
        <v>#VALUE!</v>
      </c>
      <c r="AN67" t="e">
        <f>AND('UP133'!DM28,"AAAAAB262yc=")</f>
        <v>#VALUE!</v>
      </c>
      <c r="AO67" t="e">
        <f>AND('UP133'!DN28,"AAAAAB262yg=")</f>
        <v>#VALUE!</v>
      </c>
      <c r="AP67" t="e">
        <f>AND('UP133'!DO28,"AAAAAB262yk=")</f>
        <v>#VALUE!</v>
      </c>
      <c r="AQ67" t="e">
        <f>AND('UP133'!DP28,"AAAAAB262yo=")</f>
        <v>#VALUE!</v>
      </c>
      <c r="AR67" t="e">
        <f>AND('UP133'!DQ28,"AAAAAB262ys=")</f>
        <v>#VALUE!</v>
      </c>
      <c r="AS67" t="e">
        <f>AND('UP133'!DR28,"AAAAAB262yw=")</f>
        <v>#VALUE!</v>
      </c>
      <c r="AT67" t="e">
        <f>AND('UP133'!DS28,"AAAAAB262y0=")</f>
        <v>#VALUE!</v>
      </c>
      <c r="AU67" t="e">
        <f>AND('UP133'!DT28,"AAAAAB262y4=")</f>
        <v>#VALUE!</v>
      </c>
      <c r="AV67" t="e">
        <f>AND('UP133'!DU28,"AAAAAB262y8=")</f>
        <v>#VALUE!</v>
      </c>
      <c r="AW67" t="e">
        <f>AND('UP133'!DV28,"AAAAAB262zA=")</f>
        <v>#VALUE!</v>
      </c>
      <c r="AX67" t="e">
        <f>AND('UP133'!DW28,"AAAAAB262zE=")</f>
        <v>#VALUE!</v>
      </c>
      <c r="AY67" t="e">
        <f>AND('UP133'!DX28,"AAAAAB262zI=")</f>
        <v>#VALUE!</v>
      </c>
      <c r="AZ67" t="e">
        <f>AND('UP133'!DY28,"AAAAAB262zM=")</f>
        <v>#VALUE!</v>
      </c>
      <c r="BA67" t="e">
        <f>AND('UP133'!DZ28,"AAAAAB262zQ=")</f>
        <v>#VALUE!</v>
      </c>
      <c r="BB67" t="e">
        <f>AND('UP133'!EA28,"AAAAAB262zU=")</f>
        <v>#VALUE!</v>
      </c>
      <c r="BC67" t="e">
        <f>AND('UP133'!EB28,"AAAAAB262zY=")</f>
        <v>#VALUE!</v>
      </c>
      <c r="BD67" t="e">
        <f>AND('UP133'!EC28,"AAAAAB262zc=")</f>
        <v>#VALUE!</v>
      </c>
      <c r="BE67" t="e">
        <f>AND('UP133'!ED28,"AAAAAB262zg=")</f>
        <v>#VALUE!</v>
      </c>
      <c r="BF67" t="e">
        <f>AND('UP133'!EE28,"AAAAAB262zk=")</f>
        <v>#VALUE!</v>
      </c>
      <c r="BG67" t="e">
        <f>AND('UP133'!EF28,"AAAAAB262zo=")</f>
        <v>#VALUE!</v>
      </c>
      <c r="BH67" t="e">
        <f>AND('UP133'!EG28,"AAAAAB262zs=")</f>
        <v>#VALUE!</v>
      </c>
      <c r="BI67" t="e">
        <f>AND('UP133'!EH28,"AAAAAB262zw=")</f>
        <v>#VALUE!</v>
      </c>
      <c r="BJ67" t="e">
        <f>AND('UP133'!EI28,"AAAAAB262z0=")</f>
        <v>#VALUE!</v>
      </c>
      <c r="BK67" t="e">
        <f>AND('UP133'!EJ28,"AAAAAB262z4=")</f>
        <v>#VALUE!</v>
      </c>
      <c r="BL67" t="e">
        <f>AND('UP133'!EK28,"AAAAAB262z8=")</f>
        <v>#VALUE!</v>
      </c>
      <c r="BM67" t="e">
        <f>AND('UP133'!EL28,"AAAAAB2620A=")</f>
        <v>#VALUE!</v>
      </c>
      <c r="BN67" t="e">
        <f>AND('UP133'!EM28,"AAAAAB2620E=")</f>
        <v>#VALUE!</v>
      </c>
      <c r="BO67" t="e">
        <f>AND('UP133'!EN28,"AAAAAB2620I=")</f>
        <v>#VALUE!</v>
      </c>
      <c r="BP67" t="e">
        <f>AND('UP133'!EO28,"AAAAAB2620M=")</f>
        <v>#VALUE!</v>
      </c>
      <c r="BQ67" t="e">
        <f>AND('UP133'!EP28,"AAAAAB2620Q=")</f>
        <v>#VALUE!</v>
      </c>
      <c r="BR67" t="e">
        <f>AND('UP133'!EQ28,"AAAAAB2620U=")</f>
        <v>#VALUE!</v>
      </c>
      <c r="BS67" t="e">
        <f>AND('UP133'!ER28,"AAAAAB2620Y=")</f>
        <v>#VALUE!</v>
      </c>
      <c r="BT67" t="e">
        <f>AND('UP133'!ES28,"AAAAAB2620c=")</f>
        <v>#VALUE!</v>
      </c>
      <c r="BU67" t="e">
        <f>AND('UP133'!ET28,"AAAAAB2620g=")</f>
        <v>#VALUE!</v>
      </c>
      <c r="BV67" t="e">
        <f>AND('UP133'!EU28,"AAAAAB2620k=")</f>
        <v>#VALUE!</v>
      </c>
      <c r="BW67" t="e">
        <f>AND('UP133'!EV28,"AAAAAB2620o=")</f>
        <v>#VALUE!</v>
      </c>
      <c r="BX67" t="e">
        <f>AND('UP133'!EW28,"AAAAAB2620s=")</f>
        <v>#VALUE!</v>
      </c>
      <c r="BY67" t="e">
        <f>AND('UP133'!EX28,"AAAAAB2620w=")</f>
        <v>#VALUE!</v>
      </c>
      <c r="BZ67" t="e">
        <f>AND('UP133'!EY28,"AAAAAB26200=")</f>
        <v>#VALUE!</v>
      </c>
      <c r="CA67" t="e">
        <f>AND('UP133'!EZ28,"AAAAAB26204=")</f>
        <v>#VALUE!</v>
      </c>
      <c r="CB67" t="e">
        <f>AND('UP133'!FA28,"AAAAAB26208=")</f>
        <v>#VALUE!</v>
      </c>
      <c r="CC67" t="e">
        <f>AND('UP133'!FB28,"AAAAAB2621A=")</f>
        <v>#VALUE!</v>
      </c>
      <c r="CD67" t="e">
        <f>AND('UP133'!FC28,"AAAAAB2621E=")</f>
        <v>#VALUE!</v>
      </c>
      <c r="CE67" t="e">
        <f>AND('UP133'!FD28,"AAAAAB2621I=")</f>
        <v>#VALUE!</v>
      </c>
      <c r="CF67" t="e">
        <f>AND('UP133'!FE28,"AAAAAB2621M=")</f>
        <v>#VALUE!</v>
      </c>
      <c r="CG67" t="e">
        <f>AND('UP133'!FF28,"AAAAAB2621Q=")</f>
        <v>#VALUE!</v>
      </c>
      <c r="CH67" t="e">
        <f>AND('UP133'!FG28,"AAAAAB2621U=")</f>
        <v>#VALUE!</v>
      </c>
      <c r="CI67" t="e">
        <f>AND('UP133'!FH28,"AAAAAB2621Y=")</f>
        <v>#VALUE!</v>
      </c>
      <c r="CJ67" t="e">
        <f>AND('UP133'!FI28,"AAAAAB2621c=")</f>
        <v>#VALUE!</v>
      </c>
      <c r="CK67" t="e">
        <f>AND('UP133'!FJ28,"AAAAAB2621g=")</f>
        <v>#VALUE!</v>
      </c>
      <c r="CL67" t="e">
        <f>AND('UP133'!FK28,"AAAAAB2621k=")</f>
        <v>#VALUE!</v>
      </c>
      <c r="CM67" t="e">
        <f>AND('UP133'!FL28,"AAAAAB2621o=")</f>
        <v>#VALUE!</v>
      </c>
      <c r="CN67" t="e">
        <f>AND('UP133'!FM28,"AAAAAB2621s=")</f>
        <v>#VALUE!</v>
      </c>
      <c r="CO67" t="e">
        <f>AND('UP133'!FN28,"AAAAAB2621w=")</f>
        <v>#VALUE!</v>
      </c>
      <c r="CP67" t="e">
        <f>AND('UP133'!FO28,"AAAAAB26210=")</f>
        <v>#VALUE!</v>
      </c>
      <c r="CQ67" t="e">
        <f>AND('UP133'!FP28,"AAAAAB26214=")</f>
        <v>#VALUE!</v>
      </c>
      <c r="CR67" t="e">
        <f>AND('UP133'!FQ28,"AAAAAB26218=")</f>
        <v>#VALUE!</v>
      </c>
      <c r="CS67" t="e">
        <f>AND('UP133'!FR28,"AAAAAB2622A=")</f>
        <v>#VALUE!</v>
      </c>
      <c r="CT67" t="e">
        <f>AND('UP133'!FS28,"AAAAAB2622E=")</f>
        <v>#VALUE!</v>
      </c>
      <c r="CU67" t="e">
        <f>AND('UP133'!FT28,"AAAAAB2622I=")</f>
        <v>#VALUE!</v>
      </c>
      <c r="CV67" t="e">
        <f>AND('UP133'!FU28,"AAAAAB2622M=")</f>
        <v>#VALUE!</v>
      </c>
      <c r="CW67" t="e">
        <f>AND('UP133'!FV28,"AAAAAB2622Q=")</f>
        <v>#VALUE!</v>
      </c>
      <c r="CX67" t="e">
        <f>AND('UP133'!FW28,"AAAAAB2622U=")</f>
        <v>#VALUE!</v>
      </c>
      <c r="CY67" t="e">
        <f>AND('UP133'!FX28,"AAAAAB2622Y=")</f>
        <v>#VALUE!</v>
      </c>
      <c r="CZ67" t="e">
        <f>AND('UP133'!FY28,"AAAAAB2622c=")</f>
        <v>#VALUE!</v>
      </c>
      <c r="DA67" t="e">
        <f>AND('UP133'!FZ28,"AAAAAB2622g=")</f>
        <v>#VALUE!</v>
      </c>
      <c r="DB67" t="e">
        <f>AND('UP133'!GA28,"AAAAAB2622k=")</f>
        <v>#VALUE!</v>
      </c>
      <c r="DC67" t="e">
        <f>AND('UP133'!GB28,"AAAAAB2622o=")</f>
        <v>#VALUE!</v>
      </c>
      <c r="DD67" t="e">
        <f>AND('UP133'!GC28,"AAAAAB2622s=")</f>
        <v>#VALUE!</v>
      </c>
      <c r="DE67" t="e">
        <f>AND('UP133'!GD28,"AAAAAB2622w=")</f>
        <v>#VALUE!</v>
      </c>
      <c r="DF67" t="e">
        <f>AND('UP133'!GE28,"AAAAAB26220=")</f>
        <v>#VALUE!</v>
      </c>
      <c r="DG67" t="e">
        <f>AND('UP133'!GF28,"AAAAAB26224=")</f>
        <v>#VALUE!</v>
      </c>
      <c r="DH67" t="e">
        <f>AND('UP133'!GG28,"AAAAAB26228=")</f>
        <v>#VALUE!</v>
      </c>
      <c r="DI67" t="e">
        <f>AND('UP133'!GH28,"AAAAAB2623A=")</f>
        <v>#VALUE!</v>
      </c>
      <c r="DJ67" t="e">
        <f>AND('UP133'!GI28,"AAAAAB2623E=")</f>
        <v>#VALUE!</v>
      </c>
      <c r="DK67" t="e">
        <f>AND('UP133'!GJ28,"AAAAAB2623I=")</f>
        <v>#VALUE!</v>
      </c>
      <c r="DL67" t="e">
        <f>AND('UP133'!GK28,"AAAAAB2623M=")</f>
        <v>#VALUE!</v>
      </c>
      <c r="DM67" t="e">
        <f>AND('UP133'!GL28,"AAAAAB2623Q=")</f>
        <v>#VALUE!</v>
      </c>
      <c r="DN67" t="e">
        <f>AND('UP133'!GM28,"AAAAAB2623U=")</f>
        <v>#VALUE!</v>
      </c>
      <c r="DO67" t="e">
        <f>AND('UP133'!GN28,"AAAAAB2623Y=")</f>
        <v>#VALUE!</v>
      </c>
      <c r="DP67" t="e">
        <f>AND('UP133'!GO28,"AAAAAB2623c=")</f>
        <v>#VALUE!</v>
      </c>
      <c r="DQ67" t="e">
        <f>AND('UP133'!GP28,"AAAAAB2623g=")</f>
        <v>#VALUE!</v>
      </c>
      <c r="DR67" t="e">
        <f>AND('UP133'!GQ28,"AAAAAB2623k=")</f>
        <v>#VALUE!</v>
      </c>
      <c r="DS67" t="e">
        <f>AND('UP133'!GR28,"AAAAAB2623o=")</f>
        <v>#VALUE!</v>
      </c>
      <c r="DT67" t="e">
        <f>AND('UP133'!GS28,"AAAAAB2623s=")</f>
        <v>#VALUE!</v>
      </c>
      <c r="DU67" t="e">
        <f>AND('UP133'!GT28,"AAAAAB2623w=")</f>
        <v>#VALUE!</v>
      </c>
      <c r="DV67" t="e">
        <f>AND('UP133'!GU28,"AAAAAB26230=")</f>
        <v>#VALUE!</v>
      </c>
      <c r="DW67" t="e">
        <f>AND('UP133'!GV28,"AAAAAB26234=")</f>
        <v>#VALUE!</v>
      </c>
      <c r="DX67" t="e">
        <f>AND('UP133'!GW28,"AAAAAB26238=")</f>
        <v>#VALUE!</v>
      </c>
      <c r="DY67" t="e">
        <f>AND('UP133'!GX28,"AAAAAB2624A=")</f>
        <v>#VALUE!</v>
      </c>
      <c r="DZ67" t="e">
        <f>AND('UP133'!GY28,"AAAAAB2624E=")</f>
        <v>#VALUE!</v>
      </c>
      <c r="EA67" t="e">
        <f>AND('UP133'!GZ28,"AAAAAB2624I=")</f>
        <v>#VALUE!</v>
      </c>
      <c r="EB67" t="e">
        <f>AND('UP133'!HA28,"AAAAAB2624M=")</f>
        <v>#VALUE!</v>
      </c>
      <c r="EC67" t="e">
        <f>AND('UP133'!HB28,"AAAAAB2624Q=")</f>
        <v>#VALUE!</v>
      </c>
      <c r="ED67" t="e">
        <f>AND('UP133'!HC28,"AAAAAB2624U=")</f>
        <v>#VALUE!</v>
      </c>
      <c r="EE67" t="e">
        <f>AND('UP133'!HD28,"AAAAAB2624Y=")</f>
        <v>#VALUE!</v>
      </c>
      <c r="EF67" t="e">
        <f>AND('UP133'!HE28,"AAAAAB2624c=")</f>
        <v>#VALUE!</v>
      </c>
      <c r="EG67" t="e">
        <f>AND('UP133'!HF28,"AAAAAB2624g=")</f>
        <v>#VALUE!</v>
      </c>
      <c r="EH67" t="e">
        <f>AND('UP133'!HG28,"AAAAAB2624k=")</f>
        <v>#VALUE!</v>
      </c>
      <c r="EI67" t="e">
        <f>AND('UP133'!HH28,"AAAAAB2624o=")</f>
        <v>#VALUE!</v>
      </c>
      <c r="EJ67" t="e">
        <f>AND('UP133'!HI28,"AAAAAB2624s=")</f>
        <v>#VALUE!</v>
      </c>
      <c r="EK67" t="e">
        <f>AND('UP133'!HJ28,"AAAAAB2624w=")</f>
        <v>#VALUE!</v>
      </c>
      <c r="EL67" t="e">
        <f>AND('UP133'!HK28,"AAAAAB26240=")</f>
        <v>#VALUE!</v>
      </c>
      <c r="EM67" t="e">
        <f>AND('UP133'!HL28,"AAAAAB26244=")</f>
        <v>#VALUE!</v>
      </c>
      <c r="EN67" t="e">
        <f>AND('UP133'!HM28,"AAAAAB26248=")</f>
        <v>#VALUE!</v>
      </c>
      <c r="EO67" t="e">
        <f>AND('UP133'!HN28,"AAAAAB2625A=")</f>
        <v>#VALUE!</v>
      </c>
      <c r="EP67" t="e">
        <f>AND('UP133'!HO28,"AAAAAB2625E=")</f>
        <v>#VALUE!</v>
      </c>
      <c r="EQ67" t="e">
        <f>AND('UP133'!HP28,"AAAAAB2625I=")</f>
        <v>#VALUE!</v>
      </c>
      <c r="ER67" t="e">
        <f>AND('UP133'!HQ28,"AAAAAB2625M=")</f>
        <v>#VALUE!</v>
      </c>
      <c r="ES67" t="e">
        <f>AND('UP133'!HR28,"AAAAAB2625Q=")</f>
        <v>#VALUE!</v>
      </c>
      <c r="ET67" t="e">
        <f>AND('UP133'!HS28,"AAAAAB2625U=")</f>
        <v>#VALUE!</v>
      </c>
      <c r="EU67" t="e">
        <f>AND('UP133'!HT28,"AAAAAB2625Y=")</f>
        <v>#VALUE!</v>
      </c>
      <c r="EV67" t="e">
        <f>AND('UP133'!HU28,"AAAAAB2625c=")</f>
        <v>#VALUE!</v>
      </c>
      <c r="EW67" t="e">
        <f>AND('UP133'!HV28,"AAAAAB2625g=")</f>
        <v>#VALUE!</v>
      </c>
      <c r="EX67" t="e">
        <f>AND('UP133'!HW28,"AAAAAB2625k=")</f>
        <v>#VALUE!</v>
      </c>
      <c r="EY67" t="e">
        <f>AND('UP133'!HX28,"AAAAAB2625o=")</f>
        <v>#VALUE!</v>
      </c>
      <c r="EZ67" t="e">
        <f>AND('UP133'!HY28,"AAAAAB2625s=")</f>
        <v>#VALUE!</v>
      </c>
      <c r="FA67" t="e">
        <f>AND('UP133'!HZ28,"AAAAAB2625w=")</f>
        <v>#VALUE!</v>
      </c>
      <c r="FB67" t="e">
        <f>AND('UP133'!IA28,"AAAAAB26250=")</f>
        <v>#VALUE!</v>
      </c>
      <c r="FC67" t="e">
        <f>AND('UP133'!IB28,"AAAAAB26254=")</f>
        <v>#VALUE!</v>
      </c>
      <c r="FD67" t="e">
        <f>AND('UP133'!IC28,"AAAAAB26258=")</f>
        <v>#VALUE!</v>
      </c>
      <c r="FE67" t="e">
        <f>AND('UP133'!ID28,"AAAAAB2626A=")</f>
        <v>#VALUE!</v>
      </c>
      <c r="FF67" t="e">
        <f>AND('UP133'!IE28,"AAAAAB2626E=")</f>
        <v>#VALUE!</v>
      </c>
      <c r="FG67" t="e">
        <f>AND('UP133'!IF28,"AAAAAB2626I=")</f>
        <v>#VALUE!</v>
      </c>
      <c r="FH67" t="e">
        <f>AND('UP133'!IG28,"AAAAAB2626M=")</f>
        <v>#VALUE!</v>
      </c>
      <c r="FI67" t="e">
        <f>AND('UP133'!IH28,"AAAAAB2626Q=")</f>
        <v>#VALUE!</v>
      </c>
      <c r="FJ67" t="e">
        <f>AND('UP133'!II28,"AAAAAB2626U=")</f>
        <v>#VALUE!</v>
      </c>
      <c r="FK67" t="e">
        <f>AND('UP133'!IJ28,"AAAAAB2626Y=")</f>
        <v>#VALUE!</v>
      </c>
      <c r="FL67" t="e">
        <f>AND('UP133'!IK28,"AAAAAB2626c=")</f>
        <v>#VALUE!</v>
      </c>
      <c r="FM67" t="e">
        <f>AND('UP133'!IL28,"AAAAAB2626g=")</f>
        <v>#VALUE!</v>
      </c>
      <c r="FN67" t="e">
        <f>AND('UP133'!IM28,"AAAAAB2626k=")</f>
        <v>#VALUE!</v>
      </c>
      <c r="FO67" t="e">
        <f>AND('UP133'!IN28,"AAAAAB2626o=")</f>
        <v>#VALUE!</v>
      </c>
      <c r="FP67" t="e">
        <f>AND('UP133'!IO28,"AAAAAB2626s=")</f>
        <v>#VALUE!</v>
      </c>
      <c r="FQ67" t="e">
        <f>AND('UP133'!IP28,"AAAAAB2626w=")</f>
        <v>#VALUE!</v>
      </c>
      <c r="FR67" t="e">
        <f>AND('UP133'!IQ28,"AAAAAB26260=")</f>
        <v>#VALUE!</v>
      </c>
      <c r="FS67">
        <f>IF('UP133'!29:29,"AAAAAB26264=",0)</f>
        <v>0</v>
      </c>
      <c r="FT67" t="e">
        <f>AND('UP133'!A29,"AAAAAB26268=")</f>
        <v>#VALUE!</v>
      </c>
      <c r="FU67" t="e">
        <f>AND('UP133'!B29,"AAAAAB2627A=")</f>
        <v>#VALUE!</v>
      </c>
      <c r="FV67" t="e">
        <f>AND('UP133'!C29,"AAAAAB2627E=")</f>
        <v>#VALUE!</v>
      </c>
      <c r="FW67" t="e">
        <f>AND('UP133'!D29,"AAAAAB2627I=")</f>
        <v>#VALUE!</v>
      </c>
      <c r="FX67" t="e">
        <f>AND('UP133'!E29,"AAAAAB2627M=")</f>
        <v>#VALUE!</v>
      </c>
      <c r="FY67" t="e">
        <f>AND('UP133'!F29,"AAAAAB2627Q=")</f>
        <v>#VALUE!</v>
      </c>
      <c r="FZ67" t="e">
        <f>AND('UP133'!G29,"AAAAAB2627U=")</f>
        <v>#VALUE!</v>
      </c>
      <c r="GA67" t="e">
        <f>AND('UP133'!H29,"AAAAAB2627Y=")</f>
        <v>#VALUE!</v>
      </c>
      <c r="GB67" t="e">
        <f>AND('UP133'!I29,"AAAAAB2627c=")</f>
        <v>#VALUE!</v>
      </c>
      <c r="GC67" t="e">
        <f>AND('UP133'!J29,"AAAAAB2627g=")</f>
        <v>#VALUE!</v>
      </c>
      <c r="GD67" t="e">
        <f>AND('UP133'!K29,"AAAAAB2627k=")</f>
        <v>#VALUE!</v>
      </c>
      <c r="GE67" t="e">
        <f>AND('UP133'!L29,"AAAAAB2627o=")</f>
        <v>#VALUE!</v>
      </c>
      <c r="GF67" t="e">
        <f>AND('UP133'!M29,"AAAAAB2627s=")</f>
        <v>#VALUE!</v>
      </c>
      <c r="GG67" t="e">
        <f>AND('UP133'!N29,"AAAAAB2627w=")</f>
        <v>#VALUE!</v>
      </c>
      <c r="GH67" t="e">
        <f>AND('UP133'!O29,"AAAAAB26270=")</f>
        <v>#VALUE!</v>
      </c>
      <c r="GI67" t="e">
        <f>AND('UP133'!P29,"AAAAAB26274=")</f>
        <v>#VALUE!</v>
      </c>
      <c r="GJ67" t="e">
        <f>AND('UP133'!Q29,"AAAAAB26278=")</f>
        <v>#VALUE!</v>
      </c>
      <c r="GK67" t="e">
        <f>AND('UP133'!R29,"AAAAAB2628A=")</f>
        <v>#VALUE!</v>
      </c>
      <c r="GL67" t="e">
        <f>AND('UP133'!S29,"AAAAAB2628E=")</f>
        <v>#VALUE!</v>
      </c>
      <c r="GM67" t="e">
        <f>AND('UP133'!T29,"AAAAAB2628I=")</f>
        <v>#VALUE!</v>
      </c>
      <c r="GN67" t="e">
        <f>AND('UP133'!U29,"AAAAAB2628M=")</f>
        <v>#VALUE!</v>
      </c>
      <c r="GO67" t="e">
        <f>AND('UP133'!V29,"AAAAAB2628Q=")</f>
        <v>#VALUE!</v>
      </c>
      <c r="GP67" t="e">
        <f>AND('UP133'!W29,"AAAAAB2628U=")</f>
        <v>#VALUE!</v>
      </c>
      <c r="GQ67" t="e">
        <f>AND('UP133'!X29,"AAAAAB2628Y=")</f>
        <v>#VALUE!</v>
      </c>
      <c r="GR67" t="e">
        <f>AND('UP133'!Y29,"AAAAAB2628c=")</f>
        <v>#VALUE!</v>
      </c>
      <c r="GS67" t="e">
        <f>AND('UP133'!Z29,"AAAAAB2628g=")</f>
        <v>#VALUE!</v>
      </c>
      <c r="GT67" t="e">
        <f>AND('UP133'!AA29,"AAAAAB2628k=")</f>
        <v>#VALUE!</v>
      </c>
      <c r="GU67" t="e">
        <f>AND('UP133'!AB29,"AAAAAB2628o=")</f>
        <v>#VALUE!</v>
      </c>
      <c r="GV67" t="e">
        <f>AND('UP133'!AC29,"AAAAAB2628s=")</f>
        <v>#VALUE!</v>
      </c>
      <c r="GW67" t="e">
        <f>AND('UP133'!AD29,"AAAAAB2628w=")</f>
        <v>#VALUE!</v>
      </c>
      <c r="GX67" t="e">
        <f>AND('UP133'!AE29,"AAAAAB26280=")</f>
        <v>#VALUE!</v>
      </c>
      <c r="GY67" t="e">
        <f>AND('UP133'!AF29,"AAAAAB26284=")</f>
        <v>#VALUE!</v>
      </c>
      <c r="GZ67" t="e">
        <f>AND('UP133'!AG29,"AAAAAB26288=")</f>
        <v>#VALUE!</v>
      </c>
      <c r="HA67" t="e">
        <f>AND('UP133'!AH29,"AAAAAB2629A=")</f>
        <v>#VALUE!</v>
      </c>
      <c r="HB67" t="e">
        <f>AND('UP133'!AI29,"AAAAAB2629E=")</f>
        <v>#VALUE!</v>
      </c>
      <c r="HC67" t="e">
        <f>AND('UP133'!AJ29,"AAAAAB2629I=")</f>
        <v>#VALUE!</v>
      </c>
      <c r="HD67" t="e">
        <f>AND('UP133'!AK29,"AAAAAB2629M=")</f>
        <v>#VALUE!</v>
      </c>
      <c r="HE67" t="e">
        <f>AND('UP133'!AL29,"AAAAAB2629Q=")</f>
        <v>#VALUE!</v>
      </c>
      <c r="HF67" t="e">
        <f>AND('UP133'!AM29,"AAAAAB2629U=")</f>
        <v>#VALUE!</v>
      </c>
      <c r="HG67" t="e">
        <f>AND('UP133'!AN29,"AAAAAB2629Y=")</f>
        <v>#VALUE!</v>
      </c>
      <c r="HH67" t="e">
        <f>AND('UP133'!AO29,"AAAAAB2629c=")</f>
        <v>#VALUE!</v>
      </c>
      <c r="HI67" t="e">
        <f>AND('UP133'!AP29,"AAAAAB2629g=")</f>
        <v>#VALUE!</v>
      </c>
      <c r="HJ67" t="e">
        <f>AND('UP133'!AQ29,"AAAAAB2629k=")</f>
        <v>#VALUE!</v>
      </c>
      <c r="HK67" t="e">
        <f>AND('UP133'!AR29,"AAAAAB2629o=")</f>
        <v>#VALUE!</v>
      </c>
      <c r="HL67" t="e">
        <f>AND('UP133'!AS29,"AAAAAB2629s=")</f>
        <v>#VALUE!</v>
      </c>
      <c r="HM67" t="e">
        <f>AND('UP133'!AT29,"AAAAAB2629w=")</f>
        <v>#VALUE!</v>
      </c>
      <c r="HN67" t="e">
        <f>AND('UP133'!AU29,"AAAAAB26290=")</f>
        <v>#VALUE!</v>
      </c>
      <c r="HO67" t="e">
        <f>AND('UP133'!AV29,"AAAAAB26294=")</f>
        <v>#VALUE!</v>
      </c>
      <c r="HP67" t="e">
        <f>AND('UP133'!AW29,"AAAAAB26298=")</f>
        <v>#VALUE!</v>
      </c>
      <c r="HQ67" t="e">
        <f>AND('UP133'!AX29,"AAAAAB262+A=")</f>
        <v>#VALUE!</v>
      </c>
      <c r="HR67" t="e">
        <f>AND('UP133'!AY29,"AAAAAB262+E=")</f>
        <v>#VALUE!</v>
      </c>
      <c r="HS67" t="e">
        <f>AND('UP133'!AZ29,"AAAAAB262+I=")</f>
        <v>#VALUE!</v>
      </c>
      <c r="HT67" t="e">
        <f>AND('UP133'!BA29,"AAAAAB262+M=")</f>
        <v>#VALUE!</v>
      </c>
      <c r="HU67" t="e">
        <f>AND('UP133'!BB29,"AAAAAB262+Q=")</f>
        <v>#VALUE!</v>
      </c>
      <c r="HV67" t="e">
        <f>AND('UP133'!BC29,"AAAAAB262+U=")</f>
        <v>#VALUE!</v>
      </c>
      <c r="HW67" t="e">
        <f>AND('UP133'!BD29,"AAAAAB262+Y=")</f>
        <v>#VALUE!</v>
      </c>
      <c r="HX67" t="e">
        <f>AND('UP133'!BE29,"AAAAAB262+c=")</f>
        <v>#VALUE!</v>
      </c>
      <c r="HY67" t="e">
        <f>AND('UP133'!BF29,"AAAAAB262+g=")</f>
        <v>#VALUE!</v>
      </c>
      <c r="HZ67" t="e">
        <f>AND('UP133'!BG29,"AAAAAB262+k=")</f>
        <v>#VALUE!</v>
      </c>
      <c r="IA67" t="e">
        <f>AND('UP133'!BH29,"AAAAAB262+o=")</f>
        <v>#VALUE!</v>
      </c>
      <c r="IB67" t="e">
        <f>AND('UP133'!BI29,"AAAAAB262+s=")</f>
        <v>#VALUE!</v>
      </c>
      <c r="IC67" t="e">
        <f>AND('UP133'!BJ29,"AAAAAB262+w=")</f>
        <v>#VALUE!</v>
      </c>
      <c r="ID67" t="e">
        <f>AND('UP133'!BK29,"AAAAAB262+0=")</f>
        <v>#VALUE!</v>
      </c>
      <c r="IE67" t="e">
        <f>AND('UP133'!BL29,"AAAAAB262+4=")</f>
        <v>#VALUE!</v>
      </c>
      <c r="IF67" t="e">
        <f>AND('UP133'!BM29,"AAAAAB262+8=")</f>
        <v>#VALUE!</v>
      </c>
      <c r="IG67" t="e">
        <f>AND('UP133'!BN29,"AAAAAB262/A=")</f>
        <v>#VALUE!</v>
      </c>
      <c r="IH67" t="e">
        <f>AND('UP133'!BO29,"AAAAAB262/E=")</f>
        <v>#VALUE!</v>
      </c>
      <c r="II67" t="e">
        <f>AND('UP133'!BP29,"AAAAAB262/I=")</f>
        <v>#VALUE!</v>
      </c>
      <c r="IJ67" t="e">
        <f>AND('UP133'!BQ29,"AAAAAB262/M=")</f>
        <v>#VALUE!</v>
      </c>
      <c r="IK67" t="e">
        <f>AND('UP133'!BR29,"AAAAAB262/Q=")</f>
        <v>#VALUE!</v>
      </c>
      <c r="IL67" t="e">
        <f>AND('UP133'!BS29,"AAAAAB262/U=")</f>
        <v>#VALUE!</v>
      </c>
      <c r="IM67" t="e">
        <f>AND('UP133'!BT29,"AAAAAB262/Y=")</f>
        <v>#VALUE!</v>
      </c>
      <c r="IN67" t="e">
        <f>AND('UP133'!BU29,"AAAAAB262/c=")</f>
        <v>#VALUE!</v>
      </c>
      <c r="IO67" t="e">
        <f>AND('UP133'!BV29,"AAAAAB262/g=")</f>
        <v>#VALUE!</v>
      </c>
      <c r="IP67" t="e">
        <f>AND('UP133'!BW29,"AAAAAB262/k=")</f>
        <v>#VALUE!</v>
      </c>
      <c r="IQ67" t="e">
        <f>AND('UP133'!BX29,"AAAAAB262/o=")</f>
        <v>#VALUE!</v>
      </c>
      <c r="IR67" t="e">
        <f>AND('UP133'!BY29,"AAAAAB262/s=")</f>
        <v>#VALUE!</v>
      </c>
      <c r="IS67" t="e">
        <f>AND('UP133'!BZ29,"AAAAAB262/w=")</f>
        <v>#VALUE!</v>
      </c>
      <c r="IT67" t="e">
        <f>AND('UP133'!CA29,"AAAAAB262/0=")</f>
        <v>#VALUE!</v>
      </c>
      <c r="IU67" t="e">
        <f>AND('UP133'!CB29,"AAAAAB262/4=")</f>
        <v>#VALUE!</v>
      </c>
      <c r="IV67" t="e">
        <f>AND('UP133'!CC29,"AAAAAB262/8=")</f>
        <v>#VALUE!</v>
      </c>
    </row>
    <row r="68" spans="1:256">
      <c r="A68" t="e">
        <f>AND('UP133'!CD29,"AAAAAHuq/wA=")</f>
        <v>#VALUE!</v>
      </c>
      <c r="B68" t="e">
        <f>AND('UP133'!CE29,"AAAAAHuq/wE=")</f>
        <v>#VALUE!</v>
      </c>
      <c r="C68" t="e">
        <f>AND('UP133'!CF29,"AAAAAHuq/wI=")</f>
        <v>#VALUE!</v>
      </c>
      <c r="D68" t="e">
        <f>AND('UP133'!CG29,"AAAAAHuq/wM=")</f>
        <v>#VALUE!</v>
      </c>
      <c r="E68" t="e">
        <f>AND('UP133'!CH29,"AAAAAHuq/wQ=")</f>
        <v>#VALUE!</v>
      </c>
      <c r="F68" t="e">
        <f>AND('UP133'!CI29,"AAAAAHuq/wU=")</f>
        <v>#VALUE!</v>
      </c>
      <c r="G68" t="e">
        <f>AND('UP133'!CJ29,"AAAAAHuq/wY=")</f>
        <v>#VALUE!</v>
      </c>
      <c r="H68" t="e">
        <f>AND('UP133'!CK29,"AAAAAHuq/wc=")</f>
        <v>#VALUE!</v>
      </c>
      <c r="I68" t="e">
        <f>AND('UP133'!CL29,"AAAAAHuq/wg=")</f>
        <v>#VALUE!</v>
      </c>
      <c r="J68" t="e">
        <f>AND('UP133'!CM29,"AAAAAHuq/wk=")</f>
        <v>#VALUE!</v>
      </c>
      <c r="K68" t="e">
        <f>AND('UP133'!CN29,"AAAAAHuq/wo=")</f>
        <v>#VALUE!</v>
      </c>
      <c r="L68" t="e">
        <f>AND('UP133'!CO29,"AAAAAHuq/ws=")</f>
        <v>#VALUE!</v>
      </c>
      <c r="M68" t="e">
        <f>AND('UP133'!CP29,"AAAAAHuq/ww=")</f>
        <v>#VALUE!</v>
      </c>
      <c r="N68" t="e">
        <f>AND('UP133'!CQ29,"AAAAAHuq/w0=")</f>
        <v>#VALUE!</v>
      </c>
      <c r="O68" t="e">
        <f>AND('UP133'!CR29,"AAAAAHuq/w4=")</f>
        <v>#VALUE!</v>
      </c>
      <c r="P68" t="e">
        <f>AND('UP133'!CS29,"AAAAAHuq/w8=")</f>
        <v>#VALUE!</v>
      </c>
      <c r="Q68" t="e">
        <f>AND('UP133'!CT29,"AAAAAHuq/xA=")</f>
        <v>#VALUE!</v>
      </c>
      <c r="R68" t="e">
        <f>AND('UP133'!CU29,"AAAAAHuq/xE=")</f>
        <v>#VALUE!</v>
      </c>
      <c r="S68" t="e">
        <f>AND('UP133'!CV29,"AAAAAHuq/xI=")</f>
        <v>#VALUE!</v>
      </c>
      <c r="T68" t="e">
        <f>AND('UP133'!CW29,"AAAAAHuq/xM=")</f>
        <v>#VALUE!</v>
      </c>
      <c r="U68" t="e">
        <f>AND('UP133'!CX29,"AAAAAHuq/xQ=")</f>
        <v>#VALUE!</v>
      </c>
      <c r="V68" t="e">
        <f>AND('UP133'!CY29,"AAAAAHuq/xU=")</f>
        <v>#VALUE!</v>
      </c>
      <c r="W68" t="e">
        <f>AND('UP133'!CZ29,"AAAAAHuq/xY=")</f>
        <v>#VALUE!</v>
      </c>
      <c r="X68" t="e">
        <f>AND('UP133'!DA29,"AAAAAHuq/xc=")</f>
        <v>#VALUE!</v>
      </c>
      <c r="Y68" t="e">
        <f>AND('UP133'!DB29,"AAAAAHuq/xg=")</f>
        <v>#VALUE!</v>
      </c>
      <c r="Z68" t="e">
        <f>AND('UP133'!DC29,"AAAAAHuq/xk=")</f>
        <v>#VALUE!</v>
      </c>
      <c r="AA68" t="e">
        <f>AND('UP133'!DD29,"AAAAAHuq/xo=")</f>
        <v>#VALUE!</v>
      </c>
      <c r="AB68" t="e">
        <f>AND('UP133'!DE29,"AAAAAHuq/xs=")</f>
        <v>#VALUE!</v>
      </c>
      <c r="AC68" t="e">
        <f>AND('UP133'!DF29,"AAAAAHuq/xw=")</f>
        <v>#VALUE!</v>
      </c>
      <c r="AD68" t="e">
        <f>AND('UP133'!DG29,"AAAAAHuq/x0=")</f>
        <v>#VALUE!</v>
      </c>
      <c r="AE68" t="e">
        <f>AND('UP133'!DH29,"AAAAAHuq/x4=")</f>
        <v>#VALUE!</v>
      </c>
      <c r="AF68" t="e">
        <f>AND('UP133'!DI29,"AAAAAHuq/x8=")</f>
        <v>#VALUE!</v>
      </c>
      <c r="AG68" t="e">
        <f>AND('UP133'!DJ29,"AAAAAHuq/yA=")</f>
        <v>#VALUE!</v>
      </c>
      <c r="AH68" t="e">
        <f>AND('UP133'!DK29,"AAAAAHuq/yE=")</f>
        <v>#VALUE!</v>
      </c>
      <c r="AI68" t="e">
        <f>AND('UP133'!DL29,"AAAAAHuq/yI=")</f>
        <v>#VALUE!</v>
      </c>
      <c r="AJ68" t="e">
        <f>AND('UP133'!DM29,"AAAAAHuq/yM=")</f>
        <v>#VALUE!</v>
      </c>
      <c r="AK68" t="e">
        <f>AND('UP133'!DN29,"AAAAAHuq/yQ=")</f>
        <v>#VALUE!</v>
      </c>
      <c r="AL68" t="e">
        <f>AND('UP133'!DO29,"AAAAAHuq/yU=")</f>
        <v>#VALUE!</v>
      </c>
      <c r="AM68" t="e">
        <f>AND('UP133'!DP29,"AAAAAHuq/yY=")</f>
        <v>#VALUE!</v>
      </c>
      <c r="AN68" t="e">
        <f>AND('UP133'!DQ29,"AAAAAHuq/yc=")</f>
        <v>#VALUE!</v>
      </c>
      <c r="AO68" t="e">
        <f>AND('UP133'!DR29,"AAAAAHuq/yg=")</f>
        <v>#VALUE!</v>
      </c>
      <c r="AP68" t="e">
        <f>AND('UP133'!DS29,"AAAAAHuq/yk=")</f>
        <v>#VALUE!</v>
      </c>
      <c r="AQ68" t="e">
        <f>AND('UP133'!DT29,"AAAAAHuq/yo=")</f>
        <v>#VALUE!</v>
      </c>
      <c r="AR68" t="e">
        <f>AND('UP133'!DU29,"AAAAAHuq/ys=")</f>
        <v>#VALUE!</v>
      </c>
      <c r="AS68" t="e">
        <f>AND('UP133'!DV29,"AAAAAHuq/yw=")</f>
        <v>#VALUE!</v>
      </c>
      <c r="AT68" t="e">
        <f>AND('UP133'!DW29,"AAAAAHuq/y0=")</f>
        <v>#VALUE!</v>
      </c>
      <c r="AU68" t="e">
        <f>AND('UP133'!DX29,"AAAAAHuq/y4=")</f>
        <v>#VALUE!</v>
      </c>
      <c r="AV68" t="e">
        <f>AND('UP133'!DY29,"AAAAAHuq/y8=")</f>
        <v>#VALUE!</v>
      </c>
      <c r="AW68" t="e">
        <f>AND('UP133'!DZ29,"AAAAAHuq/zA=")</f>
        <v>#VALUE!</v>
      </c>
      <c r="AX68" t="e">
        <f>AND('UP133'!EA29,"AAAAAHuq/zE=")</f>
        <v>#VALUE!</v>
      </c>
      <c r="AY68" t="e">
        <f>AND('UP133'!EB29,"AAAAAHuq/zI=")</f>
        <v>#VALUE!</v>
      </c>
      <c r="AZ68" t="e">
        <f>AND('UP133'!EC29,"AAAAAHuq/zM=")</f>
        <v>#VALUE!</v>
      </c>
      <c r="BA68" t="e">
        <f>AND('UP133'!ED29,"AAAAAHuq/zQ=")</f>
        <v>#VALUE!</v>
      </c>
      <c r="BB68" t="e">
        <f>AND('UP133'!EE29,"AAAAAHuq/zU=")</f>
        <v>#VALUE!</v>
      </c>
      <c r="BC68" t="e">
        <f>AND('UP133'!EF29,"AAAAAHuq/zY=")</f>
        <v>#VALUE!</v>
      </c>
      <c r="BD68" t="e">
        <f>AND('UP133'!EG29,"AAAAAHuq/zc=")</f>
        <v>#VALUE!</v>
      </c>
      <c r="BE68" t="e">
        <f>AND('UP133'!EH29,"AAAAAHuq/zg=")</f>
        <v>#VALUE!</v>
      </c>
      <c r="BF68" t="e">
        <f>AND('UP133'!EI29,"AAAAAHuq/zk=")</f>
        <v>#VALUE!</v>
      </c>
      <c r="BG68" t="e">
        <f>AND('UP133'!EJ29,"AAAAAHuq/zo=")</f>
        <v>#VALUE!</v>
      </c>
      <c r="BH68" t="e">
        <f>AND('UP133'!EK29,"AAAAAHuq/zs=")</f>
        <v>#VALUE!</v>
      </c>
      <c r="BI68" t="e">
        <f>AND('UP133'!EL29,"AAAAAHuq/zw=")</f>
        <v>#VALUE!</v>
      </c>
      <c r="BJ68" t="e">
        <f>AND('UP133'!EM29,"AAAAAHuq/z0=")</f>
        <v>#VALUE!</v>
      </c>
      <c r="BK68" t="e">
        <f>AND('UP133'!EN29,"AAAAAHuq/z4=")</f>
        <v>#VALUE!</v>
      </c>
      <c r="BL68" t="e">
        <f>AND('UP133'!EO29,"AAAAAHuq/z8=")</f>
        <v>#VALUE!</v>
      </c>
      <c r="BM68" t="e">
        <f>AND('UP133'!EP29,"AAAAAHuq/0A=")</f>
        <v>#VALUE!</v>
      </c>
      <c r="BN68" t="e">
        <f>AND('UP133'!EQ29,"AAAAAHuq/0E=")</f>
        <v>#VALUE!</v>
      </c>
      <c r="BO68" t="e">
        <f>AND('UP133'!ER29,"AAAAAHuq/0I=")</f>
        <v>#VALUE!</v>
      </c>
      <c r="BP68" t="e">
        <f>AND('UP133'!ES29,"AAAAAHuq/0M=")</f>
        <v>#VALUE!</v>
      </c>
      <c r="BQ68" t="e">
        <f>AND('UP133'!ET29,"AAAAAHuq/0Q=")</f>
        <v>#VALUE!</v>
      </c>
      <c r="BR68" t="e">
        <f>AND('UP133'!EU29,"AAAAAHuq/0U=")</f>
        <v>#VALUE!</v>
      </c>
      <c r="BS68" t="e">
        <f>AND('UP133'!EV29,"AAAAAHuq/0Y=")</f>
        <v>#VALUE!</v>
      </c>
      <c r="BT68" t="e">
        <f>AND('UP133'!EW29,"AAAAAHuq/0c=")</f>
        <v>#VALUE!</v>
      </c>
      <c r="BU68" t="e">
        <f>AND('UP133'!EX29,"AAAAAHuq/0g=")</f>
        <v>#VALUE!</v>
      </c>
      <c r="BV68" t="e">
        <f>AND('UP133'!EY29,"AAAAAHuq/0k=")</f>
        <v>#VALUE!</v>
      </c>
      <c r="BW68" t="e">
        <f>AND('UP133'!EZ29,"AAAAAHuq/0o=")</f>
        <v>#VALUE!</v>
      </c>
      <c r="BX68" t="e">
        <f>AND('UP133'!FA29,"AAAAAHuq/0s=")</f>
        <v>#VALUE!</v>
      </c>
      <c r="BY68" t="e">
        <f>AND('UP133'!FB29,"AAAAAHuq/0w=")</f>
        <v>#VALUE!</v>
      </c>
      <c r="BZ68" t="e">
        <f>AND('UP133'!FC29,"AAAAAHuq/00=")</f>
        <v>#VALUE!</v>
      </c>
      <c r="CA68" t="e">
        <f>AND('UP133'!FD29,"AAAAAHuq/04=")</f>
        <v>#VALUE!</v>
      </c>
      <c r="CB68" t="e">
        <f>AND('UP133'!FE29,"AAAAAHuq/08=")</f>
        <v>#VALUE!</v>
      </c>
      <c r="CC68" t="e">
        <f>AND('UP133'!FF29,"AAAAAHuq/1A=")</f>
        <v>#VALUE!</v>
      </c>
      <c r="CD68" t="e">
        <f>AND('UP133'!FG29,"AAAAAHuq/1E=")</f>
        <v>#VALUE!</v>
      </c>
      <c r="CE68" t="e">
        <f>AND('UP133'!FH29,"AAAAAHuq/1I=")</f>
        <v>#VALUE!</v>
      </c>
      <c r="CF68" t="e">
        <f>AND('UP133'!FI29,"AAAAAHuq/1M=")</f>
        <v>#VALUE!</v>
      </c>
      <c r="CG68" t="e">
        <f>AND('UP133'!FJ29,"AAAAAHuq/1Q=")</f>
        <v>#VALUE!</v>
      </c>
      <c r="CH68" t="e">
        <f>AND('UP133'!FK29,"AAAAAHuq/1U=")</f>
        <v>#VALUE!</v>
      </c>
      <c r="CI68" t="e">
        <f>AND('UP133'!FL29,"AAAAAHuq/1Y=")</f>
        <v>#VALUE!</v>
      </c>
      <c r="CJ68" t="e">
        <f>AND('UP133'!FM29,"AAAAAHuq/1c=")</f>
        <v>#VALUE!</v>
      </c>
      <c r="CK68" t="e">
        <f>AND('UP133'!FN29,"AAAAAHuq/1g=")</f>
        <v>#VALUE!</v>
      </c>
      <c r="CL68" t="e">
        <f>AND('UP133'!FO29,"AAAAAHuq/1k=")</f>
        <v>#VALUE!</v>
      </c>
      <c r="CM68" t="e">
        <f>AND('UP133'!FP29,"AAAAAHuq/1o=")</f>
        <v>#VALUE!</v>
      </c>
      <c r="CN68" t="e">
        <f>AND('UP133'!FQ29,"AAAAAHuq/1s=")</f>
        <v>#VALUE!</v>
      </c>
      <c r="CO68" t="e">
        <f>AND('UP133'!FR29,"AAAAAHuq/1w=")</f>
        <v>#VALUE!</v>
      </c>
      <c r="CP68" t="e">
        <f>AND('UP133'!FS29,"AAAAAHuq/10=")</f>
        <v>#VALUE!</v>
      </c>
      <c r="CQ68" t="e">
        <f>AND('UP133'!FT29,"AAAAAHuq/14=")</f>
        <v>#VALUE!</v>
      </c>
      <c r="CR68" t="e">
        <f>AND('UP133'!FU29,"AAAAAHuq/18=")</f>
        <v>#VALUE!</v>
      </c>
      <c r="CS68" t="e">
        <f>AND('UP133'!FV29,"AAAAAHuq/2A=")</f>
        <v>#VALUE!</v>
      </c>
      <c r="CT68" t="e">
        <f>AND('UP133'!FW29,"AAAAAHuq/2E=")</f>
        <v>#VALUE!</v>
      </c>
      <c r="CU68" t="e">
        <f>AND('UP133'!FX29,"AAAAAHuq/2I=")</f>
        <v>#VALUE!</v>
      </c>
      <c r="CV68" t="e">
        <f>AND('UP133'!FY29,"AAAAAHuq/2M=")</f>
        <v>#VALUE!</v>
      </c>
      <c r="CW68" t="e">
        <f>AND('UP133'!FZ29,"AAAAAHuq/2Q=")</f>
        <v>#VALUE!</v>
      </c>
      <c r="CX68" t="e">
        <f>AND('UP133'!GA29,"AAAAAHuq/2U=")</f>
        <v>#VALUE!</v>
      </c>
      <c r="CY68" t="e">
        <f>AND('UP133'!GB29,"AAAAAHuq/2Y=")</f>
        <v>#VALUE!</v>
      </c>
      <c r="CZ68" t="e">
        <f>AND('UP133'!GC29,"AAAAAHuq/2c=")</f>
        <v>#VALUE!</v>
      </c>
      <c r="DA68" t="e">
        <f>AND('UP133'!GD29,"AAAAAHuq/2g=")</f>
        <v>#VALUE!</v>
      </c>
      <c r="DB68" t="e">
        <f>AND('UP133'!GE29,"AAAAAHuq/2k=")</f>
        <v>#VALUE!</v>
      </c>
      <c r="DC68" t="e">
        <f>AND('UP133'!GF29,"AAAAAHuq/2o=")</f>
        <v>#VALUE!</v>
      </c>
      <c r="DD68" t="e">
        <f>AND('UP133'!GG29,"AAAAAHuq/2s=")</f>
        <v>#VALUE!</v>
      </c>
      <c r="DE68" t="e">
        <f>AND('UP133'!GH29,"AAAAAHuq/2w=")</f>
        <v>#VALUE!</v>
      </c>
      <c r="DF68" t="e">
        <f>AND('UP133'!GI29,"AAAAAHuq/20=")</f>
        <v>#VALUE!</v>
      </c>
      <c r="DG68" t="e">
        <f>AND('UP133'!GJ29,"AAAAAHuq/24=")</f>
        <v>#VALUE!</v>
      </c>
      <c r="DH68" t="e">
        <f>AND('UP133'!GK29,"AAAAAHuq/28=")</f>
        <v>#VALUE!</v>
      </c>
      <c r="DI68" t="e">
        <f>AND('UP133'!GL29,"AAAAAHuq/3A=")</f>
        <v>#VALUE!</v>
      </c>
      <c r="DJ68" t="e">
        <f>AND('UP133'!GM29,"AAAAAHuq/3E=")</f>
        <v>#VALUE!</v>
      </c>
      <c r="DK68" t="e">
        <f>AND('UP133'!GN29,"AAAAAHuq/3I=")</f>
        <v>#VALUE!</v>
      </c>
      <c r="DL68" t="e">
        <f>AND('UP133'!GO29,"AAAAAHuq/3M=")</f>
        <v>#VALUE!</v>
      </c>
      <c r="DM68" t="e">
        <f>AND('UP133'!GP29,"AAAAAHuq/3Q=")</f>
        <v>#VALUE!</v>
      </c>
      <c r="DN68" t="e">
        <f>AND('UP133'!GQ29,"AAAAAHuq/3U=")</f>
        <v>#VALUE!</v>
      </c>
      <c r="DO68" t="e">
        <f>AND('UP133'!GR29,"AAAAAHuq/3Y=")</f>
        <v>#VALUE!</v>
      </c>
      <c r="DP68" t="e">
        <f>AND('UP133'!GS29,"AAAAAHuq/3c=")</f>
        <v>#VALUE!</v>
      </c>
      <c r="DQ68" t="e">
        <f>AND('UP133'!GT29,"AAAAAHuq/3g=")</f>
        <v>#VALUE!</v>
      </c>
      <c r="DR68" t="e">
        <f>AND('UP133'!GU29,"AAAAAHuq/3k=")</f>
        <v>#VALUE!</v>
      </c>
      <c r="DS68" t="e">
        <f>AND('UP133'!GV29,"AAAAAHuq/3o=")</f>
        <v>#VALUE!</v>
      </c>
      <c r="DT68" t="e">
        <f>AND('UP133'!GW29,"AAAAAHuq/3s=")</f>
        <v>#VALUE!</v>
      </c>
      <c r="DU68" t="e">
        <f>AND('UP133'!GX29,"AAAAAHuq/3w=")</f>
        <v>#VALUE!</v>
      </c>
      <c r="DV68" t="e">
        <f>AND('UP133'!GY29,"AAAAAHuq/30=")</f>
        <v>#VALUE!</v>
      </c>
      <c r="DW68" t="e">
        <f>AND('UP133'!GZ29,"AAAAAHuq/34=")</f>
        <v>#VALUE!</v>
      </c>
      <c r="DX68" t="e">
        <f>AND('UP133'!HA29,"AAAAAHuq/38=")</f>
        <v>#VALUE!</v>
      </c>
      <c r="DY68" t="e">
        <f>AND('UP133'!HB29,"AAAAAHuq/4A=")</f>
        <v>#VALUE!</v>
      </c>
      <c r="DZ68" t="e">
        <f>AND('UP133'!HC29,"AAAAAHuq/4E=")</f>
        <v>#VALUE!</v>
      </c>
      <c r="EA68" t="e">
        <f>AND('UP133'!HD29,"AAAAAHuq/4I=")</f>
        <v>#VALUE!</v>
      </c>
      <c r="EB68" t="e">
        <f>AND('UP133'!HE29,"AAAAAHuq/4M=")</f>
        <v>#VALUE!</v>
      </c>
      <c r="EC68" t="e">
        <f>AND('UP133'!HF29,"AAAAAHuq/4Q=")</f>
        <v>#VALUE!</v>
      </c>
      <c r="ED68" t="e">
        <f>AND('UP133'!HG29,"AAAAAHuq/4U=")</f>
        <v>#VALUE!</v>
      </c>
      <c r="EE68" t="e">
        <f>AND('UP133'!HH29,"AAAAAHuq/4Y=")</f>
        <v>#VALUE!</v>
      </c>
      <c r="EF68" t="e">
        <f>AND('UP133'!HI29,"AAAAAHuq/4c=")</f>
        <v>#VALUE!</v>
      </c>
      <c r="EG68" t="e">
        <f>AND('UP133'!HJ29,"AAAAAHuq/4g=")</f>
        <v>#VALUE!</v>
      </c>
      <c r="EH68" t="e">
        <f>AND('UP133'!HK29,"AAAAAHuq/4k=")</f>
        <v>#VALUE!</v>
      </c>
      <c r="EI68" t="e">
        <f>AND('UP133'!HL29,"AAAAAHuq/4o=")</f>
        <v>#VALUE!</v>
      </c>
      <c r="EJ68" t="e">
        <f>AND('UP133'!HM29,"AAAAAHuq/4s=")</f>
        <v>#VALUE!</v>
      </c>
      <c r="EK68" t="e">
        <f>AND('UP133'!HN29,"AAAAAHuq/4w=")</f>
        <v>#VALUE!</v>
      </c>
      <c r="EL68" t="e">
        <f>AND('UP133'!HO29,"AAAAAHuq/40=")</f>
        <v>#VALUE!</v>
      </c>
      <c r="EM68" t="e">
        <f>AND('UP133'!HP29,"AAAAAHuq/44=")</f>
        <v>#VALUE!</v>
      </c>
      <c r="EN68" t="e">
        <f>AND('UP133'!HQ29,"AAAAAHuq/48=")</f>
        <v>#VALUE!</v>
      </c>
      <c r="EO68" t="e">
        <f>AND('UP133'!HR29,"AAAAAHuq/5A=")</f>
        <v>#VALUE!</v>
      </c>
      <c r="EP68" t="e">
        <f>AND('UP133'!HS29,"AAAAAHuq/5E=")</f>
        <v>#VALUE!</v>
      </c>
      <c r="EQ68" t="e">
        <f>AND('UP133'!HT29,"AAAAAHuq/5I=")</f>
        <v>#VALUE!</v>
      </c>
      <c r="ER68" t="e">
        <f>AND('UP133'!HU29,"AAAAAHuq/5M=")</f>
        <v>#VALUE!</v>
      </c>
      <c r="ES68" t="e">
        <f>AND('UP133'!HV29,"AAAAAHuq/5Q=")</f>
        <v>#VALUE!</v>
      </c>
      <c r="ET68" t="e">
        <f>AND('UP133'!HW29,"AAAAAHuq/5U=")</f>
        <v>#VALUE!</v>
      </c>
      <c r="EU68" t="e">
        <f>AND('UP133'!HX29,"AAAAAHuq/5Y=")</f>
        <v>#VALUE!</v>
      </c>
      <c r="EV68" t="e">
        <f>AND('UP133'!HY29,"AAAAAHuq/5c=")</f>
        <v>#VALUE!</v>
      </c>
      <c r="EW68" t="e">
        <f>AND('UP133'!HZ29,"AAAAAHuq/5g=")</f>
        <v>#VALUE!</v>
      </c>
      <c r="EX68" t="e">
        <f>AND('UP133'!IA29,"AAAAAHuq/5k=")</f>
        <v>#VALUE!</v>
      </c>
      <c r="EY68" t="e">
        <f>AND('UP133'!IB29,"AAAAAHuq/5o=")</f>
        <v>#VALUE!</v>
      </c>
      <c r="EZ68" t="e">
        <f>AND('UP133'!IC29,"AAAAAHuq/5s=")</f>
        <v>#VALUE!</v>
      </c>
      <c r="FA68" t="e">
        <f>AND('UP133'!ID29,"AAAAAHuq/5w=")</f>
        <v>#VALUE!</v>
      </c>
      <c r="FB68" t="e">
        <f>AND('UP133'!IE29,"AAAAAHuq/50=")</f>
        <v>#VALUE!</v>
      </c>
      <c r="FC68" t="e">
        <f>AND('UP133'!IF29,"AAAAAHuq/54=")</f>
        <v>#VALUE!</v>
      </c>
      <c r="FD68" t="e">
        <f>AND('UP133'!IG29,"AAAAAHuq/58=")</f>
        <v>#VALUE!</v>
      </c>
      <c r="FE68" t="e">
        <f>AND('UP133'!IH29,"AAAAAHuq/6A=")</f>
        <v>#VALUE!</v>
      </c>
      <c r="FF68" t="e">
        <f>AND('UP133'!II29,"AAAAAHuq/6E=")</f>
        <v>#VALUE!</v>
      </c>
      <c r="FG68" t="e">
        <f>AND('UP133'!IJ29,"AAAAAHuq/6I=")</f>
        <v>#VALUE!</v>
      </c>
      <c r="FH68" t="e">
        <f>AND('UP133'!IK29,"AAAAAHuq/6M=")</f>
        <v>#VALUE!</v>
      </c>
      <c r="FI68" t="e">
        <f>AND('UP133'!IL29,"AAAAAHuq/6Q=")</f>
        <v>#VALUE!</v>
      </c>
      <c r="FJ68" t="e">
        <f>AND('UP133'!IM29,"AAAAAHuq/6U=")</f>
        <v>#VALUE!</v>
      </c>
      <c r="FK68" t="e">
        <f>AND('UP133'!IN29,"AAAAAHuq/6Y=")</f>
        <v>#VALUE!</v>
      </c>
      <c r="FL68" t="e">
        <f>AND('UP133'!IO29,"AAAAAHuq/6c=")</f>
        <v>#VALUE!</v>
      </c>
      <c r="FM68" t="e">
        <f>AND('UP133'!IP29,"AAAAAHuq/6g=")</f>
        <v>#VALUE!</v>
      </c>
      <c r="FN68" t="e">
        <f>AND('UP133'!IQ29,"AAAAAHuq/6k=")</f>
        <v>#VALUE!</v>
      </c>
      <c r="FO68">
        <f>IF('UP133'!30:30,"AAAAAHuq/6o=",0)</f>
        <v>0</v>
      </c>
      <c r="FP68" t="e">
        <f>AND('UP133'!A30,"AAAAAHuq/6s=")</f>
        <v>#VALUE!</v>
      </c>
      <c r="FQ68" t="e">
        <f>AND('UP133'!B30,"AAAAAHuq/6w=")</f>
        <v>#VALUE!</v>
      </c>
      <c r="FR68" t="e">
        <f>AND('UP133'!C30,"AAAAAHuq/60=")</f>
        <v>#VALUE!</v>
      </c>
      <c r="FS68" t="e">
        <f>AND('UP133'!D30,"AAAAAHuq/64=")</f>
        <v>#VALUE!</v>
      </c>
      <c r="FT68" t="e">
        <f>AND('UP133'!E30,"AAAAAHuq/68=")</f>
        <v>#VALUE!</v>
      </c>
      <c r="FU68" t="e">
        <f>AND('UP133'!F30,"AAAAAHuq/7A=")</f>
        <v>#VALUE!</v>
      </c>
      <c r="FV68" t="e">
        <f>AND('UP133'!G30,"AAAAAHuq/7E=")</f>
        <v>#VALUE!</v>
      </c>
      <c r="FW68" t="e">
        <f>AND('UP133'!H30,"AAAAAHuq/7I=")</f>
        <v>#VALUE!</v>
      </c>
      <c r="FX68" t="e">
        <f>AND('UP133'!I30,"AAAAAHuq/7M=")</f>
        <v>#VALUE!</v>
      </c>
      <c r="FY68" t="e">
        <f>AND('UP133'!J30,"AAAAAHuq/7Q=")</f>
        <v>#VALUE!</v>
      </c>
      <c r="FZ68" t="e">
        <f>AND('UP133'!K30,"AAAAAHuq/7U=")</f>
        <v>#VALUE!</v>
      </c>
      <c r="GA68" t="e">
        <f>AND('UP133'!L30,"AAAAAHuq/7Y=")</f>
        <v>#VALUE!</v>
      </c>
      <c r="GB68" t="e">
        <f>AND('UP133'!M30,"AAAAAHuq/7c=")</f>
        <v>#VALUE!</v>
      </c>
      <c r="GC68" t="e">
        <f>AND('UP133'!N30,"AAAAAHuq/7g=")</f>
        <v>#VALUE!</v>
      </c>
      <c r="GD68" t="e">
        <f>AND('UP133'!O30,"AAAAAHuq/7k=")</f>
        <v>#VALUE!</v>
      </c>
      <c r="GE68" t="e">
        <f>AND('UP133'!P30,"AAAAAHuq/7o=")</f>
        <v>#VALUE!</v>
      </c>
      <c r="GF68" t="e">
        <f>AND('UP133'!Q30,"AAAAAHuq/7s=")</f>
        <v>#VALUE!</v>
      </c>
      <c r="GG68" t="e">
        <f>AND('UP133'!R30,"AAAAAHuq/7w=")</f>
        <v>#VALUE!</v>
      </c>
      <c r="GH68" t="e">
        <f>AND('UP133'!S30,"AAAAAHuq/70=")</f>
        <v>#VALUE!</v>
      </c>
      <c r="GI68" t="e">
        <f>AND('UP133'!T30,"AAAAAHuq/74=")</f>
        <v>#VALUE!</v>
      </c>
      <c r="GJ68" t="e">
        <f>AND('UP133'!U30,"AAAAAHuq/78=")</f>
        <v>#VALUE!</v>
      </c>
      <c r="GK68" t="e">
        <f>AND('UP133'!V30,"AAAAAHuq/8A=")</f>
        <v>#VALUE!</v>
      </c>
      <c r="GL68" t="e">
        <f>AND('UP133'!W30,"AAAAAHuq/8E=")</f>
        <v>#VALUE!</v>
      </c>
      <c r="GM68" t="e">
        <f>AND('UP133'!X30,"AAAAAHuq/8I=")</f>
        <v>#VALUE!</v>
      </c>
      <c r="GN68" t="e">
        <f>AND('UP133'!Y30,"AAAAAHuq/8M=")</f>
        <v>#VALUE!</v>
      </c>
      <c r="GO68" t="e">
        <f>AND('UP133'!Z30,"AAAAAHuq/8Q=")</f>
        <v>#VALUE!</v>
      </c>
      <c r="GP68" t="e">
        <f>AND('UP133'!AA30,"AAAAAHuq/8U=")</f>
        <v>#VALUE!</v>
      </c>
      <c r="GQ68" t="e">
        <f>AND('UP133'!AB30,"AAAAAHuq/8Y=")</f>
        <v>#VALUE!</v>
      </c>
      <c r="GR68" t="e">
        <f>AND('UP133'!AC30,"AAAAAHuq/8c=")</f>
        <v>#VALUE!</v>
      </c>
      <c r="GS68" t="e">
        <f>AND('UP133'!AD30,"AAAAAHuq/8g=")</f>
        <v>#VALUE!</v>
      </c>
      <c r="GT68" t="e">
        <f>AND('UP133'!AE30,"AAAAAHuq/8k=")</f>
        <v>#VALUE!</v>
      </c>
      <c r="GU68" t="e">
        <f>AND('UP133'!AF30,"AAAAAHuq/8o=")</f>
        <v>#VALUE!</v>
      </c>
      <c r="GV68" t="e">
        <f>AND('UP133'!AG30,"AAAAAHuq/8s=")</f>
        <v>#VALUE!</v>
      </c>
      <c r="GW68" t="e">
        <f>AND('UP133'!AH30,"AAAAAHuq/8w=")</f>
        <v>#VALUE!</v>
      </c>
      <c r="GX68" t="e">
        <f>AND('UP133'!AI30,"AAAAAHuq/80=")</f>
        <v>#VALUE!</v>
      </c>
      <c r="GY68" t="e">
        <f>AND('UP133'!AJ30,"AAAAAHuq/84=")</f>
        <v>#VALUE!</v>
      </c>
      <c r="GZ68" t="e">
        <f>AND('UP133'!AK30,"AAAAAHuq/88=")</f>
        <v>#VALUE!</v>
      </c>
      <c r="HA68" t="e">
        <f>AND('UP133'!AL30,"AAAAAHuq/9A=")</f>
        <v>#VALUE!</v>
      </c>
      <c r="HB68" t="e">
        <f>AND('UP133'!AM30,"AAAAAHuq/9E=")</f>
        <v>#VALUE!</v>
      </c>
      <c r="HC68" t="e">
        <f>AND('UP133'!AN30,"AAAAAHuq/9I=")</f>
        <v>#VALUE!</v>
      </c>
      <c r="HD68" t="e">
        <f>AND('UP133'!AO30,"AAAAAHuq/9M=")</f>
        <v>#VALUE!</v>
      </c>
      <c r="HE68" t="e">
        <f>AND('UP133'!AP30,"AAAAAHuq/9Q=")</f>
        <v>#VALUE!</v>
      </c>
      <c r="HF68" t="e">
        <f>AND('UP133'!AQ30,"AAAAAHuq/9U=")</f>
        <v>#VALUE!</v>
      </c>
      <c r="HG68" t="e">
        <f>AND('UP133'!AR30,"AAAAAHuq/9Y=")</f>
        <v>#VALUE!</v>
      </c>
      <c r="HH68" t="e">
        <f>AND('UP133'!AS30,"AAAAAHuq/9c=")</f>
        <v>#VALUE!</v>
      </c>
      <c r="HI68" t="e">
        <f>AND('UP133'!AT30,"AAAAAHuq/9g=")</f>
        <v>#VALUE!</v>
      </c>
      <c r="HJ68" t="e">
        <f>AND('UP133'!AU30,"AAAAAHuq/9k=")</f>
        <v>#VALUE!</v>
      </c>
      <c r="HK68" t="e">
        <f>AND('UP133'!AV30,"AAAAAHuq/9o=")</f>
        <v>#VALUE!</v>
      </c>
      <c r="HL68" t="e">
        <f>AND('UP133'!AW30,"AAAAAHuq/9s=")</f>
        <v>#VALUE!</v>
      </c>
      <c r="HM68" t="e">
        <f>AND('UP133'!AX30,"AAAAAHuq/9w=")</f>
        <v>#VALUE!</v>
      </c>
      <c r="HN68" t="e">
        <f>AND('UP133'!AY30,"AAAAAHuq/90=")</f>
        <v>#VALUE!</v>
      </c>
      <c r="HO68" t="e">
        <f>AND('UP133'!AZ30,"AAAAAHuq/94=")</f>
        <v>#VALUE!</v>
      </c>
      <c r="HP68" t="e">
        <f>AND('UP133'!BA30,"AAAAAHuq/98=")</f>
        <v>#VALUE!</v>
      </c>
      <c r="HQ68" t="e">
        <f>AND('UP133'!BB30,"AAAAAHuq/+A=")</f>
        <v>#VALUE!</v>
      </c>
      <c r="HR68" t="e">
        <f>AND('UP133'!BC30,"AAAAAHuq/+E=")</f>
        <v>#VALUE!</v>
      </c>
      <c r="HS68" t="e">
        <f>AND('UP133'!BD30,"AAAAAHuq/+I=")</f>
        <v>#VALUE!</v>
      </c>
      <c r="HT68" t="e">
        <f>AND('UP133'!BE30,"AAAAAHuq/+M=")</f>
        <v>#VALUE!</v>
      </c>
      <c r="HU68" t="e">
        <f>AND('UP133'!BF30,"AAAAAHuq/+Q=")</f>
        <v>#VALUE!</v>
      </c>
      <c r="HV68" t="e">
        <f>AND('UP133'!BG30,"AAAAAHuq/+U=")</f>
        <v>#VALUE!</v>
      </c>
      <c r="HW68" t="e">
        <f>AND('UP133'!BH30,"AAAAAHuq/+Y=")</f>
        <v>#VALUE!</v>
      </c>
      <c r="HX68" t="e">
        <f>AND('UP133'!BI30,"AAAAAHuq/+c=")</f>
        <v>#VALUE!</v>
      </c>
      <c r="HY68" t="e">
        <f>AND('UP133'!BJ30,"AAAAAHuq/+g=")</f>
        <v>#VALUE!</v>
      </c>
      <c r="HZ68" t="e">
        <f>AND('UP133'!BK30,"AAAAAHuq/+k=")</f>
        <v>#VALUE!</v>
      </c>
      <c r="IA68" t="e">
        <f>AND('UP133'!BL30,"AAAAAHuq/+o=")</f>
        <v>#VALUE!</v>
      </c>
      <c r="IB68" t="e">
        <f>AND('UP133'!BM30,"AAAAAHuq/+s=")</f>
        <v>#VALUE!</v>
      </c>
      <c r="IC68" t="e">
        <f>AND('UP133'!BN30,"AAAAAHuq/+w=")</f>
        <v>#VALUE!</v>
      </c>
      <c r="ID68" t="e">
        <f>AND('UP133'!BO30,"AAAAAHuq/+0=")</f>
        <v>#VALUE!</v>
      </c>
      <c r="IE68" t="e">
        <f>AND('UP133'!BP30,"AAAAAHuq/+4=")</f>
        <v>#VALUE!</v>
      </c>
      <c r="IF68" t="e">
        <f>AND('UP133'!BQ30,"AAAAAHuq/+8=")</f>
        <v>#VALUE!</v>
      </c>
      <c r="IG68" t="e">
        <f>AND('UP133'!BR30,"AAAAAHuq//A=")</f>
        <v>#VALUE!</v>
      </c>
      <c r="IH68" t="e">
        <f>AND('UP133'!BS30,"AAAAAHuq//E=")</f>
        <v>#VALUE!</v>
      </c>
      <c r="II68" t="e">
        <f>AND('UP133'!BT30,"AAAAAHuq//I=")</f>
        <v>#VALUE!</v>
      </c>
      <c r="IJ68" t="e">
        <f>AND('UP133'!BU30,"AAAAAHuq//M=")</f>
        <v>#VALUE!</v>
      </c>
      <c r="IK68" t="e">
        <f>AND('UP133'!BV30,"AAAAAHuq//Q=")</f>
        <v>#VALUE!</v>
      </c>
      <c r="IL68" t="e">
        <f>AND('UP133'!BW30,"AAAAAHuq//U=")</f>
        <v>#VALUE!</v>
      </c>
      <c r="IM68" t="e">
        <f>AND('UP133'!BX30,"AAAAAHuq//Y=")</f>
        <v>#VALUE!</v>
      </c>
      <c r="IN68" t="e">
        <f>AND('UP133'!BY30,"AAAAAHuq//c=")</f>
        <v>#VALUE!</v>
      </c>
      <c r="IO68" t="e">
        <f>AND('UP133'!BZ30,"AAAAAHuq//g=")</f>
        <v>#VALUE!</v>
      </c>
      <c r="IP68" t="e">
        <f>AND('UP133'!CA30,"AAAAAHuq//k=")</f>
        <v>#VALUE!</v>
      </c>
      <c r="IQ68" t="e">
        <f>AND('UP133'!CB30,"AAAAAHuq//o=")</f>
        <v>#VALUE!</v>
      </c>
      <c r="IR68" t="e">
        <f>AND('UP133'!CC30,"AAAAAHuq//s=")</f>
        <v>#VALUE!</v>
      </c>
      <c r="IS68" t="e">
        <f>AND('UP133'!CD30,"AAAAAHuq//w=")</f>
        <v>#VALUE!</v>
      </c>
      <c r="IT68" t="e">
        <f>AND('UP133'!CE30,"AAAAAHuq//0=")</f>
        <v>#VALUE!</v>
      </c>
      <c r="IU68" t="e">
        <f>AND('UP133'!CF30,"AAAAAHuq//4=")</f>
        <v>#VALUE!</v>
      </c>
      <c r="IV68" t="e">
        <f>AND('UP133'!CG30,"AAAAAHuq//8=")</f>
        <v>#VALUE!</v>
      </c>
    </row>
    <row r="69" spans="1:256">
      <c r="A69" t="e">
        <f>AND('UP133'!CH30,"AAAAAHn35QA=")</f>
        <v>#VALUE!</v>
      </c>
      <c r="B69" t="e">
        <f>AND('UP133'!CI30,"AAAAAHn35QE=")</f>
        <v>#VALUE!</v>
      </c>
      <c r="C69" t="e">
        <f>AND('UP133'!CJ30,"AAAAAHn35QI=")</f>
        <v>#VALUE!</v>
      </c>
      <c r="D69" t="e">
        <f>AND('UP133'!CK30,"AAAAAHn35QM=")</f>
        <v>#VALUE!</v>
      </c>
      <c r="E69" t="e">
        <f>AND('UP133'!CL30,"AAAAAHn35QQ=")</f>
        <v>#VALUE!</v>
      </c>
      <c r="F69" t="e">
        <f>AND('UP133'!CM30,"AAAAAHn35QU=")</f>
        <v>#VALUE!</v>
      </c>
      <c r="G69" t="e">
        <f>AND('UP133'!CN30,"AAAAAHn35QY=")</f>
        <v>#VALUE!</v>
      </c>
      <c r="H69" t="e">
        <f>AND('UP133'!CO30,"AAAAAHn35Qc=")</f>
        <v>#VALUE!</v>
      </c>
      <c r="I69" t="e">
        <f>AND('UP133'!CP30,"AAAAAHn35Qg=")</f>
        <v>#VALUE!</v>
      </c>
      <c r="J69" t="e">
        <f>AND('UP133'!CQ30,"AAAAAHn35Qk=")</f>
        <v>#VALUE!</v>
      </c>
      <c r="K69" t="e">
        <f>AND('UP133'!CR30,"AAAAAHn35Qo=")</f>
        <v>#VALUE!</v>
      </c>
      <c r="L69" t="e">
        <f>AND('UP133'!CS30,"AAAAAHn35Qs=")</f>
        <v>#VALUE!</v>
      </c>
      <c r="M69" t="e">
        <f>AND('UP133'!CT30,"AAAAAHn35Qw=")</f>
        <v>#VALUE!</v>
      </c>
      <c r="N69" t="e">
        <f>AND('UP133'!CU30,"AAAAAHn35Q0=")</f>
        <v>#VALUE!</v>
      </c>
      <c r="O69" t="e">
        <f>AND('UP133'!CV30,"AAAAAHn35Q4=")</f>
        <v>#VALUE!</v>
      </c>
      <c r="P69" t="e">
        <f>AND('UP133'!CW30,"AAAAAHn35Q8=")</f>
        <v>#VALUE!</v>
      </c>
      <c r="Q69" t="e">
        <f>AND('UP133'!CX30,"AAAAAHn35RA=")</f>
        <v>#VALUE!</v>
      </c>
      <c r="R69" t="e">
        <f>AND('UP133'!CY30,"AAAAAHn35RE=")</f>
        <v>#VALUE!</v>
      </c>
      <c r="S69" t="e">
        <f>AND('UP133'!CZ30,"AAAAAHn35RI=")</f>
        <v>#VALUE!</v>
      </c>
      <c r="T69" t="e">
        <f>AND('UP133'!DA30,"AAAAAHn35RM=")</f>
        <v>#VALUE!</v>
      </c>
      <c r="U69" t="e">
        <f>AND('UP133'!DB30,"AAAAAHn35RQ=")</f>
        <v>#VALUE!</v>
      </c>
      <c r="V69" t="e">
        <f>AND('UP133'!DC30,"AAAAAHn35RU=")</f>
        <v>#VALUE!</v>
      </c>
      <c r="W69" t="e">
        <f>AND('UP133'!DD30,"AAAAAHn35RY=")</f>
        <v>#VALUE!</v>
      </c>
      <c r="X69" t="e">
        <f>AND('UP133'!DE30,"AAAAAHn35Rc=")</f>
        <v>#VALUE!</v>
      </c>
      <c r="Y69" t="e">
        <f>AND('UP133'!DF30,"AAAAAHn35Rg=")</f>
        <v>#VALUE!</v>
      </c>
      <c r="Z69" t="e">
        <f>AND('UP133'!DG30,"AAAAAHn35Rk=")</f>
        <v>#VALUE!</v>
      </c>
      <c r="AA69" t="e">
        <f>AND('UP133'!DH30,"AAAAAHn35Ro=")</f>
        <v>#VALUE!</v>
      </c>
      <c r="AB69" t="e">
        <f>AND('UP133'!DI30,"AAAAAHn35Rs=")</f>
        <v>#VALUE!</v>
      </c>
      <c r="AC69" t="e">
        <f>AND('UP133'!DJ30,"AAAAAHn35Rw=")</f>
        <v>#VALUE!</v>
      </c>
      <c r="AD69" t="e">
        <f>AND('UP133'!DK30,"AAAAAHn35R0=")</f>
        <v>#VALUE!</v>
      </c>
      <c r="AE69" t="e">
        <f>AND('UP133'!DL30,"AAAAAHn35R4=")</f>
        <v>#VALUE!</v>
      </c>
      <c r="AF69" t="e">
        <f>AND('UP133'!DM30,"AAAAAHn35R8=")</f>
        <v>#VALUE!</v>
      </c>
      <c r="AG69" t="e">
        <f>AND('UP133'!DN30,"AAAAAHn35SA=")</f>
        <v>#VALUE!</v>
      </c>
      <c r="AH69" t="e">
        <f>AND('UP133'!DO30,"AAAAAHn35SE=")</f>
        <v>#VALUE!</v>
      </c>
      <c r="AI69" t="e">
        <f>AND('UP133'!DP30,"AAAAAHn35SI=")</f>
        <v>#VALUE!</v>
      </c>
      <c r="AJ69" t="e">
        <f>AND('UP133'!DQ30,"AAAAAHn35SM=")</f>
        <v>#VALUE!</v>
      </c>
      <c r="AK69" t="e">
        <f>AND('UP133'!DR30,"AAAAAHn35SQ=")</f>
        <v>#VALUE!</v>
      </c>
      <c r="AL69" t="e">
        <f>AND('UP133'!DS30,"AAAAAHn35SU=")</f>
        <v>#VALUE!</v>
      </c>
      <c r="AM69" t="e">
        <f>AND('UP133'!DT30,"AAAAAHn35SY=")</f>
        <v>#VALUE!</v>
      </c>
      <c r="AN69" t="e">
        <f>AND('UP133'!DU30,"AAAAAHn35Sc=")</f>
        <v>#VALUE!</v>
      </c>
      <c r="AO69" t="e">
        <f>AND('UP133'!DV30,"AAAAAHn35Sg=")</f>
        <v>#VALUE!</v>
      </c>
      <c r="AP69" t="e">
        <f>AND('UP133'!DW30,"AAAAAHn35Sk=")</f>
        <v>#VALUE!</v>
      </c>
      <c r="AQ69" t="e">
        <f>AND('UP133'!DX30,"AAAAAHn35So=")</f>
        <v>#VALUE!</v>
      </c>
      <c r="AR69" t="e">
        <f>AND('UP133'!DY30,"AAAAAHn35Ss=")</f>
        <v>#VALUE!</v>
      </c>
      <c r="AS69" t="e">
        <f>AND('UP133'!DZ30,"AAAAAHn35Sw=")</f>
        <v>#VALUE!</v>
      </c>
      <c r="AT69" t="e">
        <f>AND('UP133'!EA30,"AAAAAHn35S0=")</f>
        <v>#VALUE!</v>
      </c>
      <c r="AU69" t="e">
        <f>AND('UP133'!EB30,"AAAAAHn35S4=")</f>
        <v>#VALUE!</v>
      </c>
      <c r="AV69" t="e">
        <f>AND('UP133'!EC30,"AAAAAHn35S8=")</f>
        <v>#VALUE!</v>
      </c>
      <c r="AW69" t="e">
        <f>AND('UP133'!ED30,"AAAAAHn35TA=")</f>
        <v>#VALUE!</v>
      </c>
      <c r="AX69" t="e">
        <f>AND('UP133'!EE30,"AAAAAHn35TE=")</f>
        <v>#VALUE!</v>
      </c>
      <c r="AY69" t="e">
        <f>AND('UP133'!EF30,"AAAAAHn35TI=")</f>
        <v>#VALUE!</v>
      </c>
      <c r="AZ69" t="e">
        <f>AND('UP133'!EG30,"AAAAAHn35TM=")</f>
        <v>#VALUE!</v>
      </c>
      <c r="BA69" t="e">
        <f>AND('UP133'!EH30,"AAAAAHn35TQ=")</f>
        <v>#VALUE!</v>
      </c>
      <c r="BB69" t="e">
        <f>AND('UP133'!EI30,"AAAAAHn35TU=")</f>
        <v>#VALUE!</v>
      </c>
      <c r="BC69" t="e">
        <f>AND('UP133'!EJ30,"AAAAAHn35TY=")</f>
        <v>#VALUE!</v>
      </c>
      <c r="BD69" t="e">
        <f>AND('UP133'!EK30,"AAAAAHn35Tc=")</f>
        <v>#VALUE!</v>
      </c>
      <c r="BE69" t="e">
        <f>AND('UP133'!EL30,"AAAAAHn35Tg=")</f>
        <v>#VALUE!</v>
      </c>
      <c r="BF69" t="e">
        <f>AND('UP133'!EM30,"AAAAAHn35Tk=")</f>
        <v>#VALUE!</v>
      </c>
      <c r="BG69" t="e">
        <f>AND('UP133'!EN30,"AAAAAHn35To=")</f>
        <v>#VALUE!</v>
      </c>
      <c r="BH69" t="e">
        <f>AND('UP133'!EO30,"AAAAAHn35Ts=")</f>
        <v>#VALUE!</v>
      </c>
      <c r="BI69" t="e">
        <f>AND('UP133'!EP30,"AAAAAHn35Tw=")</f>
        <v>#VALUE!</v>
      </c>
      <c r="BJ69" t="e">
        <f>AND('UP133'!EQ30,"AAAAAHn35T0=")</f>
        <v>#VALUE!</v>
      </c>
      <c r="BK69" t="e">
        <f>AND('UP133'!ER30,"AAAAAHn35T4=")</f>
        <v>#VALUE!</v>
      </c>
      <c r="BL69" t="e">
        <f>AND('UP133'!ES30,"AAAAAHn35T8=")</f>
        <v>#VALUE!</v>
      </c>
      <c r="BM69" t="e">
        <f>AND('UP133'!ET30,"AAAAAHn35UA=")</f>
        <v>#VALUE!</v>
      </c>
      <c r="BN69" t="e">
        <f>AND('UP133'!EU30,"AAAAAHn35UE=")</f>
        <v>#VALUE!</v>
      </c>
      <c r="BO69" t="e">
        <f>AND('UP133'!EV30,"AAAAAHn35UI=")</f>
        <v>#VALUE!</v>
      </c>
      <c r="BP69" t="e">
        <f>AND('UP133'!EW30,"AAAAAHn35UM=")</f>
        <v>#VALUE!</v>
      </c>
      <c r="BQ69" t="e">
        <f>AND('UP133'!EX30,"AAAAAHn35UQ=")</f>
        <v>#VALUE!</v>
      </c>
      <c r="BR69" t="e">
        <f>AND('UP133'!EY30,"AAAAAHn35UU=")</f>
        <v>#VALUE!</v>
      </c>
      <c r="BS69" t="e">
        <f>AND('UP133'!EZ30,"AAAAAHn35UY=")</f>
        <v>#VALUE!</v>
      </c>
      <c r="BT69" t="e">
        <f>AND('UP133'!FA30,"AAAAAHn35Uc=")</f>
        <v>#VALUE!</v>
      </c>
      <c r="BU69" t="e">
        <f>AND('UP133'!FB30,"AAAAAHn35Ug=")</f>
        <v>#VALUE!</v>
      </c>
      <c r="BV69" t="e">
        <f>AND('UP133'!FC30,"AAAAAHn35Uk=")</f>
        <v>#VALUE!</v>
      </c>
      <c r="BW69" t="e">
        <f>AND('UP133'!FD30,"AAAAAHn35Uo=")</f>
        <v>#VALUE!</v>
      </c>
      <c r="BX69" t="e">
        <f>AND('UP133'!FE30,"AAAAAHn35Us=")</f>
        <v>#VALUE!</v>
      </c>
      <c r="BY69" t="e">
        <f>AND('UP133'!FF30,"AAAAAHn35Uw=")</f>
        <v>#VALUE!</v>
      </c>
      <c r="BZ69" t="e">
        <f>AND('UP133'!FG30,"AAAAAHn35U0=")</f>
        <v>#VALUE!</v>
      </c>
      <c r="CA69" t="e">
        <f>AND('UP133'!FH30,"AAAAAHn35U4=")</f>
        <v>#VALUE!</v>
      </c>
      <c r="CB69" t="e">
        <f>AND('UP133'!FI30,"AAAAAHn35U8=")</f>
        <v>#VALUE!</v>
      </c>
      <c r="CC69" t="e">
        <f>AND('UP133'!FJ30,"AAAAAHn35VA=")</f>
        <v>#VALUE!</v>
      </c>
      <c r="CD69" t="e">
        <f>AND('UP133'!FK30,"AAAAAHn35VE=")</f>
        <v>#VALUE!</v>
      </c>
      <c r="CE69" t="e">
        <f>AND('UP133'!FL30,"AAAAAHn35VI=")</f>
        <v>#VALUE!</v>
      </c>
      <c r="CF69" t="e">
        <f>AND('UP133'!FM30,"AAAAAHn35VM=")</f>
        <v>#VALUE!</v>
      </c>
      <c r="CG69" t="e">
        <f>AND('UP133'!FN30,"AAAAAHn35VQ=")</f>
        <v>#VALUE!</v>
      </c>
      <c r="CH69" t="e">
        <f>AND('UP133'!FO30,"AAAAAHn35VU=")</f>
        <v>#VALUE!</v>
      </c>
      <c r="CI69" t="e">
        <f>AND('UP133'!FP30,"AAAAAHn35VY=")</f>
        <v>#VALUE!</v>
      </c>
      <c r="CJ69" t="e">
        <f>AND('UP133'!FQ30,"AAAAAHn35Vc=")</f>
        <v>#VALUE!</v>
      </c>
      <c r="CK69" t="e">
        <f>AND('UP133'!FR30,"AAAAAHn35Vg=")</f>
        <v>#VALUE!</v>
      </c>
      <c r="CL69" t="e">
        <f>AND('UP133'!FS30,"AAAAAHn35Vk=")</f>
        <v>#VALUE!</v>
      </c>
      <c r="CM69" t="e">
        <f>AND('UP133'!FT30,"AAAAAHn35Vo=")</f>
        <v>#VALUE!</v>
      </c>
      <c r="CN69" t="e">
        <f>AND('UP133'!FU30,"AAAAAHn35Vs=")</f>
        <v>#VALUE!</v>
      </c>
      <c r="CO69" t="e">
        <f>AND('UP133'!FV30,"AAAAAHn35Vw=")</f>
        <v>#VALUE!</v>
      </c>
      <c r="CP69" t="e">
        <f>AND('UP133'!FW30,"AAAAAHn35V0=")</f>
        <v>#VALUE!</v>
      </c>
      <c r="CQ69" t="e">
        <f>AND('UP133'!FX30,"AAAAAHn35V4=")</f>
        <v>#VALUE!</v>
      </c>
      <c r="CR69" t="e">
        <f>AND('UP133'!FY30,"AAAAAHn35V8=")</f>
        <v>#VALUE!</v>
      </c>
      <c r="CS69" t="e">
        <f>AND('UP133'!FZ30,"AAAAAHn35WA=")</f>
        <v>#VALUE!</v>
      </c>
      <c r="CT69" t="e">
        <f>AND('UP133'!GA30,"AAAAAHn35WE=")</f>
        <v>#VALUE!</v>
      </c>
      <c r="CU69" t="e">
        <f>AND('UP133'!GB30,"AAAAAHn35WI=")</f>
        <v>#VALUE!</v>
      </c>
      <c r="CV69" t="e">
        <f>AND('UP133'!GC30,"AAAAAHn35WM=")</f>
        <v>#VALUE!</v>
      </c>
      <c r="CW69" t="e">
        <f>AND('UP133'!GD30,"AAAAAHn35WQ=")</f>
        <v>#VALUE!</v>
      </c>
      <c r="CX69" t="e">
        <f>AND('UP133'!GE30,"AAAAAHn35WU=")</f>
        <v>#VALUE!</v>
      </c>
      <c r="CY69" t="e">
        <f>AND('UP133'!GF30,"AAAAAHn35WY=")</f>
        <v>#VALUE!</v>
      </c>
      <c r="CZ69" t="e">
        <f>AND('UP133'!GG30,"AAAAAHn35Wc=")</f>
        <v>#VALUE!</v>
      </c>
      <c r="DA69" t="e">
        <f>AND('UP133'!GH30,"AAAAAHn35Wg=")</f>
        <v>#VALUE!</v>
      </c>
      <c r="DB69" t="e">
        <f>AND('UP133'!GI30,"AAAAAHn35Wk=")</f>
        <v>#VALUE!</v>
      </c>
      <c r="DC69" t="e">
        <f>AND('UP133'!GJ30,"AAAAAHn35Wo=")</f>
        <v>#VALUE!</v>
      </c>
      <c r="DD69" t="e">
        <f>AND('UP133'!GK30,"AAAAAHn35Ws=")</f>
        <v>#VALUE!</v>
      </c>
      <c r="DE69" t="e">
        <f>AND('UP133'!GL30,"AAAAAHn35Ww=")</f>
        <v>#VALUE!</v>
      </c>
      <c r="DF69" t="e">
        <f>AND('UP133'!GM30,"AAAAAHn35W0=")</f>
        <v>#VALUE!</v>
      </c>
      <c r="DG69" t="e">
        <f>AND('UP133'!GN30,"AAAAAHn35W4=")</f>
        <v>#VALUE!</v>
      </c>
      <c r="DH69" t="e">
        <f>AND('UP133'!GO30,"AAAAAHn35W8=")</f>
        <v>#VALUE!</v>
      </c>
      <c r="DI69" t="e">
        <f>AND('UP133'!GP30,"AAAAAHn35XA=")</f>
        <v>#VALUE!</v>
      </c>
      <c r="DJ69" t="e">
        <f>AND('UP133'!GQ30,"AAAAAHn35XE=")</f>
        <v>#VALUE!</v>
      </c>
      <c r="DK69" t="e">
        <f>AND('UP133'!GR30,"AAAAAHn35XI=")</f>
        <v>#VALUE!</v>
      </c>
      <c r="DL69" t="e">
        <f>AND('UP133'!GS30,"AAAAAHn35XM=")</f>
        <v>#VALUE!</v>
      </c>
      <c r="DM69" t="e">
        <f>AND('UP133'!GT30,"AAAAAHn35XQ=")</f>
        <v>#VALUE!</v>
      </c>
      <c r="DN69" t="e">
        <f>AND('UP133'!GU30,"AAAAAHn35XU=")</f>
        <v>#VALUE!</v>
      </c>
      <c r="DO69" t="e">
        <f>AND('UP133'!GV30,"AAAAAHn35XY=")</f>
        <v>#VALUE!</v>
      </c>
      <c r="DP69" t="e">
        <f>AND('UP133'!GW30,"AAAAAHn35Xc=")</f>
        <v>#VALUE!</v>
      </c>
      <c r="DQ69" t="e">
        <f>AND('UP133'!GX30,"AAAAAHn35Xg=")</f>
        <v>#VALUE!</v>
      </c>
      <c r="DR69" t="e">
        <f>AND('UP133'!GY30,"AAAAAHn35Xk=")</f>
        <v>#VALUE!</v>
      </c>
      <c r="DS69" t="e">
        <f>AND('UP133'!GZ30,"AAAAAHn35Xo=")</f>
        <v>#VALUE!</v>
      </c>
      <c r="DT69" t="e">
        <f>AND('UP133'!HA30,"AAAAAHn35Xs=")</f>
        <v>#VALUE!</v>
      </c>
      <c r="DU69" t="e">
        <f>AND('UP133'!HB30,"AAAAAHn35Xw=")</f>
        <v>#VALUE!</v>
      </c>
      <c r="DV69" t="e">
        <f>AND('UP133'!HC30,"AAAAAHn35X0=")</f>
        <v>#VALUE!</v>
      </c>
      <c r="DW69" t="e">
        <f>AND('UP133'!HD30,"AAAAAHn35X4=")</f>
        <v>#VALUE!</v>
      </c>
      <c r="DX69" t="e">
        <f>AND('UP133'!HE30,"AAAAAHn35X8=")</f>
        <v>#VALUE!</v>
      </c>
      <c r="DY69" t="e">
        <f>AND('UP133'!HF30,"AAAAAHn35YA=")</f>
        <v>#VALUE!</v>
      </c>
      <c r="DZ69" t="e">
        <f>AND('UP133'!HG30,"AAAAAHn35YE=")</f>
        <v>#VALUE!</v>
      </c>
      <c r="EA69" t="e">
        <f>AND('UP133'!HH30,"AAAAAHn35YI=")</f>
        <v>#VALUE!</v>
      </c>
      <c r="EB69" t="e">
        <f>AND('UP133'!HI30,"AAAAAHn35YM=")</f>
        <v>#VALUE!</v>
      </c>
      <c r="EC69" t="e">
        <f>AND('UP133'!HJ30,"AAAAAHn35YQ=")</f>
        <v>#VALUE!</v>
      </c>
      <c r="ED69" t="e">
        <f>AND('UP133'!HK30,"AAAAAHn35YU=")</f>
        <v>#VALUE!</v>
      </c>
      <c r="EE69" t="e">
        <f>AND('UP133'!HL30,"AAAAAHn35YY=")</f>
        <v>#VALUE!</v>
      </c>
      <c r="EF69" t="e">
        <f>AND('UP133'!HM30,"AAAAAHn35Yc=")</f>
        <v>#VALUE!</v>
      </c>
      <c r="EG69" t="e">
        <f>AND('UP133'!HN30,"AAAAAHn35Yg=")</f>
        <v>#VALUE!</v>
      </c>
      <c r="EH69" t="e">
        <f>AND('UP133'!HO30,"AAAAAHn35Yk=")</f>
        <v>#VALUE!</v>
      </c>
      <c r="EI69" t="e">
        <f>AND('UP133'!HP30,"AAAAAHn35Yo=")</f>
        <v>#VALUE!</v>
      </c>
      <c r="EJ69" t="e">
        <f>AND('UP133'!HQ30,"AAAAAHn35Ys=")</f>
        <v>#VALUE!</v>
      </c>
      <c r="EK69" t="e">
        <f>AND('UP133'!HR30,"AAAAAHn35Yw=")</f>
        <v>#VALUE!</v>
      </c>
      <c r="EL69" t="e">
        <f>AND('UP133'!HS30,"AAAAAHn35Y0=")</f>
        <v>#VALUE!</v>
      </c>
      <c r="EM69" t="e">
        <f>AND('UP133'!HT30,"AAAAAHn35Y4=")</f>
        <v>#VALUE!</v>
      </c>
      <c r="EN69" t="e">
        <f>AND('UP133'!HU30,"AAAAAHn35Y8=")</f>
        <v>#VALUE!</v>
      </c>
      <c r="EO69" t="e">
        <f>AND('UP133'!HV30,"AAAAAHn35ZA=")</f>
        <v>#VALUE!</v>
      </c>
      <c r="EP69" t="e">
        <f>AND('UP133'!HW30,"AAAAAHn35ZE=")</f>
        <v>#VALUE!</v>
      </c>
      <c r="EQ69" t="e">
        <f>AND('UP133'!HX30,"AAAAAHn35ZI=")</f>
        <v>#VALUE!</v>
      </c>
      <c r="ER69" t="e">
        <f>AND('UP133'!HY30,"AAAAAHn35ZM=")</f>
        <v>#VALUE!</v>
      </c>
      <c r="ES69" t="e">
        <f>AND('UP133'!HZ30,"AAAAAHn35ZQ=")</f>
        <v>#VALUE!</v>
      </c>
      <c r="ET69" t="e">
        <f>AND('UP133'!IA30,"AAAAAHn35ZU=")</f>
        <v>#VALUE!</v>
      </c>
      <c r="EU69" t="e">
        <f>AND('UP133'!IB30,"AAAAAHn35ZY=")</f>
        <v>#VALUE!</v>
      </c>
      <c r="EV69" t="e">
        <f>AND('UP133'!IC30,"AAAAAHn35Zc=")</f>
        <v>#VALUE!</v>
      </c>
      <c r="EW69" t="e">
        <f>AND('UP133'!ID30,"AAAAAHn35Zg=")</f>
        <v>#VALUE!</v>
      </c>
      <c r="EX69" t="e">
        <f>AND('UP133'!IE30,"AAAAAHn35Zk=")</f>
        <v>#VALUE!</v>
      </c>
      <c r="EY69" t="e">
        <f>AND('UP133'!IF30,"AAAAAHn35Zo=")</f>
        <v>#VALUE!</v>
      </c>
      <c r="EZ69" t="e">
        <f>AND('UP133'!IG30,"AAAAAHn35Zs=")</f>
        <v>#VALUE!</v>
      </c>
      <c r="FA69" t="e">
        <f>AND('UP133'!IH30,"AAAAAHn35Zw=")</f>
        <v>#VALUE!</v>
      </c>
      <c r="FB69" t="e">
        <f>AND('UP133'!II30,"AAAAAHn35Z0=")</f>
        <v>#VALUE!</v>
      </c>
      <c r="FC69" t="e">
        <f>AND('UP133'!IJ30,"AAAAAHn35Z4=")</f>
        <v>#VALUE!</v>
      </c>
      <c r="FD69" t="e">
        <f>AND('UP133'!IK30,"AAAAAHn35Z8=")</f>
        <v>#VALUE!</v>
      </c>
      <c r="FE69" t="e">
        <f>AND('UP133'!IL30,"AAAAAHn35aA=")</f>
        <v>#VALUE!</v>
      </c>
      <c r="FF69" t="e">
        <f>AND('UP133'!IM30,"AAAAAHn35aE=")</f>
        <v>#VALUE!</v>
      </c>
      <c r="FG69" t="e">
        <f>AND('UP133'!IN30,"AAAAAHn35aI=")</f>
        <v>#VALUE!</v>
      </c>
      <c r="FH69" t="e">
        <f>AND('UP133'!IO30,"AAAAAHn35aM=")</f>
        <v>#VALUE!</v>
      </c>
      <c r="FI69" t="e">
        <f>AND('UP133'!IP30,"AAAAAHn35aQ=")</f>
        <v>#VALUE!</v>
      </c>
      <c r="FJ69" t="e">
        <f>AND('UP133'!IQ30,"AAAAAHn35aU=")</f>
        <v>#VALUE!</v>
      </c>
      <c r="FK69">
        <f>IF('UP133'!31:31,"AAAAAHn35aY=",0)</f>
        <v>0</v>
      </c>
      <c r="FL69" t="e">
        <f>AND('UP133'!A31,"AAAAAHn35ac=")</f>
        <v>#VALUE!</v>
      </c>
      <c r="FM69" t="e">
        <f>AND('UP133'!B31,"AAAAAHn35ag=")</f>
        <v>#VALUE!</v>
      </c>
      <c r="FN69" t="e">
        <f>AND('UP133'!C31,"AAAAAHn35ak=")</f>
        <v>#VALUE!</v>
      </c>
      <c r="FO69" t="e">
        <f>AND('UP133'!D31,"AAAAAHn35ao=")</f>
        <v>#VALUE!</v>
      </c>
      <c r="FP69" t="e">
        <f>AND('UP133'!E31,"AAAAAHn35as=")</f>
        <v>#VALUE!</v>
      </c>
      <c r="FQ69" t="e">
        <f>AND('UP133'!F31,"AAAAAHn35aw=")</f>
        <v>#VALUE!</v>
      </c>
      <c r="FR69" t="e">
        <f>AND('UP133'!G31,"AAAAAHn35a0=")</f>
        <v>#VALUE!</v>
      </c>
      <c r="FS69" t="e">
        <f>AND('UP133'!H31,"AAAAAHn35a4=")</f>
        <v>#VALUE!</v>
      </c>
      <c r="FT69" t="e">
        <f>AND('UP133'!I31,"AAAAAHn35a8=")</f>
        <v>#VALUE!</v>
      </c>
      <c r="FU69" t="e">
        <f>AND('UP133'!J31,"AAAAAHn35bA=")</f>
        <v>#VALUE!</v>
      </c>
      <c r="FV69" t="e">
        <f>AND('UP133'!K31,"AAAAAHn35bE=")</f>
        <v>#VALUE!</v>
      </c>
      <c r="FW69" t="e">
        <f>AND('UP133'!L31,"AAAAAHn35bI=")</f>
        <v>#VALUE!</v>
      </c>
      <c r="FX69" t="e">
        <f>AND('UP133'!M31,"AAAAAHn35bM=")</f>
        <v>#VALUE!</v>
      </c>
      <c r="FY69" t="e">
        <f>AND('UP133'!N31,"AAAAAHn35bQ=")</f>
        <v>#VALUE!</v>
      </c>
      <c r="FZ69" t="e">
        <f>AND('UP133'!O31,"AAAAAHn35bU=")</f>
        <v>#VALUE!</v>
      </c>
      <c r="GA69" t="e">
        <f>AND('UP133'!P31,"AAAAAHn35bY=")</f>
        <v>#VALUE!</v>
      </c>
      <c r="GB69" t="e">
        <f>AND('UP133'!Q31,"AAAAAHn35bc=")</f>
        <v>#VALUE!</v>
      </c>
      <c r="GC69" t="e">
        <f>AND('UP133'!R31,"AAAAAHn35bg=")</f>
        <v>#VALUE!</v>
      </c>
      <c r="GD69" t="e">
        <f>AND('UP133'!S31,"AAAAAHn35bk=")</f>
        <v>#VALUE!</v>
      </c>
      <c r="GE69" t="e">
        <f>AND('UP133'!T31,"AAAAAHn35bo=")</f>
        <v>#VALUE!</v>
      </c>
      <c r="GF69" t="e">
        <f>AND('UP133'!U31,"AAAAAHn35bs=")</f>
        <v>#VALUE!</v>
      </c>
      <c r="GG69" t="e">
        <f>AND('UP133'!V31,"AAAAAHn35bw=")</f>
        <v>#VALUE!</v>
      </c>
      <c r="GH69" t="e">
        <f>AND('UP133'!W31,"AAAAAHn35b0=")</f>
        <v>#VALUE!</v>
      </c>
      <c r="GI69" t="e">
        <f>AND('UP133'!X31,"AAAAAHn35b4=")</f>
        <v>#VALUE!</v>
      </c>
      <c r="GJ69" t="e">
        <f>AND('UP133'!Y31,"AAAAAHn35b8=")</f>
        <v>#VALUE!</v>
      </c>
      <c r="GK69" t="e">
        <f>AND('UP133'!Z31,"AAAAAHn35cA=")</f>
        <v>#VALUE!</v>
      </c>
      <c r="GL69" t="e">
        <f>AND('UP133'!AA31,"AAAAAHn35cE=")</f>
        <v>#VALUE!</v>
      </c>
      <c r="GM69" t="e">
        <f>AND('UP133'!AB31,"AAAAAHn35cI=")</f>
        <v>#VALUE!</v>
      </c>
      <c r="GN69" t="e">
        <f>AND('UP133'!AC31,"AAAAAHn35cM=")</f>
        <v>#VALUE!</v>
      </c>
      <c r="GO69" t="e">
        <f>AND('UP133'!AD31,"AAAAAHn35cQ=")</f>
        <v>#VALUE!</v>
      </c>
      <c r="GP69" t="e">
        <f>AND('UP133'!AE31,"AAAAAHn35cU=")</f>
        <v>#VALUE!</v>
      </c>
      <c r="GQ69" t="e">
        <f>AND('UP133'!AF31,"AAAAAHn35cY=")</f>
        <v>#VALUE!</v>
      </c>
      <c r="GR69" t="e">
        <f>AND('UP133'!AG31,"AAAAAHn35cc=")</f>
        <v>#VALUE!</v>
      </c>
      <c r="GS69" t="e">
        <f>AND('UP133'!AH31,"AAAAAHn35cg=")</f>
        <v>#VALUE!</v>
      </c>
      <c r="GT69" t="e">
        <f>AND('UP133'!AI31,"AAAAAHn35ck=")</f>
        <v>#VALUE!</v>
      </c>
      <c r="GU69" t="e">
        <f>AND('UP133'!AJ31,"AAAAAHn35co=")</f>
        <v>#VALUE!</v>
      </c>
      <c r="GV69" t="e">
        <f>AND('UP133'!AK31,"AAAAAHn35cs=")</f>
        <v>#VALUE!</v>
      </c>
      <c r="GW69" t="e">
        <f>AND('UP133'!AL31,"AAAAAHn35cw=")</f>
        <v>#VALUE!</v>
      </c>
      <c r="GX69" t="e">
        <f>AND('UP133'!AM31,"AAAAAHn35c0=")</f>
        <v>#VALUE!</v>
      </c>
      <c r="GY69" t="e">
        <f>AND('UP133'!AN31,"AAAAAHn35c4=")</f>
        <v>#VALUE!</v>
      </c>
      <c r="GZ69" t="e">
        <f>AND('UP133'!AO31,"AAAAAHn35c8=")</f>
        <v>#VALUE!</v>
      </c>
      <c r="HA69" t="e">
        <f>AND('UP133'!AP31,"AAAAAHn35dA=")</f>
        <v>#VALUE!</v>
      </c>
      <c r="HB69" t="e">
        <f>AND('UP133'!AQ31,"AAAAAHn35dE=")</f>
        <v>#VALUE!</v>
      </c>
      <c r="HC69" t="e">
        <f>AND('UP133'!AR31,"AAAAAHn35dI=")</f>
        <v>#VALUE!</v>
      </c>
      <c r="HD69" t="e">
        <f>AND('UP133'!AS31,"AAAAAHn35dM=")</f>
        <v>#VALUE!</v>
      </c>
      <c r="HE69" t="e">
        <f>AND('UP133'!AT31,"AAAAAHn35dQ=")</f>
        <v>#VALUE!</v>
      </c>
      <c r="HF69" t="e">
        <f>AND('UP133'!AU31,"AAAAAHn35dU=")</f>
        <v>#VALUE!</v>
      </c>
      <c r="HG69" t="e">
        <f>AND('UP133'!AV31,"AAAAAHn35dY=")</f>
        <v>#VALUE!</v>
      </c>
      <c r="HH69" t="e">
        <f>AND('UP133'!AW31,"AAAAAHn35dc=")</f>
        <v>#VALUE!</v>
      </c>
      <c r="HI69" t="e">
        <f>AND('UP133'!AX31,"AAAAAHn35dg=")</f>
        <v>#VALUE!</v>
      </c>
      <c r="HJ69" t="e">
        <f>AND('UP133'!AY31,"AAAAAHn35dk=")</f>
        <v>#VALUE!</v>
      </c>
      <c r="HK69" t="e">
        <f>AND('UP133'!AZ31,"AAAAAHn35do=")</f>
        <v>#VALUE!</v>
      </c>
      <c r="HL69" t="e">
        <f>AND('UP133'!BA31,"AAAAAHn35ds=")</f>
        <v>#VALUE!</v>
      </c>
      <c r="HM69" t="e">
        <f>AND('UP133'!BB31,"AAAAAHn35dw=")</f>
        <v>#VALUE!</v>
      </c>
      <c r="HN69" t="e">
        <f>AND('UP133'!BC31,"AAAAAHn35d0=")</f>
        <v>#VALUE!</v>
      </c>
      <c r="HO69" t="e">
        <f>AND('UP133'!BD31,"AAAAAHn35d4=")</f>
        <v>#VALUE!</v>
      </c>
      <c r="HP69" t="e">
        <f>AND('UP133'!BE31,"AAAAAHn35d8=")</f>
        <v>#VALUE!</v>
      </c>
      <c r="HQ69" t="e">
        <f>AND('UP133'!BF31,"AAAAAHn35eA=")</f>
        <v>#VALUE!</v>
      </c>
      <c r="HR69" t="e">
        <f>AND('UP133'!BG31,"AAAAAHn35eE=")</f>
        <v>#VALUE!</v>
      </c>
      <c r="HS69" t="e">
        <f>AND('UP133'!BH31,"AAAAAHn35eI=")</f>
        <v>#VALUE!</v>
      </c>
      <c r="HT69" t="e">
        <f>AND('UP133'!BI31,"AAAAAHn35eM=")</f>
        <v>#VALUE!</v>
      </c>
      <c r="HU69" t="e">
        <f>AND('UP133'!BJ31,"AAAAAHn35eQ=")</f>
        <v>#VALUE!</v>
      </c>
      <c r="HV69" t="e">
        <f>AND('UP133'!BK31,"AAAAAHn35eU=")</f>
        <v>#VALUE!</v>
      </c>
      <c r="HW69" t="e">
        <f>AND('UP133'!BL31,"AAAAAHn35eY=")</f>
        <v>#VALUE!</v>
      </c>
      <c r="HX69" t="e">
        <f>AND('UP133'!BM31,"AAAAAHn35ec=")</f>
        <v>#VALUE!</v>
      </c>
      <c r="HY69" t="e">
        <f>AND('UP133'!BN31,"AAAAAHn35eg=")</f>
        <v>#VALUE!</v>
      </c>
      <c r="HZ69" t="e">
        <f>AND('UP133'!BO31,"AAAAAHn35ek=")</f>
        <v>#VALUE!</v>
      </c>
      <c r="IA69" t="e">
        <f>AND('UP133'!BP31,"AAAAAHn35eo=")</f>
        <v>#VALUE!</v>
      </c>
      <c r="IB69" t="e">
        <f>AND('UP133'!BQ31,"AAAAAHn35es=")</f>
        <v>#VALUE!</v>
      </c>
      <c r="IC69" t="e">
        <f>AND('UP133'!BR31,"AAAAAHn35ew=")</f>
        <v>#VALUE!</v>
      </c>
      <c r="ID69" t="e">
        <f>AND('UP133'!BS31,"AAAAAHn35e0=")</f>
        <v>#VALUE!</v>
      </c>
      <c r="IE69" t="e">
        <f>AND('UP133'!BT31,"AAAAAHn35e4=")</f>
        <v>#VALUE!</v>
      </c>
      <c r="IF69" t="e">
        <f>AND('UP133'!BU31,"AAAAAHn35e8=")</f>
        <v>#VALUE!</v>
      </c>
      <c r="IG69" t="e">
        <f>AND('UP133'!BV31,"AAAAAHn35fA=")</f>
        <v>#VALUE!</v>
      </c>
      <c r="IH69" t="e">
        <f>AND('UP133'!BW31,"AAAAAHn35fE=")</f>
        <v>#VALUE!</v>
      </c>
      <c r="II69" t="e">
        <f>AND('UP133'!BX31,"AAAAAHn35fI=")</f>
        <v>#VALUE!</v>
      </c>
      <c r="IJ69" t="e">
        <f>AND('UP133'!BY31,"AAAAAHn35fM=")</f>
        <v>#VALUE!</v>
      </c>
      <c r="IK69" t="e">
        <f>AND('UP133'!BZ31,"AAAAAHn35fQ=")</f>
        <v>#VALUE!</v>
      </c>
      <c r="IL69" t="e">
        <f>AND('UP133'!CA31,"AAAAAHn35fU=")</f>
        <v>#VALUE!</v>
      </c>
      <c r="IM69" t="e">
        <f>AND('UP133'!CB31,"AAAAAHn35fY=")</f>
        <v>#VALUE!</v>
      </c>
      <c r="IN69" t="e">
        <f>AND('UP133'!CC31,"AAAAAHn35fc=")</f>
        <v>#VALUE!</v>
      </c>
      <c r="IO69" t="e">
        <f>AND('UP133'!CD31,"AAAAAHn35fg=")</f>
        <v>#VALUE!</v>
      </c>
      <c r="IP69" t="e">
        <f>AND('UP133'!CE31,"AAAAAHn35fk=")</f>
        <v>#VALUE!</v>
      </c>
      <c r="IQ69" t="e">
        <f>AND('UP133'!CF31,"AAAAAHn35fo=")</f>
        <v>#VALUE!</v>
      </c>
      <c r="IR69" t="e">
        <f>AND('UP133'!CG31,"AAAAAHn35fs=")</f>
        <v>#VALUE!</v>
      </c>
      <c r="IS69" t="e">
        <f>AND('UP133'!CH31,"AAAAAHn35fw=")</f>
        <v>#VALUE!</v>
      </c>
      <c r="IT69" t="e">
        <f>AND('UP133'!CI31,"AAAAAHn35f0=")</f>
        <v>#VALUE!</v>
      </c>
      <c r="IU69" t="e">
        <f>AND('UP133'!CJ31,"AAAAAHn35f4=")</f>
        <v>#VALUE!</v>
      </c>
      <c r="IV69" t="e">
        <f>AND('UP133'!CK31,"AAAAAHn35f8=")</f>
        <v>#VALUE!</v>
      </c>
    </row>
    <row r="70" spans="1:256">
      <c r="A70" t="e">
        <f>AND('UP133'!CL31,"AAAAAF3+bwA=")</f>
        <v>#VALUE!</v>
      </c>
      <c r="B70" t="e">
        <f>AND('UP133'!CM31,"AAAAAF3+bwE=")</f>
        <v>#VALUE!</v>
      </c>
      <c r="C70" t="e">
        <f>AND('UP133'!CN31,"AAAAAF3+bwI=")</f>
        <v>#VALUE!</v>
      </c>
      <c r="D70" t="e">
        <f>AND('UP133'!CO31,"AAAAAF3+bwM=")</f>
        <v>#VALUE!</v>
      </c>
      <c r="E70" t="e">
        <f>AND('UP133'!CP31,"AAAAAF3+bwQ=")</f>
        <v>#VALUE!</v>
      </c>
      <c r="F70" t="e">
        <f>AND('UP133'!CQ31,"AAAAAF3+bwU=")</f>
        <v>#VALUE!</v>
      </c>
      <c r="G70" t="e">
        <f>AND('UP133'!CR31,"AAAAAF3+bwY=")</f>
        <v>#VALUE!</v>
      </c>
      <c r="H70" t="e">
        <f>AND('UP133'!CS31,"AAAAAF3+bwc=")</f>
        <v>#VALUE!</v>
      </c>
      <c r="I70" t="e">
        <f>AND('UP133'!CT31,"AAAAAF3+bwg=")</f>
        <v>#VALUE!</v>
      </c>
      <c r="J70" t="e">
        <f>AND('UP133'!CU31,"AAAAAF3+bwk=")</f>
        <v>#VALUE!</v>
      </c>
      <c r="K70" t="e">
        <f>AND('UP133'!CV31,"AAAAAF3+bwo=")</f>
        <v>#VALUE!</v>
      </c>
      <c r="L70" t="e">
        <f>AND('UP133'!CW31,"AAAAAF3+bws=")</f>
        <v>#VALUE!</v>
      </c>
      <c r="M70" t="e">
        <f>AND('UP133'!CX31,"AAAAAF3+bww=")</f>
        <v>#VALUE!</v>
      </c>
      <c r="N70" t="e">
        <f>AND('UP133'!CY31,"AAAAAF3+bw0=")</f>
        <v>#VALUE!</v>
      </c>
      <c r="O70" t="e">
        <f>AND('UP133'!CZ31,"AAAAAF3+bw4=")</f>
        <v>#VALUE!</v>
      </c>
      <c r="P70" t="e">
        <f>AND('UP133'!DA31,"AAAAAF3+bw8=")</f>
        <v>#VALUE!</v>
      </c>
      <c r="Q70" t="e">
        <f>AND('UP133'!DB31,"AAAAAF3+bxA=")</f>
        <v>#VALUE!</v>
      </c>
      <c r="R70" t="e">
        <f>AND('UP133'!DC31,"AAAAAF3+bxE=")</f>
        <v>#VALUE!</v>
      </c>
      <c r="S70" t="e">
        <f>AND('UP133'!DD31,"AAAAAF3+bxI=")</f>
        <v>#VALUE!</v>
      </c>
      <c r="T70" t="e">
        <f>AND('UP133'!DE31,"AAAAAF3+bxM=")</f>
        <v>#VALUE!</v>
      </c>
      <c r="U70" t="e">
        <f>AND('UP133'!DF31,"AAAAAF3+bxQ=")</f>
        <v>#VALUE!</v>
      </c>
      <c r="V70" t="e">
        <f>AND('UP133'!DG31,"AAAAAF3+bxU=")</f>
        <v>#VALUE!</v>
      </c>
      <c r="W70" t="e">
        <f>AND('UP133'!DH31,"AAAAAF3+bxY=")</f>
        <v>#VALUE!</v>
      </c>
      <c r="X70" t="e">
        <f>AND('UP133'!DI31,"AAAAAF3+bxc=")</f>
        <v>#VALUE!</v>
      </c>
      <c r="Y70" t="e">
        <f>AND('UP133'!DJ31,"AAAAAF3+bxg=")</f>
        <v>#VALUE!</v>
      </c>
      <c r="Z70" t="e">
        <f>AND('UP133'!DK31,"AAAAAF3+bxk=")</f>
        <v>#VALUE!</v>
      </c>
      <c r="AA70" t="e">
        <f>AND('UP133'!DL31,"AAAAAF3+bxo=")</f>
        <v>#VALUE!</v>
      </c>
      <c r="AB70" t="e">
        <f>AND('UP133'!DM31,"AAAAAF3+bxs=")</f>
        <v>#VALUE!</v>
      </c>
      <c r="AC70" t="e">
        <f>AND('UP133'!DN31,"AAAAAF3+bxw=")</f>
        <v>#VALUE!</v>
      </c>
      <c r="AD70" t="e">
        <f>AND('UP133'!DO31,"AAAAAF3+bx0=")</f>
        <v>#VALUE!</v>
      </c>
      <c r="AE70" t="e">
        <f>AND('UP133'!DP31,"AAAAAF3+bx4=")</f>
        <v>#VALUE!</v>
      </c>
      <c r="AF70" t="e">
        <f>AND('UP133'!DQ31,"AAAAAF3+bx8=")</f>
        <v>#VALUE!</v>
      </c>
      <c r="AG70" t="e">
        <f>AND('UP133'!DR31,"AAAAAF3+byA=")</f>
        <v>#VALUE!</v>
      </c>
      <c r="AH70" t="e">
        <f>AND('UP133'!DS31,"AAAAAF3+byE=")</f>
        <v>#VALUE!</v>
      </c>
      <c r="AI70" t="e">
        <f>AND('UP133'!DT31,"AAAAAF3+byI=")</f>
        <v>#VALUE!</v>
      </c>
      <c r="AJ70" t="e">
        <f>AND('UP133'!DU31,"AAAAAF3+byM=")</f>
        <v>#VALUE!</v>
      </c>
      <c r="AK70" t="e">
        <f>AND('UP133'!DV31,"AAAAAF3+byQ=")</f>
        <v>#VALUE!</v>
      </c>
      <c r="AL70" t="e">
        <f>AND('UP133'!DW31,"AAAAAF3+byU=")</f>
        <v>#VALUE!</v>
      </c>
      <c r="AM70" t="e">
        <f>AND('UP133'!DX31,"AAAAAF3+byY=")</f>
        <v>#VALUE!</v>
      </c>
      <c r="AN70" t="e">
        <f>AND('UP133'!DY31,"AAAAAF3+byc=")</f>
        <v>#VALUE!</v>
      </c>
      <c r="AO70" t="e">
        <f>AND('UP133'!DZ31,"AAAAAF3+byg=")</f>
        <v>#VALUE!</v>
      </c>
      <c r="AP70" t="e">
        <f>AND('UP133'!EA31,"AAAAAF3+byk=")</f>
        <v>#VALUE!</v>
      </c>
      <c r="AQ70" t="e">
        <f>AND('UP133'!EB31,"AAAAAF3+byo=")</f>
        <v>#VALUE!</v>
      </c>
      <c r="AR70" t="e">
        <f>AND('UP133'!EC31,"AAAAAF3+bys=")</f>
        <v>#VALUE!</v>
      </c>
      <c r="AS70" t="e">
        <f>AND('UP133'!ED31,"AAAAAF3+byw=")</f>
        <v>#VALUE!</v>
      </c>
      <c r="AT70" t="e">
        <f>AND('UP133'!EE31,"AAAAAF3+by0=")</f>
        <v>#VALUE!</v>
      </c>
      <c r="AU70" t="e">
        <f>AND('UP133'!EF31,"AAAAAF3+by4=")</f>
        <v>#VALUE!</v>
      </c>
      <c r="AV70" t="e">
        <f>AND('UP133'!EG31,"AAAAAF3+by8=")</f>
        <v>#VALUE!</v>
      </c>
      <c r="AW70" t="e">
        <f>AND('UP133'!EH31,"AAAAAF3+bzA=")</f>
        <v>#VALUE!</v>
      </c>
      <c r="AX70" t="e">
        <f>AND('UP133'!EI31,"AAAAAF3+bzE=")</f>
        <v>#VALUE!</v>
      </c>
      <c r="AY70" t="e">
        <f>AND('UP133'!EJ31,"AAAAAF3+bzI=")</f>
        <v>#VALUE!</v>
      </c>
      <c r="AZ70" t="e">
        <f>AND('UP133'!EK31,"AAAAAF3+bzM=")</f>
        <v>#VALUE!</v>
      </c>
      <c r="BA70" t="e">
        <f>AND('UP133'!EL31,"AAAAAF3+bzQ=")</f>
        <v>#VALUE!</v>
      </c>
      <c r="BB70" t="e">
        <f>AND('UP133'!EM31,"AAAAAF3+bzU=")</f>
        <v>#VALUE!</v>
      </c>
      <c r="BC70" t="e">
        <f>AND('UP133'!EN31,"AAAAAF3+bzY=")</f>
        <v>#VALUE!</v>
      </c>
      <c r="BD70" t="e">
        <f>AND('UP133'!EO31,"AAAAAF3+bzc=")</f>
        <v>#VALUE!</v>
      </c>
      <c r="BE70" t="e">
        <f>AND('UP133'!EP31,"AAAAAF3+bzg=")</f>
        <v>#VALUE!</v>
      </c>
      <c r="BF70" t="e">
        <f>AND('UP133'!EQ31,"AAAAAF3+bzk=")</f>
        <v>#VALUE!</v>
      </c>
      <c r="BG70" t="e">
        <f>AND('UP133'!ER31,"AAAAAF3+bzo=")</f>
        <v>#VALUE!</v>
      </c>
      <c r="BH70" t="e">
        <f>AND('UP133'!ES31,"AAAAAF3+bzs=")</f>
        <v>#VALUE!</v>
      </c>
      <c r="BI70" t="e">
        <f>AND('UP133'!ET31,"AAAAAF3+bzw=")</f>
        <v>#VALUE!</v>
      </c>
      <c r="BJ70" t="e">
        <f>AND('UP133'!EU31,"AAAAAF3+bz0=")</f>
        <v>#VALUE!</v>
      </c>
      <c r="BK70" t="e">
        <f>AND('UP133'!EV31,"AAAAAF3+bz4=")</f>
        <v>#VALUE!</v>
      </c>
      <c r="BL70" t="e">
        <f>AND('UP133'!EW31,"AAAAAF3+bz8=")</f>
        <v>#VALUE!</v>
      </c>
      <c r="BM70" t="e">
        <f>AND('UP133'!EX31,"AAAAAF3+b0A=")</f>
        <v>#VALUE!</v>
      </c>
      <c r="BN70" t="e">
        <f>AND('UP133'!EY31,"AAAAAF3+b0E=")</f>
        <v>#VALUE!</v>
      </c>
      <c r="BO70" t="e">
        <f>AND('UP133'!EZ31,"AAAAAF3+b0I=")</f>
        <v>#VALUE!</v>
      </c>
      <c r="BP70" t="e">
        <f>AND('UP133'!FA31,"AAAAAF3+b0M=")</f>
        <v>#VALUE!</v>
      </c>
      <c r="BQ70" t="e">
        <f>AND('UP133'!FB31,"AAAAAF3+b0Q=")</f>
        <v>#VALUE!</v>
      </c>
      <c r="BR70" t="e">
        <f>AND('UP133'!FC31,"AAAAAF3+b0U=")</f>
        <v>#VALUE!</v>
      </c>
      <c r="BS70" t="e">
        <f>AND('UP133'!FD31,"AAAAAF3+b0Y=")</f>
        <v>#VALUE!</v>
      </c>
      <c r="BT70" t="e">
        <f>AND('UP133'!FE31,"AAAAAF3+b0c=")</f>
        <v>#VALUE!</v>
      </c>
      <c r="BU70" t="e">
        <f>AND('UP133'!FF31,"AAAAAF3+b0g=")</f>
        <v>#VALUE!</v>
      </c>
      <c r="BV70" t="e">
        <f>AND('UP133'!FG31,"AAAAAF3+b0k=")</f>
        <v>#VALUE!</v>
      </c>
      <c r="BW70" t="e">
        <f>AND('UP133'!FH31,"AAAAAF3+b0o=")</f>
        <v>#VALUE!</v>
      </c>
      <c r="BX70" t="e">
        <f>AND('UP133'!FI31,"AAAAAF3+b0s=")</f>
        <v>#VALUE!</v>
      </c>
      <c r="BY70" t="e">
        <f>AND('UP133'!FJ31,"AAAAAF3+b0w=")</f>
        <v>#VALUE!</v>
      </c>
      <c r="BZ70" t="e">
        <f>AND('UP133'!FK31,"AAAAAF3+b00=")</f>
        <v>#VALUE!</v>
      </c>
      <c r="CA70" t="e">
        <f>AND('UP133'!FL31,"AAAAAF3+b04=")</f>
        <v>#VALUE!</v>
      </c>
      <c r="CB70" t="e">
        <f>AND('UP133'!FM31,"AAAAAF3+b08=")</f>
        <v>#VALUE!</v>
      </c>
      <c r="CC70" t="e">
        <f>AND('UP133'!FN31,"AAAAAF3+b1A=")</f>
        <v>#VALUE!</v>
      </c>
      <c r="CD70" t="e">
        <f>AND('UP133'!FO31,"AAAAAF3+b1E=")</f>
        <v>#VALUE!</v>
      </c>
      <c r="CE70" t="e">
        <f>AND('UP133'!FP31,"AAAAAF3+b1I=")</f>
        <v>#VALUE!</v>
      </c>
      <c r="CF70" t="e">
        <f>AND('UP133'!FQ31,"AAAAAF3+b1M=")</f>
        <v>#VALUE!</v>
      </c>
      <c r="CG70" t="e">
        <f>AND('UP133'!FR31,"AAAAAF3+b1Q=")</f>
        <v>#VALUE!</v>
      </c>
      <c r="CH70" t="e">
        <f>AND('UP133'!FS31,"AAAAAF3+b1U=")</f>
        <v>#VALUE!</v>
      </c>
      <c r="CI70" t="e">
        <f>AND('UP133'!FT31,"AAAAAF3+b1Y=")</f>
        <v>#VALUE!</v>
      </c>
      <c r="CJ70" t="e">
        <f>AND('UP133'!FU31,"AAAAAF3+b1c=")</f>
        <v>#VALUE!</v>
      </c>
      <c r="CK70" t="e">
        <f>AND('UP133'!FV31,"AAAAAF3+b1g=")</f>
        <v>#VALUE!</v>
      </c>
      <c r="CL70" t="e">
        <f>AND('UP133'!FW31,"AAAAAF3+b1k=")</f>
        <v>#VALUE!</v>
      </c>
      <c r="CM70" t="e">
        <f>AND('UP133'!FX31,"AAAAAF3+b1o=")</f>
        <v>#VALUE!</v>
      </c>
      <c r="CN70" t="e">
        <f>AND('UP133'!FY31,"AAAAAF3+b1s=")</f>
        <v>#VALUE!</v>
      </c>
      <c r="CO70" t="e">
        <f>AND('UP133'!FZ31,"AAAAAF3+b1w=")</f>
        <v>#VALUE!</v>
      </c>
      <c r="CP70" t="e">
        <f>AND('UP133'!GA31,"AAAAAF3+b10=")</f>
        <v>#VALUE!</v>
      </c>
      <c r="CQ70" t="e">
        <f>AND('UP133'!GB31,"AAAAAF3+b14=")</f>
        <v>#VALUE!</v>
      </c>
      <c r="CR70" t="e">
        <f>AND('UP133'!GC31,"AAAAAF3+b18=")</f>
        <v>#VALUE!</v>
      </c>
      <c r="CS70" t="e">
        <f>AND('UP133'!GD31,"AAAAAF3+b2A=")</f>
        <v>#VALUE!</v>
      </c>
      <c r="CT70" t="e">
        <f>AND('UP133'!GE31,"AAAAAF3+b2E=")</f>
        <v>#VALUE!</v>
      </c>
      <c r="CU70" t="e">
        <f>AND('UP133'!GF31,"AAAAAF3+b2I=")</f>
        <v>#VALUE!</v>
      </c>
      <c r="CV70" t="e">
        <f>AND('UP133'!GG31,"AAAAAF3+b2M=")</f>
        <v>#VALUE!</v>
      </c>
      <c r="CW70" t="e">
        <f>AND('UP133'!GH31,"AAAAAF3+b2Q=")</f>
        <v>#VALUE!</v>
      </c>
      <c r="CX70" t="e">
        <f>AND('UP133'!GI31,"AAAAAF3+b2U=")</f>
        <v>#VALUE!</v>
      </c>
      <c r="CY70" t="e">
        <f>AND('UP133'!GJ31,"AAAAAF3+b2Y=")</f>
        <v>#VALUE!</v>
      </c>
      <c r="CZ70" t="e">
        <f>AND('UP133'!GK31,"AAAAAF3+b2c=")</f>
        <v>#VALUE!</v>
      </c>
      <c r="DA70" t="e">
        <f>AND('UP133'!GL31,"AAAAAF3+b2g=")</f>
        <v>#VALUE!</v>
      </c>
      <c r="DB70" t="e">
        <f>AND('UP133'!GM31,"AAAAAF3+b2k=")</f>
        <v>#VALUE!</v>
      </c>
      <c r="DC70" t="e">
        <f>AND('UP133'!GN31,"AAAAAF3+b2o=")</f>
        <v>#VALUE!</v>
      </c>
      <c r="DD70" t="e">
        <f>AND('UP133'!GO31,"AAAAAF3+b2s=")</f>
        <v>#VALUE!</v>
      </c>
      <c r="DE70" t="e">
        <f>AND('UP133'!GP31,"AAAAAF3+b2w=")</f>
        <v>#VALUE!</v>
      </c>
      <c r="DF70" t="e">
        <f>AND('UP133'!GQ31,"AAAAAF3+b20=")</f>
        <v>#VALUE!</v>
      </c>
      <c r="DG70" t="e">
        <f>AND('UP133'!GR31,"AAAAAF3+b24=")</f>
        <v>#VALUE!</v>
      </c>
      <c r="DH70" t="e">
        <f>AND('UP133'!GS31,"AAAAAF3+b28=")</f>
        <v>#VALUE!</v>
      </c>
      <c r="DI70" t="e">
        <f>AND('UP133'!GT31,"AAAAAF3+b3A=")</f>
        <v>#VALUE!</v>
      </c>
      <c r="DJ70" t="e">
        <f>AND('UP133'!GU31,"AAAAAF3+b3E=")</f>
        <v>#VALUE!</v>
      </c>
      <c r="DK70" t="e">
        <f>AND('UP133'!GV31,"AAAAAF3+b3I=")</f>
        <v>#VALUE!</v>
      </c>
      <c r="DL70" t="e">
        <f>AND('UP133'!GW31,"AAAAAF3+b3M=")</f>
        <v>#VALUE!</v>
      </c>
      <c r="DM70" t="e">
        <f>AND('UP133'!GX31,"AAAAAF3+b3Q=")</f>
        <v>#VALUE!</v>
      </c>
      <c r="DN70" t="e">
        <f>AND('UP133'!GY31,"AAAAAF3+b3U=")</f>
        <v>#VALUE!</v>
      </c>
      <c r="DO70" t="e">
        <f>AND('UP133'!GZ31,"AAAAAF3+b3Y=")</f>
        <v>#VALUE!</v>
      </c>
      <c r="DP70" t="e">
        <f>AND('UP133'!HA31,"AAAAAF3+b3c=")</f>
        <v>#VALUE!</v>
      </c>
      <c r="DQ70" t="e">
        <f>AND('UP133'!HB31,"AAAAAF3+b3g=")</f>
        <v>#VALUE!</v>
      </c>
      <c r="DR70" t="e">
        <f>AND('UP133'!HC31,"AAAAAF3+b3k=")</f>
        <v>#VALUE!</v>
      </c>
      <c r="DS70" t="e">
        <f>AND('UP133'!HD31,"AAAAAF3+b3o=")</f>
        <v>#VALUE!</v>
      </c>
      <c r="DT70" t="e">
        <f>AND('UP133'!HE31,"AAAAAF3+b3s=")</f>
        <v>#VALUE!</v>
      </c>
      <c r="DU70" t="e">
        <f>AND('UP133'!HF31,"AAAAAF3+b3w=")</f>
        <v>#VALUE!</v>
      </c>
      <c r="DV70" t="e">
        <f>AND('UP133'!HG31,"AAAAAF3+b30=")</f>
        <v>#VALUE!</v>
      </c>
      <c r="DW70" t="e">
        <f>AND('UP133'!HH31,"AAAAAF3+b34=")</f>
        <v>#VALUE!</v>
      </c>
      <c r="DX70" t="e">
        <f>AND('UP133'!HI31,"AAAAAF3+b38=")</f>
        <v>#VALUE!</v>
      </c>
      <c r="DY70" t="e">
        <f>AND('UP133'!HJ31,"AAAAAF3+b4A=")</f>
        <v>#VALUE!</v>
      </c>
      <c r="DZ70" t="e">
        <f>AND('UP133'!HK31,"AAAAAF3+b4E=")</f>
        <v>#VALUE!</v>
      </c>
      <c r="EA70" t="e">
        <f>AND('UP133'!HL31,"AAAAAF3+b4I=")</f>
        <v>#VALUE!</v>
      </c>
      <c r="EB70" t="e">
        <f>AND('UP133'!HM31,"AAAAAF3+b4M=")</f>
        <v>#VALUE!</v>
      </c>
      <c r="EC70" t="e">
        <f>AND('UP133'!HN31,"AAAAAF3+b4Q=")</f>
        <v>#VALUE!</v>
      </c>
      <c r="ED70" t="e">
        <f>AND('UP133'!HO31,"AAAAAF3+b4U=")</f>
        <v>#VALUE!</v>
      </c>
      <c r="EE70" t="e">
        <f>AND('UP133'!HP31,"AAAAAF3+b4Y=")</f>
        <v>#VALUE!</v>
      </c>
      <c r="EF70" t="e">
        <f>AND('UP133'!HQ31,"AAAAAF3+b4c=")</f>
        <v>#VALUE!</v>
      </c>
      <c r="EG70" t="e">
        <f>AND('UP133'!HR31,"AAAAAF3+b4g=")</f>
        <v>#VALUE!</v>
      </c>
      <c r="EH70" t="e">
        <f>AND('UP133'!HS31,"AAAAAF3+b4k=")</f>
        <v>#VALUE!</v>
      </c>
      <c r="EI70" t="e">
        <f>AND('UP133'!HT31,"AAAAAF3+b4o=")</f>
        <v>#VALUE!</v>
      </c>
      <c r="EJ70" t="e">
        <f>AND('UP133'!HU31,"AAAAAF3+b4s=")</f>
        <v>#VALUE!</v>
      </c>
      <c r="EK70" t="e">
        <f>AND('UP133'!HV31,"AAAAAF3+b4w=")</f>
        <v>#VALUE!</v>
      </c>
      <c r="EL70" t="e">
        <f>AND('UP133'!HW31,"AAAAAF3+b40=")</f>
        <v>#VALUE!</v>
      </c>
      <c r="EM70" t="e">
        <f>AND('UP133'!HX31,"AAAAAF3+b44=")</f>
        <v>#VALUE!</v>
      </c>
      <c r="EN70" t="e">
        <f>AND('UP133'!HY31,"AAAAAF3+b48=")</f>
        <v>#VALUE!</v>
      </c>
      <c r="EO70" t="e">
        <f>AND('UP133'!HZ31,"AAAAAF3+b5A=")</f>
        <v>#VALUE!</v>
      </c>
      <c r="EP70" t="e">
        <f>AND('UP133'!IA31,"AAAAAF3+b5E=")</f>
        <v>#VALUE!</v>
      </c>
      <c r="EQ70" t="e">
        <f>AND('UP133'!IB31,"AAAAAF3+b5I=")</f>
        <v>#VALUE!</v>
      </c>
      <c r="ER70" t="e">
        <f>AND('UP133'!IC31,"AAAAAF3+b5M=")</f>
        <v>#VALUE!</v>
      </c>
      <c r="ES70" t="e">
        <f>AND('UP133'!ID31,"AAAAAF3+b5Q=")</f>
        <v>#VALUE!</v>
      </c>
      <c r="ET70" t="e">
        <f>AND('UP133'!IE31,"AAAAAF3+b5U=")</f>
        <v>#VALUE!</v>
      </c>
      <c r="EU70" t="e">
        <f>AND('UP133'!IF31,"AAAAAF3+b5Y=")</f>
        <v>#VALUE!</v>
      </c>
      <c r="EV70" t="e">
        <f>AND('UP133'!IG31,"AAAAAF3+b5c=")</f>
        <v>#VALUE!</v>
      </c>
      <c r="EW70" t="e">
        <f>AND('UP133'!IH31,"AAAAAF3+b5g=")</f>
        <v>#VALUE!</v>
      </c>
      <c r="EX70" t="e">
        <f>AND('UP133'!II31,"AAAAAF3+b5k=")</f>
        <v>#VALUE!</v>
      </c>
      <c r="EY70" t="e">
        <f>AND('UP133'!IJ31,"AAAAAF3+b5o=")</f>
        <v>#VALUE!</v>
      </c>
      <c r="EZ70" t="e">
        <f>AND('UP133'!IK31,"AAAAAF3+b5s=")</f>
        <v>#VALUE!</v>
      </c>
      <c r="FA70" t="e">
        <f>AND('UP133'!IL31,"AAAAAF3+b5w=")</f>
        <v>#VALUE!</v>
      </c>
      <c r="FB70" t="e">
        <f>AND('UP133'!IM31,"AAAAAF3+b50=")</f>
        <v>#VALUE!</v>
      </c>
      <c r="FC70" t="e">
        <f>AND('UP133'!IN31,"AAAAAF3+b54=")</f>
        <v>#VALUE!</v>
      </c>
      <c r="FD70" t="e">
        <f>AND('UP133'!IO31,"AAAAAF3+b58=")</f>
        <v>#VALUE!</v>
      </c>
      <c r="FE70" t="e">
        <f>AND('UP133'!IP31,"AAAAAF3+b6A=")</f>
        <v>#VALUE!</v>
      </c>
      <c r="FF70" t="e">
        <f>AND('UP133'!IQ31,"AAAAAF3+b6E=")</f>
        <v>#VALUE!</v>
      </c>
      <c r="FG70">
        <f>IF('UP133'!32:32,"AAAAAF3+b6I=",0)</f>
        <v>0</v>
      </c>
      <c r="FH70" t="e">
        <f>AND('UP133'!A32,"AAAAAF3+b6M=")</f>
        <v>#VALUE!</v>
      </c>
      <c r="FI70" t="e">
        <f>AND('UP133'!B32,"AAAAAF3+b6Q=")</f>
        <v>#VALUE!</v>
      </c>
      <c r="FJ70" t="e">
        <f>AND('UP133'!C32,"AAAAAF3+b6U=")</f>
        <v>#VALUE!</v>
      </c>
      <c r="FK70" t="e">
        <f>AND('UP133'!D32,"AAAAAF3+b6Y=")</f>
        <v>#VALUE!</v>
      </c>
      <c r="FL70" t="e">
        <f>AND('UP133'!E32,"AAAAAF3+b6c=")</f>
        <v>#VALUE!</v>
      </c>
      <c r="FM70" t="e">
        <f>AND('UP133'!F32,"AAAAAF3+b6g=")</f>
        <v>#VALUE!</v>
      </c>
      <c r="FN70" t="e">
        <f>AND('UP133'!G32,"AAAAAF3+b6k=")</f>
        <v>#VALUE!</v>
      </c>
      <c r="FO70" t="e">
        <f>AND('UP133'!H32,"AAAAAF3+b6o=")</f>
        <v>#VALUE!</v>
      </c>
      <c r="FP70" t="e">
        <f>AND('UP133'!I32,"AAAAAF3+b6s=")</f>
        <v>#VALUE!</v>
      </c>
      <c r="FQ70" t="e">
        <f>AND('UP133'!J32,"AAAAAF3+b6w=")</f>
        <v>#VALUE!</v>
      </c>
      <c r="FR70" t="e">
        <f>AND('UP133'!K32,"AAAAAF3+b60=")</f>
        <v>#VALUE!</v>
      </c>
      <c r="FS70" t="e">
        <f>AND('UP133'!L32,"AAAAAF3+b64=")</f>
        <v>#VALUE!</v>
      </c>
      <c r="FT70" t="e">
        <f>AND('UP133'!M32,"AAAAAF3+b68=")</f>
        <v>#VALUE!</v>
      </c>
      <c r="FU70" t="e">
        <f>AND('UP133'!N32,"AAAAAF3+b7A=")</f>
        <v>#VALUE!</v>
      </c>
      <c r="FV70" t="e">
        <f>AND('UP133'!O32,"AAAAAF3+b7E=")</f>
        <v>#VALUE!</v>
      </c>
      <c r="FW70" t="e">
        <f>AND('UP133'!P32,"AAAAAF3+b7I=")</f>
        <v>#VALUE!</v>
      </c>
      <c r="FX70" t="e">
        <f>AND('UP133'!Q32,"AAAAAF3+b7M=")</f>
        <v>#VALUE!</v>
      </c>
      <c r="FY70" t="e">
        <f>AND('UP133'!R32,"AAAAAF3+b7Q=")</f>
        <v>#VALUE!</v>
      </c>
      <c r="FZ70" t="e">
        <f>AND('UP133'!S32,"AAAAAF3+b7U=")</f>
        <v>#VALUE!</v>
      </c>
      <c r="GA70" t="e">
        <f>AND('UP133'!T32,"AAAAAF3+b7Y=")</f>
        <v>#VALUE!</v>
      </c>
      <c r="GB70" t="e">
        <f>AND('UP133'!U32,"AAAAAF3+b7c=")</f>
        <v>#VALUE!</v>
      </c>
      <c r="GC70" t="e">
        <f>AND('UP133'!V32,"AAAAAF3+b7g=")</f>
        <v>#VALUE!</v>
      </c>
      <c r="GD70" t="e">
        <f>AND('UP133'!W32,"AAAAAF3+b7k=")</f>
        <v>#VALUE!</v>
      </c>
      <c r="GE70" t="e">
        <f>AND('UP133'!X32,"AAAAAF3+b7o=")</f>
        <v>#VALUE!</v>
      </c>
      <c r="GF70" t="e">
        <f>AND('UP133'!Y32,"AAAAAF3+b7s=")</f>
        <v>#VALUE!</v>
      </c>
      <c r="GG70" t="e">
        <f>AND('UP133'!Z32,"AAAAAF3+b7w=")</f>
        <v>#VALUE!</v>
      </c>
      <c r="GH70" t="e">
        <f>AND('UP133'!AA32,"AAAAAF3+b70=")</f>
        <v>#VALUE!</v>
      </c>
      <c r="GI70" t="e">
        <f>AND('UP133'!AB32,"AAAAAF3+b74=")</f>
        <v>#VALUE!</v>
      </c>
      <c r="GJ70" t="e">
        <f>AND('UP133'!AC32,"AAAAAF3+b78=")</f>
        <v>#VALUE!</v>
      </c>
      <c r="GK70" t="e">
        <f>AND('UP133'!AD32,"AAAAAF3+b8A=")</f>
        <v>#VALUE!</v>
      </c>
      <c r="GL70" t="e">
        <f>AND('UP133'!AE32,"AAAAAF3+b8E=")</f>
        <v>#VALUE!</v>
      </c>
      <c r="GM70" t="e">
        <f>AND('UP133'!AF32,"AAAAAF3+b8I=")</f>
        <v>#VALUE!</v>
      </c>
      <c r="GN70" t="e">
        <f>AND('UP133'!AG32,"AAAAAF3+b8M=")</f>
        <v>#VALUE!</v>
      </c>
      <c r="GO70" t="e">
        <f>AND('UP133'!AH32,"AAAAAF3+b8Q=")</f>
        <v>#VALUE!</v>
      </c>
      <c r="GP70" t="e">
        <f>AND('UP133'!AI32,"AAAAAF3+b8U=")</f>
        <v>#VALUE!</v>
      </c>
      <c r="GQ70" t="e">
        <f>AND('UP133'!AJ32,"AAAAAF3+b8Y=")</f>
        <v>#VALUE!</v>
      </c>
      <c r="GR70" t="e">
        <f>AND('UP133'!AK32,"AAAAAF3+b8c=")</f>
        <v>#VALUE!</v>
      </c>
      <c r="GS70" t="e">
        <f>AND('UP133'!AL32,"AAAAAF3+b8g=")</f>
        <v>#VALUE!</v>
      </c>
      <c r="GT70" t="e">
        <f>AND('UP133'!AM32,"AAAAAF3+b8k=")</f>
        <v>#VALUE!</v>
      </c>
      <c r="GU70" t="e">
        <f>AND('UP133'!AN32,"AAAAAF3+b8o=")</f>
        <v>#VALUE!</v>
      </c>
      <c r="GV70" t="e">
        <f>AND('UP133'!AO32,"AAAAAF3+b8s=")</f>
        <v>#VALUE!</v>
      </c>
      <c r="GW70" t="e">
        <f>AND('UP133'!AP32,"AAAAAF3+b8w=")</f>
        <v>#VALUE!</v>
      </c>
      <c r="GX70" t="e">
        <f>AND('UP133'!AQ32,"AAAAAF3+b80=")</f>
        <v>#VALUE!</v>
      </c>
      <c r="GY70" t="e">
        <f>AND('UP133'!AR32,"AAAAAF3+b84=")</f>
        <v>#VALUE!</v>
      </c>
      <c r="GZ70" t="e">
        <f>AND('UP133'!AS32,"AAAAAF3+b88=")</f>
        <v>#VALUE!</v>
      </c>
      <c r="HA70" t="e">
        <f>AND('UP133'!AT32,"AAAAAF3+b9A=")</f>
        <v>#VALUE!</v>
      </c>
      <c r="HB70" t="e">
        <f>AND('UP133'!AU32,"AAAAAF3+b9E=")</f>
        <v>#VALUE!</v>
      </c>
      <c r="HC70" t="e">
        <f>AND('UP133'!AV32,"AAAAAF3+b9I=")</f>
        <v>#VALUE!</v>
      </c>
      <c r="HD70" t="e">
        <f>AND('UP133'!AW32,"AAAAAF3+b9M=")</f>
        <v>#VALUE!</v>
      </c>
      <c r="HE70" t="e">
        <f>AND('UP133'!AX32,"AAAAAF3+b9Q=")</f>
        <v>#VALUE!</v>
      </c>
      <c r="HF70" t="e">
        <f>AND('UP133'!AY32,"AAAAAF3+b9U=")</f>
        <v>#VALUE!</v>
      </c>
      <c r="HG70" t="e">
        <f>AND('UP133'!AZ32,"AAAAAF3+b9Y=")</f>
        <v>#VALUE!</v>
      </c>
      <c r="HH70" t="e">
        <f>AND('UP133'!BA32,"AAAAAF3+b9c=")</f>
        <v>#VALUE!</v>
      </c>
      <c r="HI70" t="e">
        <f>AND('UP133'!BB32,"AAAAAF3+b9g=")</f>
        <v>#VALUE!</v>
      </c>
      <c r="HJ70" t="e">
        <f>AND('UP133'!BC32,"AAAAAF3+b9k=")</f>
        <v>#VALUE!</v>
      </c>
      <c r="HK70" t="e">
        <f>AND('UP133'!BD32,"AAAAAF3+b9o=")</f>
        <v>#VALUE!</v>
      </c>
      <c r="HL70" t="e">
        <f>AND('UP133'!BE32,"AAAAAF3+b9s=")</f>
        <v>#VALUE!</v>
      </c>
      <c r="HM70" t="e">
        <f>AND('UP133'!BF32,"AAAAAF3+b9w=")</f>
        <v>#VALUE!</v>
      </c>
      <c r="HN70" t="e">
        <f>AND('UP133'!BG32,"AAAAAF3+b90=")</f>
        <v>#VALUE!</v>
      </c>
      <c r="HO70" t="e">
        <f>AND('UP133'!BH32,"AAAAAF3+b94=")</f>
        <v>#VALUE!</v>
      </c>
      <c r="HP70" t="e">
        <f>AND('UP133'!BI32,"AAAAAF3+b98=")</f>
        <v>#VALUE!</v>
      </c>
      <c r="HQ70" t="e">
        <f>AND('UP133'!BJ32,"AAAAAF3+b+A=")</f>
        <v>#VALUE!</v>
      </c>
      <c r="HR70" t="e">
        <f>AND('UP133'!BK32,"AAAAAF3+b+E=")</f>
        <v>#VALUE!</v>
      </c>
      <c r="HS70" t="e">
        <f>AND('UP133'!BL32,"AAAAAF3+b+I=")</f>
        <v>#VALUE!</v>
      </c>
      <c r="HT70" t="e">
        <f>AND('UP133'!BM32,"AAAAAF3+b+M=")</f>
        <v>#VALUE!</v>
      </c>
      <c r="HU70" t="e">
        <f>AND('UP133'!BN32,"AAAAAF3+b+Q=")</f>
        <v>#VALUE!</v>
      </c>
      <c r="HV70" t="e">
        <f>AND('UP133'!BO32,"AAAAAF3+b+U=")</f>
        <v>#VALUE!</v>
      </c>
      <c r="HW70" t="e">
        <f>AND('UP133'!BP32,"AAAAAF3+b+Y=")</f>
        <v>#VALUE!</v>
      </c>
      <c r="HX70" t="e">
        <f>AND('UP133'!BQ32,"AAAAAF3+b+c=")</f>
        <v>#VALUE!</v>
      </c>
      <c r="HY70" t="e">
        <f>AND('UP133'!BR32,"AAAAAF3+b+g=")</f>
        <v>#VALUE!</v>
      </c>
      <c r="HZ70" t="e">
        <f>AND('UP133'!BS32,"AAAAAF3+b+k=")</f>
        <v>#VALUE!</v>
      </c>
      <c r="IA70" t="e">
        <f>AND('UP133'!BT32,"AAAAAF3+b+o=")</f>
        <v>#VALUE!</v>
      </c>
      <c r="IB70" t="e">
        <f>AND('UP133'!BU32,"AAAAAF3+b+s=")</f>
        <v>#VALUE!</v>
      </c>
      <c r="IC70" t="e">
        <f>AND('UP133'!BV32,"AAAAAF3+b+w=")</f>
        <v>#VALUE!</v>
      </c>
      <c r="ID70" t="e">
        <f>AND('UP133'!BW32,"AAAAAF3+b+0=")</f>
        <v>#VALUE!</v>
      </c>
      <c r="IE70" t="e">
        <f>AND('UP133'!BX32,"AAAAAF3+b+4=")</f>
        <v>#VALUE!</v>
      </c>
      <c r="IF70" t="e">
        <f>AND('UP133'!BY32,"AAAAAF3+b+8=")</f>
        <v>#VALUE!</v>
      </c>
      <c r="IG70" t="e">
        <f>AND('UP133'!BZ32,"AAAAAF3+b/A=")</f>
        <v>#VALUE!</v>
      </c>
      <c r="IH70" t="e">
        <f>AND('UP133'!CA32,"AAAAAF3+b/E=")</f>
        <v>#VALUE!</v>
      </c>
      <c r="II70" t="e">
        <f>AND('UP133'!CB32,"AAAAAF3+b/I=")</f>
        <v>#VALUE!</v>
      </c>
      <c r="IJ70" t="e">
        <f>AND('UP133'!CC32,"AAAAAF3+b/M=")</f>
        <v>#VALUE!</v>
      </c>
      <c r="IK70" t="e">
        <f>AND('UP133'!CD32,"AAAAAF3+b/Q=")</f>
        <v>#VALUE!</v>
      </c>
      <c r="IL70" t="e">
        <f>AND('UP133'!CE32,"AAAAAF3+b/U=")</f>
        <v>#VALUE!</v>
      </c>
      <c r="IM70" t="e">
        <f>AND('UP133'!CF32,"AAAAAF3+b/Y=")</f>
        <v>#VALUE!</v>
      </c>
      <c r="IN70" t="e">
        <f>AND('UP133'!CG32,"AAAAAF3+b/c=")</f>
        <v>#VALUE!</v>
      </c>
      <c r="IO70" t="e">
        <f>AND('UP133'!CH32,"AAAAAF3+b/g=")</f>
        <v>#VALUE!</v>
      </c>
      <c r="IP70" t="e">
        <f>AND('UP133'!CI32,"AAAAAF3+b/k=")</f>
        <v>#VALUE!</v>
      </c>
      <c r="IQ70" t="e">
        <f>AND('UP133'!CJ32,"AAAAAF3+b/o=")</f>
        <v>#VALUE!</v>
      </c>
      <c r="IR70" t="e">
        <f>AND('UP133'!CK32,"AAAAAF3+b/s=")</f>
        <v>#VALUE!</v>
      </c>
      <c r="IS70" t="e">
        <f>AND('UP133'!CL32,"AAAAAF3+b/w=")</f>
        <v>#VALUE!</v>
      </c>
      <c r="IT70" t="e">
        <f>AND('UP133'!CM32,"AAAAAF3+b/0=")</f>
        <v>#VALUE!</v>
      </c>
      <c r="IU70" t="e">
        <f>AND('UP133'!CN32,"AAAAAF3+b/4=")</f>
        <v>#VALUE!</v>
      </c>
      <c r="IV70" t="e">
        <f>AND('UP133'!CO32,"AAAAAF3+b/8=")</f>
        <v>#VALUE!</v>
      </c>
    </row>
    <row r="71" spans="1:256">
      <c r="A71" t="e">
        <f>AND('UP133'!CP32,"AAAAAFf/3wA=")</f>
        <v>#VALUE!</v>
      </c>
      <c r="B71" t="e">
        <f>AND('UP133'!CQ32,"AAAAAFf/3wE=")</f>
        <v>#VALUE!</v>
      </c>
      <c r="C71" t="e">
        <f>AND('UP133'!CR32,"AAAAAFf/3wI=")</f>
        <v>#VALUE!</v>
      </c>
      <c r="D71" t="e">
        <f>AND('UP133'!CS32,"AAAAAFf/3wM=")</f>
        <v>#VALUE!</v>
      </c>
      <c r="E71" t="e">
        <f>AND('UP133'!CT32,"AAAAAFf/3wQ=")</f>
        <v>#VALUE!</v>
      </c>
      <c r="F71" t="e">
        <f>AND('UP133'!CU32,"AAAAAFf/3wU=")</f>
        <v>#VALUE!</v>
      </c>
      <c r="G71" t="e">
        <f>AND('UP133'!CV32,"AAAAAFf/3wY=")</f>
        <v>#VALUE!</v>
      </c>
      <c r="H71" t="e">
        <f>AND('UP133'!CW32,"AAAAAFf/3wc=")</f>
        <v>#VALUE!</v>
      </c>
      <c r="I71" t="e">
        <f>AND('UP133'!CX32,"AAAAAFf/3wg=")</f>
        <v>#VALUE!</v>
      </c>
      <c r="J71" t="e">
        <f>AND('UP133'!CY32,"AAAAAFf/3wk=")</f>
        <v>#VALUE!</v>
      </c>
      <c r="K71" t="e">
        <f>AND('UP133'!CZ32,"AAAAAFf/3wo=")</f>
        <v>#VALUE!</v>
      </c>
      <c r="L71" t="e">
        <f>AND('UP133'!DA32,"AAAAAFf/3ws=")</f>
        <v>#VALUE!</v>
      </c>
      <c r="M71" t="e">
        <f>AND('UP133'!DB32,"AAAAAFf/3ww=")</f>
        <v>#VALUE!</v>
      </c>
      <c r="N71" t="e">
        <f>AND('UP133'!DC32,"AAAAAFf/3w0=")</f>
        <v>#VALUE!</v>
      </c>
      <c r="O71" t="e">
        <f>AND('UP133'!DD32,"AAAAAFf/3w4=")</f>
        <v>#VALUE!</v>
      </c>
      <c r="P71" t="e">
        <f>AND('UP133'!DE32,"AAAAAFf/3w8=")</f>
        <v>#VALUE!</v>
      </c>
      <c r="Q71" t="e">
        <f>AND('UP133'!DF32,"AAAAAFf/3xA=")</f>
        <v>#VALUE!</v>
      </c>
      <c r="R71" t="e">
        <f>AND('UP133'!DG32,"AAAAAFf/3xE=")</f>
        <v>#VALUE!</v>
      </c>
      <c r="S71" t="e">
        <f>AND('UP133'!DH32,"AAAAAFf/3xI=")</f>
        <v>#VALUE!</v>
      </c>
      <c r="T71" t="e">
        <f>AND('UP133'!DI32,"AAAAAFf/3xM=")</f>
        <v>#VALUE!</v>
      </c>
      <c r="U71" t="e">
        <f>AND('UP133'!DJ32,"AAAAAFf/3xQ=")</f>
        <v>#VALUE!</v>
      </c>
      <c r="V71" t="e">
        <f>AND('UP133'!DK32,"AAAAAFf/3xU=")</f>
        <v>#VALUE!</v>
      </c>
      <c r="W71" t="e">
        <f>AND('UP133'!DL32,"AAAAAFf/3xY=")</f>
        <v>#VALUE!</v>
      </c>
      <c r="X71" t="e">
        <f>AND('UP133'!DM32,"AAAAAFf/3xc=")</f>
        <v>#VALUE!</v>
      </c>
      <c r="Y71" t="e">
        <f>AND('UP133'!DN32,"AAAAAFf/3xg=")</f>
        <v>#VALUE!</v>
      </c>
      <c r="Z71" t="e">
        <f>AND('UP133'!DO32,"AAAAAFf/3xk=")</f>
        <v>#VALUE!</v>
      </c>
      <c r="AA71" t="e">
        <f>AND('UP133'!DP32,"AAAAAFf/3xo=")</f>
        <v>#VALUE!</v>
      </c>
      <c r="AB71" t="e">
        <f>AND('UP133'!DQ32,"AAAAAFf/3xs=")</f>
        <v>#VALUE!</v>
      </c>
      <c r="AC71" t="e">
        <f>AND('UP133'!DR32,"AAAAAFf/3xw=")</f>
        <v>#VALUE!</v>
      </c>
      <c r="AD71" t="e">
        <f>AND('UP133'!DS32,"AAAAAFf/3x0=")</f>
        <v>#VALUE!</v>
      </c>
      <c r="AE71" t="e">
        <f>AND('UP133'!DT32,"AAAAAFf/3x4=")</f>
        <v>#VALUE!</v>
      </c>
      <c r="AF71" t="e">
        <f>AND('UP133'!DU32,"AAAAAFf/3x8=")</f>
        <v>#VALUE!</v>
      </c>
      <c r="AG71" t="e">
        <f>AND('UP133'!DV32,"AAAAAFf/3yA=")</f>
        <v>#VALUE!</v>
      </c>
      <c r="AH71" t="e">
        <f>AND('UP133'!DW32,"AAAAAFf/3yE=")</f>
        <v>#VALUE!</v>
      </c>
      <c r="AI71" t="e">
        <f>AND('UP133'!DX32,"AAAAAFf/3yI=")</f>
        <v>#VALUE!</v>
      </c>
      <c r="AJ71" t="e">
        <f>AND('UP133'!DY32,"AAAAAFf/3yM=")</f>
        <v>#VALUE!</v>
      </c>
      <c r="AK71" t="e">
        <f>AND('UP133'!DZ32,"AAAAAFf/3yQ=")</f>
        <v>#VALUE!</v>
      </c>
      <c r="AL71" t="e">
        <f>AND('UP133'!EA32,"AAAAAFf/3yU=")</f>
        <v>#VALUE!</v>
      </c>
      <c r="AM71" t="e">
        <f>AND('UP133'!EB32,"AAAAAFf/3yY=")</f>
        <v>#VALUE!</v>
      </c>
      <c r="AN71" t="e">
        <f>AND('UP133'!EC32,"AAAAAFf/3yc=")</f>
        <v>#VALUE!</v>
      </c>
      <c r="AO71" t="e">
        <f>AND('UP133'!ED32,"AAAAAFf/3yg=")</f>
        <v>#VALUE!</v>
      </c>
      <c r="AP71" t="e">
        <f>AND('UP133'!EE32,"AAAAAFf/3yk=")</f>
        <v>#VALUE!</v>
      </c>
      <c r="AQ71" t="e">
        <f>AND('UP133'!EF32,"AAAAAFf/3yo=")</f>
        <v>#VALUE!</v>
      </c>
      <c r="AR71" t="e">
        <f>AND('UP133'!EG32,"AAAAAFf/3ys=")</f>
        <v>#VALUE!</v>
      </c>
      <c r="AS71" t="e">
        <f>AND('UP133'!EH32,"AAAAAFf/3yw=")</f>
        <v>#VALUE!</v>
      </c>
      <c r="AT71" t="e">
        <f>AND('UP133'!EI32,"AAAAAFf/3y0=")</f>
        <v>#VALUE!</v>
      </c>
      <c r="AU71" t="e">
        <f>AND('UP133'!EJ32,"AAAAAFf/3y4=")</f>
        <v>#VALUE!</v>
      </c>
      <c r="AV71" t="e">
        <f>AND('UP133'!EK32,"AAAAAFf/3y8=")</f>
        <v>#VALUE!</v>
      </c>
      <c r="AW71" t="e">
        <f>AND('UP133'!EL32,"AAAAAFf/3zA=")</f>
        <v>#VALUE!</v>
      </c>
      <c r="AX71" t="e">
        <f>AND('UP133'!EM32,"AAAAAFf/3zE=")</f>
        <v>#VALUE!</v>
      </c>
      <c r="AY71" t="e">
        <f>AND('UP133'!EN32,"AAAAAFf/3zI=")</f>
        <v>#VALUE!</v>
      </c>
      <c r="AZ71" t="e">
        <f>AND('UP133'!EO32,"AAAAAFf/3zM=")</f>
        <v>#VALUE!</v>
      </c>
      <c r="BA71" t="e">
        <f>AND('UP133'!EP32,"AAAAAFf/3zQ=")</f>
        <v>#VALUE!</v>
      </c>
      <c r="BB71" t="e">
        <f>AND('UP133'!EQ32,"AAAAAFf/3zU=")</f>
        <v>#VALUE!</v>
      </c>
      <c r="BC71" t="e">
        <f>AND('UP133'!ER32,"AAAAAFf/3zY=")</f>
        <v>#VALUE!</v>
      </c>
      <c r="BD71" t="e">
        <f>AND('UP133'!ES32,"AAAAAFf/3zc=")</f>
        <v>#VALUE!</v>
      </c>
      <c r="BE71" t="e">
        <f>AND('UP133'!ET32,"AAAAAFf/3zg=")</f>
        <v>#VALUE!</v>
      </c>
      <c r="BF71" t="e">
        <f>AND('UP133'!EU32,"AAAAAFf/3zk=")</f>
        <v>#VALUE!</v>
      </c>
      <c r="BG71" t="e">
        <f>AND('UP133'!EV32,"AAAAAFf/3zo=")</f>
        <v>#VALUE!</v>
      </c>
      <c r="BH71" t="e">
        <f>AND('UP133'!EW32,"AAAAAFf/3zs=")</f>
        <v>#VALUE!</v>
      </c>
      <c r="BI71" t="e">
        <f>AND('UP133'!EX32,"AAAAAFf/3zw=")</f>
        <v>#VALUE!</v>
      </c>
      <c r="BJ71" t="e">
        <f>AND('UP133'!EY32,"AAAAAFf/3z0=")</f>
        <v>#VALUE!</v>
      </c>
      <c r="BK71" t="e">
        <f>AND('UP133'!EZ32,"AAAAAFf/3z4=")</f>
        <v>#VALUE!</v>
      </c>
      <c r="BL71" t="e">
        <f>AND('UP133'!FA32,"AAAAAFf/3z8=")</f>
        <v>#VALUE!</v>
      </c>
      <c r="BM71" t="e">
        <f>AND('UP133'!FB32,"AAAAAFf/30A=")</f>
        <v>#VALUE!</v>
      </c>
      <c r="BN71" t="e">
        <f>AND('UP133'!FC32,"AAAAAFf/30E=")</f>
        <v>#VALUE!</v>
      </c>
      <c r="BO71" t="e">
        <f>AND('UP133'!FD32,"AAAAAFf/30I=")</f>
        <v>#VALUE!</v>
      </c>
      <c r="BP71" t="e">
        <f>AND('UP133'!FE32,"AAAAAFf/30M=")</f>
        <v>#VALUE!</v>
      </c>
      <c r="BQ71" t="e">
        <f>AND('UP133'!FF32,"AAAAAFf/30Q=")</f>
        <v>#VALUE!</v>
      </c>
      <c r="BR71" t="e">
        <f>AND('UP133'!FG32,"AAAAAFf/30U=")</f>
        <v>#VALUE!</v>
      </c>
      <c r="BS71" t="e">
        <f>AND('UP133'!FH32,"AAAAAFf/30Y=")</f>
        <v>#VALUE!</v>
      </c>
      <c r="BT71" t="e">
        <f>AND('UP133'!FI32,"AAAAAFf/30c=")</f>
        <v>#VALUE!</v>
      </c>
      <c r="BU71" t="e">
        <f>AND('UP133'!FJ32,"AAAAAFf/30g=")</f>
        <v>#VALUE!</v>
      </c>
      <c r="BV71" t="e">
        <f>AND('UP133'!FK32,"AAAAAFf/30k=")</f>
        <v>#VALUE!</v>
      </c>
      <c r="BW71" t="e">
        <f>AND('UP133'!FL32,"AAAAAFf/30o=")</f>
        <v>#VALUE!</v>
      </c>
      <c r="BX71" t="e">
        <f>AND('UP133'!FM32,"AAAAAFf/30s=")</f>
        <v>#VALUE!</v>
      </c>
      <c r="BY71" t="e">
        <f>AND('UP133'!FN32,"AAAAAFf/30w=")</f>
        <v>#VALUE!</v>
      </c>
      <c r="BZ71" t="e">
        <f>AND('UP133'!FO32,"AAAAAFf/300=")</f>
        <v>#VALUE!</v>
      </c>
      <c r="CA71" t="e">
        <f>AND('UP133'!FP32,"AAAAAFf/304=")</f>
        <v>#VALUE!</v>
      </c>
      <c r="CB71" t="e">
        <f>AND('UP133'!FQ32,"AAAAAFf/308=")</f>
        <v>#VALUE!</v>
      </c>
      <c r="CC71" t="e">
        <f>AND('UP133'!FR32,"AAAAAFf/31A=")</f>
        <v>#VALUE!</v>
      </c>
      <c r="CD71" t="e">
        <f>AND('UP133'!FS32,"AAAAAFf/31E=")</f>
        <v>#VALUE!</v>
      </c>
      <c r="CE71" t="e">
        <f>AND('UP133'!FT32,"AAAAAFf/31I=")</f>
        <v>#VALUE!</v>
      </c>
      <c r="CF71" t="e">
        <f>AND('UP133'!FU32,"AAAAAFf/31M=")</f>
        <v>#VALUE!</v>
      </c>
      <c r="CG71" t="e">
        <f>AND('UP133'!FV32,"AAAAAFf/31Q=")</f>
        <v>#VALUE!</v>
      </c>
      <c r="CH71" t="e">
        <f>AND('UP133'!FW32,"AAAAAFf/31U=")</f>
        <v>#VALUE!</v>
      </c>
      <c r="CI71" t="e">
        <f>AND('UP133'!FX32,"AAAAAFf/31Y=")</f>
        <v>#VALUE!</v>
      </c>
      <c r="CJ71" t="e">
        <f>AND('UP133'!FY32,"AAAAAFf/31c=")</f>
        <v>#VALUE!</v>
      </c>
      <c r="CK71" t="e">
        <f>AND('UP133'!FZ32,"AAAAAFf/31g=")</f>
        <v>#VALUE!</v>
      </c>
      <c r="CL71" t="e">
        <f>AND('UP133'!GA32,"AAAAAFf/31k=")</f>
        <v>#VALUE!</v>
      </c>
      <c r="CM71" t="e">
        <f>AND('UP133'!GB32,"AAAAAFf/31o=")</f>
        <v>#VALUE!</v>
      </c>
      <c r="CN71" t="e">
        <f>AND('UP133'!GC32,"AAAAAFf/31s=")</f>
        <v>#VALUE!</v>
      </c>
      <c r="CO71" t="e">
        <f>AND('UP133'!GD32,"AAAAAFf/31w=")</f>
        <v>#VALUE!</v>
      </c>
      <c r="CP71" t="e">
        <f>AND('UP133'!GE32,"AAAAAFf/310=")</f>
        <v>#VALUE!</v>
      </c>
      <c r="CQ71" t="e">
        <f>AND('UP133'!GF32,"AAAAAFf/314=")</f>
        <v>#VALUE!</v>
      </c>
      <c r="CR71" t="e">
        <f>AND('UP133'!GG32,"AAAAAFf/318=")</f>
        <v>#VALUE!</v>
      </c>
      <c r="CS71" t="e">
        <f>AND('UP133'!GH32,"AAAAAFf/32A=")</f>
        <v>#VALUE!</v>
      </c>
      <c r="CT71" t="e">
        <f>AND('UP133'!GI32,"AAAAAFf/32E=")</f>
        <v>#VALUE!</v>
      </c>
      <c r="CU71" t="e">
        <f>AND('UP133'!GJ32,"AAAAAFf/32I=")</f>
        <v>#VALUE!</v>
      </c>
      <c r="CV71" t="e">
        <f>AND('UP133'!GK32,"AAAAAFf/32M=")</f>
        <v>#VALUE!</v>
      </c>
      <c r="CW71" t="e">
        <f>AND('UP133'!GL32,"AAAAAFf/32Q=")</f>
        <v>#VALUE!</v>
      </c>
      <c r="CX71" t="e">
        <f>AND('UP133'!GM32,"AAAAAFf/32U=")</f>
        <v>#VALUE!</v>
      </c>
      <c r="CY71" t="e">
        <f>AND('UP133'!GN32,"AAAAAFf/32Y=")</f>
        <v>#VALUE!</v>
      </c>
      <c r="CZ71" t="e">
        <f>AND('UP133'!GO32,"AAAAAFf/32c=")</f>
        <v>#VALUE!</v>
      </c>
      <c r="DA71" t="e">
        <f>AND('UP133'!GP32,"AAAAAFf/32g=")</f>
        <v>#VALUE!</v>
      </c>
      <c r="DB71" t="e">
        <f>AND('UP133'!GQ32,"AAAAAFf/32k=")</f>
        <v>#VALUE!</v>
      </c>
      <c r="DC71" t="e">
        <f>AND('UP133'!GR32,"AAAAAFf/32o=")</f>
        <v>#VALUE!</v>
      </c>
      <c r="DD71" t="e">
        <f>AND('UP133'!GS32,"AAAAAFf/32s=")</f>
        <v>#VALUE!</v>
      </c>
      <c r="DE71" t="e">
        <f>AND('UP133'!GT32,"AAAAAFf/32w=")</f>
        <v>#VALUE!</v>
      </c>
      <c r="DF71" t="e">
        <f>AND('UP133'!GU32,"AAAAAFf/320=")</f>
        <v>#VALUE!</v>
      </c>
      <c r="DG71" t="e">
        <f>AND('UP133'!GV32,"AAAAAFf/324=")</f>
        <v>#VALUE!</v>
      </c>
      <c r="DH71" t="e">
        <f>AND('UP133'!GW32,"AAAAAFf/328=")</f>
        <v>#VALUE!</v>
      </c>
      <c r="DI71" t="e">
        <f>AND('UP133'!GX32,"AAAAAFf/33A=")</f>
        <v>#VALUE!</v>
      </c>
      <c r="DJ71" t="e">
        <f>AND('UP133'!GY32,"AAAAAFf/33E=")</f>
        <v>#VALUE!</v>
      </c>
      <c r="DK71" t="e">
        <f>AND('UP133'!GZ32,"AAAAAFf/33I=")</f>
        <v>#VALUE!</v>
      </c>
      <c r="DL71" t="e">
        <f>AND('UP133'!HA32,"AAAAAFf/33M=")</f>
        <v>#VALUE!</v>
      </c>
      <c r="DM71" t="e">
        <f>AND('UP133'!HB32,"AAAAAFf/33Q=")</f>
        <v>#VALUE!</v>
      </c>
      <c r="DN71" t="e">
        <f>AND('UP133'!HC32,"AAAAAFf/33U=")</f>
        <v>#VALUE!</v>
      </c>
      <c r="DO71" t="e">
        <f>AND('UP133'!HD32,"AAAAAFf/33Y=")</f>
        <v>#VALUE!</v>
      </c>
      <c r="DP71" t="e">
        <f>AND('UP133'!HE32,"AAAAAFf/33c=")</f>
        <v>#VALUE!</v>
      </c>
      <c r="DQ71" t="e">
        <f>AND('UP133'!HF32,"AAAAAFf/33g=")</f>
        <v>#VALUE!</v>
      </c>
      <c r="DR71" t="e">
        <f>AND('UP133'!HG32,"AAAAAFf/33k=")</f>
        <v>#VALUE!</v>
      </c>
      <c r="DS71" t="e">
        <f>AND('UP133'!HH32,"AAAAAFf/33o=")</f>
        <v>#VALUE!</v>
      </c>
      <c r="DT71" t="e">
        <f>AND('UP133'!HI32,"AAAAAFf/33s=")</f>
        <v>#VALUE!</v>
      </c>
      <c r="DU71" t="e">
        <f>AND('UP133'!HJ32,"AAAAAFf/33w=")</f>
        <v>#VALUE!</v>
      </c>
      <c r="DV71" t="e">
        <f>AND('UP133'!HK32,"AAAAAFf/330=")</f>
        <v>#VALUE!</v>
      </c>
      <c r="DW71" t="e">
        <f>AND('UP133'!HL32,"AAAAAFf/334=")</f>
        <v>#VALUE!</v>
      </c>
      <c r="DX71" t="e">
        <f>AND('UP133'!HM32,"AAAAAFf/338=")</f>
        <v>#VALUE!</v>
      </c>
      <c r="DY71" t="e">
        <f>AND('UP133'!HN32,"AAAAAFf/34A=")</f>
        <v>#VALUE!</v>
      </c>
      <c r="DZ71" t="e">
        <f>AND('UP133'!HO32,"AAAAAFf/34E=")</f>
        <v>#VALUE!</v>
      </c>
      <c r="EA71" t="e">
        <f>AND('UP133'!HP32,"AAAAAFf/34I=")</f>
        <v>#VALUE!</v>
      </c>
      <c r="EB71" t="e">
        <f>AND('UP133'!HQ32,"AAAAAFf/34M=")</f>
        <v>#VALUE!</v>
      </c>
      <c r="EC71" t="e">
        <f>AND('UP133'!HR32,"AAAAAFf/34Q=")</f>
        <v>#VALUE!</v>
      </c>
      <c r="ED71" t="e">
        <f>AND('UP133'!HS32,"AAAAAFf/34U=")</f>
        <v>#VALUE!</v>
      </c>
      <c r="EE71" t="e">
        <f>AND('UP133'!HT32,"AAAAAFf/34Y=")</f>
        <v>#VALUE!</v>
      </c>
      <c r="EF71" t="e">
        <f>AND('UP133'!HU32,"AAAAAFf/34c=")</f>
        <v>#VALUE!</v>
      </c>
      <c r="EG71" t="e">
        <f>AND('UP133'!HV32,"AAAAAFf/34g=")</f>
        <v>#VALUE!</v>
      </c>
      <c r="EH71" t="e">
        <f>AND('UP133'!HW32,"AAAAAFf/34k=")</f>
        <v>#VALUE!</v>
      </c>
      <c r="EI71" t="e">
        <f>AND('UP133'!HX32,"AAAAAFf/34o=")</f>
        <v>#VALUE!</v>
      </c>
      <c r="EJ71" t="e">
        <f>AND('UP133'!HY32,"AAAAAFf/34s=")</f>
        <v>#VALUE!</v>
      </c>
      <c r="EK71" t="e">
        <f>AND('UP133'!HZ32,"AAAAAFf/34w=")</f>
        <v>#VALUE!</v>
      </c>
      <c r="EL71" t="e">
        <f>AND('UP133'!IA32,"AAAAAFf/340=")</f>
        <v>#VALUE!</v>
      </c>
      <c r="EM71" t="e">
        <f>AND('UP133'!IB32,"AAAAAFf/344=")</f>
        <v>#VALUE!</v>
      </c>
      <c r="EN71" t="e">
        <f>AND('UP133'!IC32,"AAAAAFf/348=")</f>
        <v>#VALUE!</v>
      </c>
      <c r="EO71" t="e">
        <f>AND('UP133'!ID32,"AAAAAFf/35A=")</f>
        <v>#VALUE!</v>
      </c>
      <c r="EP71" t="e">
        <f>AND('UP133'!IE32,"AAAAAFf/35E=")</f>
        <v>#VALUE!</v>
      </c>
      <c r="EQ71" t="e">
        <f>AND('UP133'!IF32,"AAAAAFf/35I=")</f>
        <v>#VALUE!</v>
      </c>
      <c r="ER71" t="e">
        <f>AND('UP133'!IG32,"AAAAAFf/35M=")</f>
        <v>#VALUE!</v>
      </c>
      <c r="ES71" t="e">
        <f>AND('UP133'!IH32,"AAAAAFf/35Q=")</f>
        <v>#VALUE!</v>
      </c>
      <c r="ET71" t="e">
        <f>AND('UP133'!II32,"AAAAAFf/35U=")</f>
        <v>#VALUE!</v>
      </c>
      <c r="EU71" t="e">
        <f>AND('UP133'!IJ32,"AAAAAFf/35Y=")</f>
        <v>#VALUE!</v>
      </c>
      <c r="EV71" t="e">
        <f>AND('UP133'!IK32,"AAAAAFf/35c=")</f>
        <v>#VALUE!</v>
      </c>
      <c r="EW71" t="e">
        <f>AND('UP133'!IL32,"AAAAAFf/35g=")</f>
        <v>#VALUE!</v>
      </c>
      <c r="EX71" t="e">
        <f>AND('UP133'!IM32,"AAAAAFf/35k=")</f>
        <v>#VALUE!</v>
      </c>
      <c r="EY71" t="e">
        <f>AND('UP133'!IN32,"AAAAAFf/35o=")</f>
        <v>#VALUE!</v>
      </c>
      <c r="EZ71" t="e">
        <f>AND('UP133'!IO32,"AAAAAFf/35s=")</f>
        <v>#VALUE!</v>
      </c>
      <c r="FA71" t="e">
        <f>AND('UP133'!IP32,"AAAAAFf/35w=")</f>
        <v>#VALUE!</v>
      </c>
      <c r="FB71" t="e">
        <f>AND('UP133'!IQ32,"AAAAAFf/350=")</f>
        <v>#VALUE!</v>
      </c>
      <c r="FC71">
        <f>IF('UP133'!33:33,"AAAAAFf/354=",0)</f>
        <v>0</v>
      </c>
      <c r="FD71" t="e">
        <f>AND('UP133'!A33,"AAAAAFf/358=")</f>
        <v>#VALUE!</v>
      </c>
      <c r="FE71" t="e">
        <f>AND('UP133'!B33,"AAAAAFf/36A=")</f>
        <v>#VALUE!</v>
      </c>
      <c r="FF71" t="e">
        <f>AND('UP133'!C33,"AAAAAFf/36E=")</f>
        <v>#VALUE!</v>
      </c>
      <c r="FG71" t="e">
        <f>AND('UP133'!D33,"AAAAAFf/36I=")</f>
        <v>#VALUE!</v>
      </c>
      <c r="FH71" t="e">
        <f>AND('UP133'!E33,"AAAAAFf/36M=")</f>
        <v>#VALUE!</v>
      </c>
      <c r="FI71" t="e">
        <f>AND('UP133'!F33,"AAAAAFf/36Q=")</f>
        <v>#VALUE!</v>
      </c>
      <c r="FJ71" t="e">
        <f>AND('UP133'!G33,"AAAAAFf/36U=")</f>
        <v>#VALUE!</v>
      </c>
      <c r="FK71" t="e">
        <f>AND('UP133'!H33,"AAAAAFf/36Y=")</f>
        <v>#VALUE!</v>
      </c>
      <c r="FL71" t="e">
        <f>AND('UP133'!I33,"AAAAAFf/36c=")</f>
        <v>#VALUE!</v>
      </c>
      <c r="FM71" t="e">
        <f>AND('UP133'!J33,"AAAAAFf/36g=")</f>
        <v>#VALUE!</v>
      </c>
      <c r="FN71" t="e">
        <f>AND('UP133'!K33,"AAAAAFf/36k=")</f>
        <v>#VALUE!</v>
      </c>
      <c r="FO71" t="e">
        <f>AND('UP133'!L33,"AAAAAFf/36o=")</f>
        <v>#VALUE!</v>
      </c>
      <c r="FP71" t="e">
        <f>AND('UP133'!M33,"AAAAAFf/36s=")</f>
        <v>#VALUE!</v>
      </c>
      <c r="FQ71" t="e">
        <f>AND('UP133'!N33,"AAAAAFf/36w=")</f>
        <v>#VALUE!</v>
      </c>
      <c r="FR71" t="e">
        <f>AND('UP133'!O33,"AAAAAFf/360=")</f>
        <v>#VALUE!</v>
      </c>
      <c r="FS71" t="e">
        <f>AND('UP133'!P33,"AAAAAFf/364=")</f>
        <v>#VALUE!</v>
      </c>
      <c r="FT71" t="e">
        <f>AND('UP133'!Q33,"AAAAAFf/368=")</f>
        <v>#VALUE!</v>
      </c>
      <c r="FU71" t="e">
        <f>AND('UP133'!R33,"AAAAAFf/37A=")</f>
        <v>#VALUE!</v>
      </c>
      <c r="FV71" t="e">
        <f>AND('UP133'!S33,"AAAAAFf/37E=")</f>
        <v>#VALUE!</v>
      </c>
      <c r="FW71" t="e">
        <f>AND('UP133'!T33,"AAAAAFf/37I=")</f>
        <v>#VALUE!</v>
      </c>
      <c r="FX71" t="e">
        <f>AND('UP133'!U33,"AAAAAFf/37M=")</f>
        <v>#VALUE!</v>
      </c>
      <c r="FY71" t="e">
        <f>AND('UP133'!V33,"AAAAAFf/37Q=")</f>
        <v>#VALUE!</v>
      </c>
      <c r="FZ71" t="e">
        <f>AND('UP133'!W33,"AAAAAFf/37U=")</f>
        <v>#VALUE!</v>
      </c>
      <c r="GA71" t="e">
        <f>AND('UP133'!X33,"AAAAAFf/37Y=")</f>
        <v>#VALUE!</v>
      </c>
      <c r="GB71" t="e">
        <f>AND('UP133'!Y33,"AAAAAFf/37c=")</f>
        <v>#VALUE!</v>
      </c>
      <c r="GC71" t="e">
        <f>AND('UP133'!Z33,"AAAAAFf/37g=")</f>
        <v>#VALUE!</v>
      </c>
      <c r="GD71" t="e">
        <f>AND('UP133'!AA33,"AAAAAFf/37k=")</f>
        <v>#VALUE!</v>
      </c>
      <c r="GE71" t="e">
        <f>AND('UP133'!AB33,"AAAAAFf/37o=")</f>
        <v>#VALUE!</v>
      </c>
      <c r="GF71" t="e">
        <f>AND('UP133'!AC33,"AAAAAFf/37s=")</f>
        <v>#VALUE!</v>
      </c>
      <c r="GG71" t="e">
        <f>AND('UP133'!AD33,"AAAAAFf/37w=")</f>
        <v>#VALUE!</v>
      </c>
      <c r="GH71" t="e">
        <f>AND('UP133'!AE33,"AAAAAFf/370=")</f>
        <v>#VALUE!</v>
      </c>
      <c r="GI71" t="e">
        <f>AND('UP133'!AF33,"AAAAAFf/374=")</f>
        <v>#VALUE!</v>
      </c>
      <c r="GJ71" t="e">
        <f>AND('UP133'!AG33,"AAAAAFf/378=")</f>
        <v>#VALUE!</v>
      </c>
      <c r="GK71" t="e">
        <f>AND('UP133'!AH33,"AAAAAFf/38A=")</f>
        <v>#VALUE!</v>
      </c>
      <c r="GL71" t="e">
        <f>AND('UP133'!AI33,"AAAAAFf/38E=")</f>
        <v>#VALUE!</v>
      </c>
      <c r="GM71" t="e">
        <f>AND('UP133'!AJ33,"AAAAAFf/38I=")</f>
        <v>#VALUE!</v>
      </c>
      <c r="GN71" t="e">
        <f>AND('UP133'!AK33,"AAAAAFf/38M=")</f>
        <v>#VALUE!</v>
      </c>
      <c r="GO71" t="e">
        <f>AND('UP133'!AL33,"AAAAAFf/38Q=")</f>
        <v>#VALUE!</v>
      </c>
      <c r="GP71" t="e">
        <f>AND('UP133'!AM33,"AAAAAFf/38U=")</f>
        <v>#VALUE!</v>
      </c>
      <c r="GQ71" t="e">
        <f>AND('UP133'!AN33,"AAAAAFf/38Y=")</f>
        <v>#VALUE!</v>
      </c>
      <c r="GR71" t="e">
        <f>AND('UP133'!AO33,"AAAAAFf/38c=")</f>
        <v>#VALUE!</v>
      </c>
      <c r="GS71" t="e">
        <f>AND('UP133'!AP33,"AAAAAFf/38g=")</f>
        <v>#VALUE!</v>
      </c>
      <c r="GT71" t="e">
        <f>AND('UP133'!AQ33,"AAAAAFf/38k=")</f>
        <v>#VALUE!</v>
      </c>
      <c r="GU71" t="e">
        <f>AND('UP133'!AR33,"AAAAAFf/38o=")</f>
        <v>#VALUE!</v>
      </c>
      <c r="GV71" t="e">
        <f>AND('UP133'!AS33,"AAAAAFf/38s=")</f>
        <v>#VALUE!</v>
      </c>
      <c r="GW71" t="e">
        <f>AND('UP133'!AT33,"AAAAAFf/38w=")</f>
        <v>#VALUE!</v>
      </c>
      <c r="GX71" t="e">
        <f>AND('UP133'!AU33,"AAAAAFf/380=")</f>
        <v>#VALUE!</v>
      </c>
      <c r="GY71" t="e">
        <f>AND('UP133'!AV33,"AAAAAFf/384=")</f>
        <v>#VALUE!</v>
      </c>
      <c r="GZ71" t="e">
        <f>AND('UP133'!AW33,"AAAAAFf/388=")</f>
        <v>#VALUE!</v>
      </c>
      <c r="HA71" t="e">
        <f>AND('UP133'!AX33,"AAAAAFf/39A=")</f>
        <v>#VALUE!</v>
      </c>
      <c r="HB71" t="e">
        <f>AND('UP133'!AY33,"AAAAAFf/39E=")</f>
        <v>#VALUE!</v>
      </c>
      <c r="HC71" t="e">
        <f>AND('UP133'!AZ33,"AAAAAFf/39I=")</f>
        <v>#VALUE!</v>
      </c>
      <c r="HD71" t="e">
        <f>AND('UP133'!BA33,"AAAAAFf/39M=")</f>
        <v>#VALUE!</v>
      </c>
      <c r="HE71" t="e">
        <f>AND('UP133'!BB33,"AAAAAFf/39Q=")</f>
        <v>#VALUE!</v>
      </c>
      <c r="HF71" t="e">
        <f>AND('UP133'!BC33,"AAAAAFf/39U=")</f>
        <v>#VALUE!</v>
      </c>
      <c r="HG71" t="e">
        <f>AND('UP133'!BD33,"AAAAAFf/39Y=")</f>
        <v>#VALUE!</v>
      </c>
      <c r="HH71" t="e">
        <f>AND('UP133'!BE33,"AAAAAFf/39c=")</f>
        <v>#VALUE!</v>
      </c>
      <c r="HI71" t="e">
        <f>AND('UP133'!BF33,"AAAAAFf/39g=")</f>
        <v>#VALUE!</v>
      </c>
      <c r="HJ71" t="e">
        <f>AND('UP133'!BG33,"AAAAAFf/39k=")</f>
        <v>#VALUE!</v>
      </c>
      <c r="HK71" t="e">
        <f>AND('UP133'!BH33,"AAAAAFf/39o=")</f>
        <v>#VALUE!</v>
      </c>
      <c r="HL71" t="e">
        <f>AND('UP133'!BI33,"AAAAAFf/39s=")</f>
        <v>#VALUE!</v>
      </c>
      <c r="HM71" t="e">
        <f>AND('UP133'!BJ33,"AAAAAFf/39w=")</f>
        <v>#VALUE!</v>
      </c>
      <c r="HN71" t="e">
        <f>AND('UP133'!BK33,"AAAAAFf/390=")</f>
        <v>#VALUE!</v>
      </c>
      <c r="HO71" t="e">
        <f>AND('UP133'!BL33,"AAAAAFf/394=")</f>
        <v>#VALUE!</v>
      </c>
      <c r="HP71" t="e">
        <f>AND('UP133'!BM33,"AAAAAFf/398=")</f>
        <v>#VALUE!</v>
      </c>
      <c r="HQ71" t="e">
        <f>AND('UP133'!BN33,"AAAAAFf/3+A=")</f>
        <v>#VALUE!</v>
      </c>
      <c r="HR71" t="e">
        <f>AND('UP133'!BO33,"AAAAAFf/3+E=")</f>
        <v>#VALUE!</v>
      </c>
      <c r="HS71" t="e">
        <f>AND('UP133'!BP33,"AAAAAFf/3+I=")</f>
        <v>#VALUE!</v>
      </c>
      <c r="HT71" t="e">
        <f>AND('UP133'!BQ33,"AAAAAFf/3+M=")</f>
        <v>#VALUE!</v>
      </c>
      <c r="HU71" t="e">
        <f>AND('UP133'!BR33,"AAAAAFf/3+Q=")</f>
        <v>#VALUE!</v>
      </c>
      <c r="HV71" t="e">
        <f>AND('UP133'!BS33,"AAAAAFf/3+U=")</f>
        <v>#VALUE!</v>
      </c>
      <c r="HW71" t="e">
        <f>AND('UP133'!BT33,"AAAAAFf/3+Y=")</f>
        <v>#VALUE!</v>
      </c>
      <c r="HX71" t="e">
        <f>AND('UP133'!BU33,"AAAAAFf/3+c=")</f>
        <v>#VALUE!</v>
      </c>
      <c r="HY71" t="e">
        <f>AND('UP133'!BV33,"AAAAAFf/3+g=")</f>
        <v>#VALUE!</v>
      </c>
      <c r="HZ71" t="e">
        <f>AND('UP133'!BW33,"AAAAAFf/3+k=")</f>
        <v>#VALUE!</v>
      </c>
      <c r="IA71" t="e">
        <f>AND('UP133'!BX33,"AAAAAFf/3+o=")</f>
        <v>#VALUE!</v>
      </c>
      <c r="IB71" t="e">
        <f>AND('UP133'!BY33,"AAAAAFf/3+s=")</f>
        <v>#VALUE!</v>
      </c>
      <c r="IC71" t="e">
        <f>AND('UP133'!BZ33,"AAAAAFf/3+w=")</f>
        <v>#VALUE!</v>
      </c>
      <c r="ID71" t="e">
        <f>AND('UP133'!CA33,"AAAAAFf/3+0=")</f>
        <v>#VALUE!</v>
      </c>
      <c r="IE71" t="e">
        <f>AND('UP133'!CB33,"AAAAAFf/3+4=")</f>
        <v>#VALUE!</v>
      </c>
      <c r="IF71" t="e">
        <f>AND('UP133'!CC33,"AAAAAFf/3+8=")</f>
        <v>#VALUE!</v>
      </c>
      <c r="IG71" t="e">
        <f>AND('UP133'!CD33,"AAAAAFf/3/A=")</f>
        <v>#VALUE!</v>
      </c>
      <c r="IH71" t="e">
        <f>AND('UP133'!CE33,"AAAAAFf/3/E=")</f>
        <v>#VALUE!</v>
      </c>
      <c r="II71" t="e">
        <f>AND('UP133'!CF33,"AAAAAFf/3/I=")</f>
        <v>#VALUE!</v>
      </c>
      <c r="IJ71" t="e">
        <f>AND('UP133'!CG33,"AAAAAFf/3/M=")</f>
        <v>#VALUE!</v>
      </c>
      <c r="IK71" t="e">
        <f>AND('UP133'!CH33,"AAAAAFf/3/Q=")</f>
        <v>#VALUE!</v>
      </c>
      <c r="IL71" t="e">
        <f>AND('UP133'!CI33,"AAAAAFf/3/U=")</f>
        <v>#VALUE!</v>
      </c>
      <c r="IM71" t="e">
        <f>AND('UP133'!CJ33,"AAAAAFf/3/Y=")</f>
        <v>#VALUE!</v>
      </c>
      <c r="IN71" t="e">
        <f>AND('UP133'!CK33,"AAAAAFf/3/c=")</f>
        <v>#VALUE!</v>
      </c>
      <c r="IO71" t="e">
        <f>AND('UP133'!CL33,"AAAAAFf/3/g=")</f>
        <v>#VALUE!</v>
      </c>
      <c r="IP71" t="e">
        <f>AND('UP133'!CM33,"AAAAAFf/3/k=")</f>
        <v>#VALUE!</v>
      </c>
      <c r="IQ71" t="e">
        <f>AND('UP133'!CN33,"AAAAAFf/3/o=")</f>
        <v>#VALUE!</v>
      </c>
      <c r="IR71" t="e">
        <f>AND('UP133'!CO33,"AAAAAFf/3/s=")</f>
        <v>#VALUE!</v>
      </c>
      <c r="IS71" t="e">
        <f>AND('UP133'!CP33,"AAAAAFf/3/w=")</f>
        <v>#VALUE!</v>
      </c>
      <c r="IT71" t="e">
        <f>AND('UP133'!CQ33,"AAAAAFf/3/0=")</f>
        <v>#VALUE!</v>
      </c>
      <c r="IU71" t="e">
        <f>AND('UP133'!CR33,"AAAAAFf/3/4=")</f>
        <v>#VALUE!</v>
      </c>
      <c r="IV71" t="e">
        <f>AND('UP133'!CS33,"AAAAAFf/3/8=")</f>
        <v>#VALUE!</v>
      </c>
    </row>
    <row r="72" spans="1:256">
      <c r="A72" t="e">
        <f>AND('UP133'!CT33,"AAAAAH30cwA=")</f>
        <v>#VALUE!</v>
      </c>
      <c r="B72" t="e">
        <f>AND('UP133'!CU33,"AAAAAH30cwE=")</f>
        <v>#VALUE!</v>
      </c>
      <c r="C72" t="e">
        <f>AND('UP133'!CV33,"AAAAAH30cwI=")</f>
        <v>#VALUE!</v>
      </c>
      <c r="D72" t="e">
        <f>AND('UP133'!CW33,"AAAAAH30cwM=")</f>
        <v>#VALUE!</v>
      </c>
      <c r="E72" t="e">
        <f>AND('UP133'!CX33,"AAAAAH30cwQ=")</f>
        <v>#VALUE!</v>
      </c>
      <c r="F72" t="e">
        <f>AND('UP133'!CY33,"AAAAAH30cwU=")</f>
        <v>#VALUE!</v>
      </c>
      <c r="G72" t="e">
        <f>AND('UP133'!CZ33,"AAAAAH30cwY=")</f>
        <v>#VALUE!</v>
      </c>
      <c r="H72" t="e">
        <f>AND('UP133'!DA33,"AAAAAH30cwc=")</f>
        <v>#VALUE!</v>
      </c>
      <c r="I72" t="e">
        <f>AND('UP133'!DB33,"AAAAAH30cwg=")</f>
        <v>#VALUE!</v>
      </c>
      <c r="J72" t="e">
        <f>AND('UP133'!DC33,"AAAAAH30cwk=")</f>
        <v>#VALUE!</v>
      </c>
      <c r="K72" t="e">
        <f>AND('UP133'!DD33,"AAAAAH30cwo=")</f>
        <v>#VALUE!</v>
      </c>
      <c r="L72" t="e">
        <f>AND('UP133'!DE33,"AAAAAH30cws=")</f>
        <v>#VALUE!</v>
      </c>
      <c r="M72" t="e">
        <f>AND('UP133'!DF33,"AAAAAH30cww=")</f>
        <v>#VALUE!</v>
      </c>
      <c r="N72" t="e">
        <f>AND('UP133'!DG33,"AAAAAH30cw0=")</f>
        <v>#VALUE!</v>
      </c>
      <c r="O72" t="e">
        <f>AND('UP133'!DH33,"AAAAAH30cw4=")</f>
        <v>#VALUE!</v>
      </c>
      <c r="P72" t="e">
        <f>AND('UP133'!DI33,"AAAAAH30cw8=")</f>
        <v>#VALUE!</v>
      </c>
      <c r="Q72" t="e">
        <f>AND('UP133'!DJ33,"AAAAAH30cxA=")</f>
        <v>#VALUE!</v>
      </c>
      <c r="R72" t="e">
        <f>AND('UP133'!DK33,"AAAAAH30cxE=")</f>
        <v>#VALUE!</v>
      </c>
      <c r="S72" t="e">
        <f>AND('UP133'!DL33,"AAAAAH30cxI=")</f>
        <v>#VALUE!</v>
      </c>
      <c r="T72" t="e">
        <f>AND('UP133'!DM33,"AAAAAH30cxM=")</f>
        <v>#VALUE!</v>
      </c>
      <c r="U72" t="e">
        <f>AND('UP133'!DN33,"AAAAAH30cxQ=")</f>
        <v>#VALUE!</v>
      </c>
      <c r="V72" t="e">
        <f>AND('UP133'!DO33,"AAAAAH30cxU=")</f>
        <v>#VALUE!</v>
      </c>
      <c r="W72" t="e">
        <f>AND('UP133'!DP33,"AAAAAH30cxY=")</f>
        <v>#VALUE!</v>
      </c>
      <c r="X72" t="e">
        <f>AND('UP133'!DQ33,"AAAAAH30cxc=")</f>
        <v>#VALUE!</v>
      </c>
      <c r="Y72" t="e">
        <f>AND('UP133'!DR33,"AAAAAH30cxg=")</f>
        <v>#VALUE!</v>
      </c>
      <c r="Z72" t="e">
        <f>AND('UP133'!DS33,"AAAAAH30cxk=")</f>
        <v>#VALUE!</v>
      </c>
      <c r="AA72" t="e">
        <f>AND('UP133'!DT33,"AAAAAH30cxo=")</f>
        <v>#VALUE!</v>
      </c>
      <c r="AB72" t="e">
        <f>AND('UP133'!DU33,"AAAAAH30cxs=")</f>
        <v>#VALUE!</v>
      </c>
      <c r="AC72" t="e">
        <f>AND('UP133'!DV33,"AAAAAH30cxw=")</f>
        <v>#VALUE!</v>
      </c>
      <c r="AD72" t="e">
        <f>AND('UP133'!DW33,"AAAAAH30cx0=")</f>
        <v>#VALUE!</v>
      </c>
      <c r="AE72" t="e">
        <f>AND('UP133'!DX33,"AAAAAH30cx4=")</f>
        <v>#VALUE!</v>
      </c>
      <c r="AF72" t="e">
        <f>AND('UP133'!DY33,"AAAAAH30cx8=")</f>
        <v>#VALUE!</v>
      </c>
      <c r="AG72" t="e">
        <f>AND('UP133'!DZ33,"AAAAAH30cyA=")</f>
        <v>#VALUE!</v>
      </c>
      <c r="AH72" t="e">
        <f>AND('UP133'!EA33,"AAAAAH30cyE=")</f>
        <v>#VALUE!</v>
      </c>
      <c r="AI72" t="e">
        <f>AND('UP133'!EB33,"AAAAAH30cyI=")</f>
        <v>#VALUE!</v>
      </c>
      <c r="AJ72" t="e">
        <f>AND('UP133'!EC33,"AAAAAH30cyM=")</f>
        <v>#VALUE!</v>
      </c>
      <c r="AK72" t="e">
        <f>AND('UP133'!ED33,"AAAAAH30cyQ=")</f>
        <v>#VALUE!</v>
      </c>
      <c r="AL72" t="e">
        <f>AND('UP133'!EE33,"AAAAAH30cyU=")</f>
        <v>#VALUE!</v>
      </c>
      <c r="AM72" t="e">
        <f>AND('UP133'!EF33,"AAAAAH30cyY=")</f>
        <v>#VALUE!</v>
      </c>
      <c r="AN72" t="e">
        <f>AND('UP133'!EG33,"AAAAAH30cyc=")</f>
        <v>#VALUE!</v>
      </c>
      <c r="AO72" t="e">
        <f>AND('UP133'!EH33,"AAAAAH30cyg=")</f>
        <v>#VALUE!</v>
      </c>
      <c r="AP72" t="e">
        <f>AND('UP133'!EI33,"AAAAAH30cyk=")</f>
        <v>#VALUE!</v>
      </c>
      <c r="AQ72" t="e">
        <f>AND('UP133'!EJ33,"AAAAAH30cyo=")</f>
        <v>#VALUE!</v>
      </c>
      <c r="AR72" t="e">
        <f>AND('UP133'!EK33,"AAAAAH30cys=")</f>
        <v>#VALUE!</v>
      </c>
      <c r="AS72" t="e">
        <f>AND('UP133'!EL33,"AAAAAH30cyw=")</f>
        <v>#VALUE!</v>
      </c>
      <c r="AT72" t="e">
        <f>AND('UP133'!EM33,"AAAAAH30cy0=")</f>
        <v>#VALUE!</v>
      </c>
      <c r="AU72" t="e">
        <f>AND('UP133'!EN33,"AAAAAH30cy4=")</f>
        <v>#VALUE!</v>
      </c>
      <c r="AV72" t="e">
        <f>AND('UP133'!EO33,"AAAAAH30cy8=")</f>
        <v>#VALUE!</v>
      </c>
      <c r="AW72" t="e">
        <f>AND('UP133'!EP33,"AAAAAH30czA=")</f>
        <v>#VALUE!</v>
      </c>
      <c r="AX72" t="e">
        <f>AND('UP133'!EQ33,"AAAAAH30czE=")</f>
        <v>#VALUE!</v>
      </c>
      <c r="AY72" t="e">
        <f>AND('UP133'!ER33,"AAAAAH30czI=")</f>
        <v>#VALUE!</v>
      </c>
      <c r="AZ72" t="e">
        <f>AND('UP133'!ES33,"AAAAAH30czM=")</f>
        <v>#VALUE!</v>
      </c>
      <c r="BA72" t="e">
        <f>AND('UP133'!ET33,"AAAAAH30czQ=")</f>
        <v>#VALUE!</v>
      </c>
      <c r="BB72" t="e">
        <f>AND('UP133'!EU33,"AAAAAH30czU=")</f>
        <v>#VALUE!</v>
      </c>
      <c r="BC72" t="e">
        <f>AND('UP133'!EV33,"AAAAAH30czY=")</f>
        <v>#VALUE!</v>
      </c>
      <c r="BD72" t="e">
        <f>AND('UP133'!EW33,"AAAAAH30czc=")</f>
        <v>#VALUE!</v>
      </c>
      <c r="BE72" t="e">
        <f>AND('UP133'!EX33,"AAAAAH30czg=")</f>
        <v>#VALUE!</v>
      </c>
      <c r="BF72" t="e">
        <f>AND('UP133'!EY33,"AAAAAH30czk=")</f>
        <v>#VALUE!</v>
      </c>
      <c r="BG72" t="e">
        <f>AND('UP133'!EZ33,"AAAAAH30czo=")</f>
        <v>#VALUE!</v>
      </c>
      <c r="BH72" t="e">
        <f>AND('UP133'!FA33,"AAAAAH30czs=")</f>
        <v>#VALUE!</v>
      </c>
      <c r="BI72" t="e">
        <f>AND('UP133'!FB33,"AAAAAH30czw=")</f>
        <v>#VALUE!</v>
      </c>
      <c r="BJ72" t="e">
        <f>AND('UP133'!FC33,"AAAAAH30cz0=")</f>
        <v>#VALUE!</v>
      </c>
      <c r="BK72" t="e">
        <f>AND('UP133'!FD33,"AAAAAH30cz4=")</f>
        <v>#VALUE!</v>
      </c>
      <c r="BL72" t="e">
        <f>AND('UP133'!FE33,"AAAAAH30cz8=")</f>
        <v>#VALUE!</v>
      </c>
      <c r="BM72" t="e">
        <f>AND('UP133'!FF33,"AAAAAH30c0A=")</f>
        <v>#VALUE!</v>
      </c>
      <c r="BN72" t="e">
        <f>AND('UP133'!FG33,"AAAAAH30c0E=")</f>
        <v>#VALUE!</v>
      </c>
      <c r="BO72" t="e">
        <f>AND('UP133'!FH33,"AAAAAH30c0I=")</f>
        <v>#VALUE!</v>
      </c>
      <c r="BP72" t="e">
        <f>AND('UP133'!FI33,"AAAAAH30c0M=")</f>
        <v>#VALUE!</v>
      </c>
      <c r="BQ72" t="e">
        <f>AND('UP133'!FJ33,"AAAAAH30c0Q=")</f>
        <v>#VALUE!</v>
      </c>
      <c r="BR72" t="e">
        <f>AND('UP133'!FK33,"AAAAAH30c0U=")</f>
        <v>#VALUE!</v>
      </c>
      <c r="BS72" t="e">
        <f>AND('UP133'!FL33,"AAAAAH30c0Y=")</f>
        <v>#VALUE!</v>
      </c>
      <c r="BT72" t="e">
        <f>AND('UP133'!FM33,"AAAAAH30c0c=")</f>
        <v>#VALUE!</v>
      </c>
      <c r="BU72" t="e">
        <f>AND('UP133'!FN33,"AAAAAH30c0g=")</f>
        <v>#VALUE!</v>
      </c>
      <c r="BV72" t="e">
        <f>AND('UP133'!FO33,"AAAAAH30c0k=")</f>
        <v>#VALUE!</v>
      </c>
      <c r="BW72" t="e">
        <f>AND('UP133'!FP33,"AAAAAH30c0o=")</f>
        <v>#VALUE!</v>
      </c>
      <c r="BX72" t="e">
        <f>AND('UP133'!FQ33,"AAAAAH30c0s=")</f>
        <v>#VALUE!</v>
      </c>
      <c r="BY72" t="e">
        <f>AND('UP133'!FR33,"AAAAAH30c0w=")</f>
        <v>#VALUE!</v>
      </c>
      <c r="BZ72" t="e">
        <f>AND('UP133'!FS33,"AAAAAH30c00=")</f>
        <v>#VALUE!</v>
      </c>
      <c r="CA72" t="e">
        <f>AND('UP133'!FT33,"AAAAAH30c04=")</f>
        <v>#VALUE!</v>
      </c>
      <c r="CB72" t="e">
        <f>AND('UP133'!FU33,"AAAAAH30c08=")</f>
        <v>#VALUE!</v>
      </c>
      <c r="CC72" t="e">
        <f>AND('UP133'!FV33,"AAAAAH30c1A=")</f>
        <v>#VALUE!</v>
      </c>
      <c r="CD72" t="e">
        <f>AND('UP133'!FW33,"AAAAAH30c1E=")</f>
        <v>#VALUE!</v>
      </c>
      <c r="CE72" t="e">
        <f>AND('UP133'!FX33,"AAAAAH30c1I=")</f>
        <v>#VALUE!</v>
      </c>
      <c r="CF72" t="e">
        <f>AND('UP133'!FY33,"AAAAAH30c1M=")</f>
        <v>#VALUE!</v>
      </c>
      <c r="CG72" t="e">
        <f>AND('UP133'!FZ33,"AAAAAH30c1Q=")</f>
        <v>#VALUE!</v>
      </c>
      <c r="CH72" t="e">
        <f>AND('UP133'!GA33,"AAAAAH30c1U=")</f>
        <v>#VALUE!</v>
      </c>
      <c r="CI72" t="e">
        <f>AND('UP133'!GB33,"AAAAAH30c1Y=")</f>
        <v>#VALUE!</v>
      </c>
      <c r="CJ72" t="e">
        <f>AND('UP133'!GC33,"AAAAAH30c1c=")</f>
        <v>#VALUE!</v>
      </c>
      <c r="CK72" t="e">
        <f>AND('UP133'!GD33,"AAAAAH30c1g=")</f>
        <v>#VALUE!</v>
      </c>
      <c r="CL72" t="e">
        <f>AND('UP133'!GE33,"AAAAAH30c1k=")</f>
        <v>#VALUE!</v>
      </c>
      <c r="CM72" t="e">
        <f>AND('UP133'!GF33,"AAAAAH30c1o=")</f>
        <v>#VALUE!</v>
      </c>
      <c r="CN72" t="e">
        <f>AND('UP133'!GG33,"AAAAAH30c1s=")</f>
        <v>#VALUE!</v>
      </c>
      <c r="CO72" t="e">
        <f>AND('UP133'!GH33,"AAAAAH30c1w=")</f>
        <v>#VALUE!</v>
      </c>
      <c r="CP72" t="e">
        <f>AND('UP133'!GI33,"AAAAAH30c10=")</f>
        <v>#VALUE!</v>
      </c>
      <c r="CQ72" t="e">
        <f>AND('UP133'!GJ33,"AAAAAH30c14=")</f>
        <v>#VALUE!</v>
      </c>
      <c r="CR72" t="e">
        <f>AND('UP133'!GK33,"AAAAAH30c18=")</f>
        <v>#VALUE!</v>
      </c>
      <c r="CS72" t="e">
        <f>AND('UP133'!GL33,"AAAAAH30c2A=")</f>
        <v>#VALUE!</v>
      </c>
      <c r="CT72" t="e">
        <f>AND('UP133'!GM33,"AAAAAH30c2E=")</f>
        <v>#VALUE!</v>
      </c>
      <c r="CU72" t="e">
        <f>AND('UP133'!GN33,"AAAAAH30c2I=")</f>
        <v>#VALUE!</v>
      </c>
      <c r="CV72" t="e">
        <f>AND('UP133'!GO33,"AAAAAH30c2M=")</f>
        <v>#VALUE!</v>
      </c>
      <c r="CW72" t="e">
        <f>AND('UP133'!GP33,"AAAAAH30c2Q=")</f>
        <v>#VALUE!</v>
      </c>
      <c r="CX72" t="e">
        <f>AND('UP133'!GQ33,"AAAAAH30c2U=")</f>
        <v>#VALUE!</v>
      </c>
      <c r="CY72" t="e">
        <f>AND('UP133'!GR33,"AAAAAH30c2Y=")</f>
        <v>#VALUE!</v>
      </c>
      <c r="CZ72" t="e">
        <f>AND('UP133'!GS33,"AAAAAH30c2c=")</f>
        <v>#VALUE!</v>
      </c>
      <c r="DA72" t="e">
        <f>AND('UP133'!GT33,"AAAAAH30c2g=")</f>
        <v>#VALUE!</v>
      </c>
      <c r="DB72" t="e">
        <f>AND('UP133'!GU33,"AAAAAH30c2k=")</f>
        <v>#VALUE!</v>
      </c>
      <c r="DC72" t="e">
        <f>AND('UP133'!GV33,"AAAAAH30c2o=")</f>
        <v>#VALUE!</v>
      </c>
      <c r="DD72" t="e">
        <f>AND('UP133'!GW33,"AAAAAH30c2s=")</f>
        <v>#VALUE!</v>
      </c>
      <c r="DE72" t="e">
        <f>AND('UP133'!GX33,"AAAAAH30c2w=")</f>
        <v>#VALUE!</v>
      </c>
      <c r="DF72" t="e">
        <f>AND('UP133'!GY33,"AAAAAH30c20=")</f>
        <v>#VALUE!</v>
      </c>
      <c r="DG72" t="e">
        <f>AND('UP133'!GZ33,"AAAAAH30c24=")</f>
        <v>#VALUE!</v>
      </c>
      <c r="DH72" t="e">
        <f>AND('UP133'!HA33,"AAAAAH30c28=")</f>
        <v>#VALUE!</v>
      </c>
      <c r="DI72" t="e">
        <f>AND('UP133'!HB33,"AAAAAH30c3A=")</f>
        <v>#VALUE!</v>
      </c>
      <c r="DJ72" t="e">
        <f>AND('UP133'!HC33,"AAAAAH30c3E=")</f>
        <v>#VALUE!</v>
      </c>
      <c r="DK72" t="e">
        <f>AND('UP133'!HD33,"AAAAAH30c3I=")</f>
        <v>#VALUE!</v>
      </c>
      <c r="DL72" t="e">
        <f>AND('UP133'!HE33,"AAAAAH30c3M=")</f>
        <v>#VALUE!</v>
      </c>
      <c r="DM72" t="e">
        <f>AND('UP133'!HF33,"AAAAAH30c3Q=")</f>
        <v>#VALUE!</v>
      </c>
      <c r="DN72" t="e">
        <f>AND('UP133'!HG33,"AAAAAH30c3U=")</f>
        <v>#VALUE!</v>
      </c>
      <c r="DO72" t="e">
        <f>AND('UP133'!HH33,"AAAAAH30c3Y=")</f>
        <v>#VALUE!</v>
      </c>
      <c r="DP72" t="e">
        <f>AND('UP133'!HI33,"AAAAAH30c3c=")</f>
        <v>#VALUE!</v>
      </c>
      <c r="DQ72" t="e">
        <f>AND('UP133'!HJ33,"AAAAAH30c3g=")</f>
        <v>#VALUE!</v>
      </c>
      <c r="DR72" t="e">
        <f>AND('UP133'!HK33,"AAAAAH30c3k=")</f>
        <v>#VALUE!</v>
      </c>
      <c r="DS72" t="e">
        <f>AND('UP133'!HL33,"AAAAAH30c3o=")</f>
        <v>#VALUE!</v>
      </c>
      <c r="DT72" t="e">
        <f>AND('UP133'!HM33,"AAAAAH30c3s=")</f>
        <v>#VALUE!</v>
      </c>
      <c r="DU72" t="e">
        <f>AND('UP133'!HN33,"AAAAAH30c3w=")</f>
        <v>#VALUE!</v>
      </c>
      <c r="DV72" t="e">
        <f>AND('UP133'!HO33,"AAAAAH30c30=")</f>
        <v>#VALUE!</v>
      </c>
      <c r="DW72" t="e">
        <f>AND('UP133'!HP33,"AAAAAH30c34=")</f>
        <v>#VALUE!</v>
      </c>
      <c r="DX72" t="e">
        <f>AND('UP133'!HQ33,"AAAAAH30c38=")</f>
        <v>#VALUE!</v>
      </c>
      <c r="DY72" t="e">
        <f>AND('UP133'!HR33,"AAAAAH30c4A=")</f>
        <v>#VALUE!</v>
      </c>
      <c r="DZ72" t="e">
        <f>AND('UP133'!HS33,"AAAAAH30c4E=")</f>
        <v>#VALUE!</v>
      </c>
      <c r="EA72" t="e">
        <f>AND('UP133'!HT33,"AAAAAH30c4I=")</f>
        <v>#VALUE!</v>
      </c>
      <c r="EB72" t="e">
        <f>AND('UP133'!HU33,"AAAAAH30c4M=")</f>
        <v>#VALUE!</v>
      </c>
      <c r="EC72" t="e">
        <f>AND('UP133'!HV33,"AAAAAH30c4Q=")</f>
        <v>#VALUE!</v>
      </c>
      <c r="ED72" t="e">
        <f>AND('UP133'!HW33,"AAAAAH30c4U=")</f>
        <v>#VALUE!</v>
      </c>
      <c r="EE72" t="e">
        <f>AND('UP133'!HX33,"AAAAAH30c4Y=")</f>
        <v>#VALUE!</v>
      </c>
      <c r="EF72" t="e">
        <f>AND('UP133'!HY33,"AAAAAH30c4c=")</f>
        <v>#VALUE!</v>
      </c>
      <c r="EG72" t="e">
        <f>AND('UP133'!HZ33,"AAAAAH30c4g=")</f>
        <v>#VALUE!</v>
      </c>
      <c r="EH72" t="e">
        <f>AND('UP133'!IA33,"AAAAAH30c4k=")</f>
        <v>#VALUE!</v>
      </c>
      <c r="EI72" t="e">
        <f>AND('UP133'!IB33,"AAAAAH30c4o=")</f>
        <v>#VALUE!</v>
      </c>
      <c r="EJ72" t="e">
        <f>AND('UP133'!IC33,"AAAAAH30c4s=")</f>
        <v>#VALUE!</v>
      </c>
      <c r="EK72" t="e">
        <f>AND('UP133'!ID33,"AAAAAH30c4w=")</f>
        <v>#VALUE!</v>
      </c>
      <c r="EL72" t="e">
        <f>AND('UP133'!IE33,"AAAAAH30c40=")</f>
        <v>#VALUE!</v>
      </c>
      <c r="EM72" t="e">
        <f>AND('UP133'!IF33,"AAAAAH30c44=")</f>
        <v>#VALUE!</v>
      </c>
      <c r="EN72" t="e">
        <f>AND('UP133'!IG33,"AAAAAH30c48=")</f>
        <v>#VALUE!</v>
      </c>
      <c r="EO72" t="e">
        <f>AND('UP133'!IH33,"AAAAAH30c5A=")</f>
        <v>#VALUE!</v>
      </c>
      <c r="EP72" t="e">
        <f>AND('UP133'!II33,"AAAAAH30c5E=")</f>
        <v>#VALUE!</v>
      </c>
      <c r="EQ72" t="e">
        <f>AND('UP133'!IJ33,"AAAAAH30c5I=")</f>
        <v>#VALUE!</v>
      </c>
      <c r="ER72" t="e">
        <f>AND('UP133'!IK33,"AAAAAH30c5M=")</f>
        <v>#VALUE!</v>
      </c>
      <c r="ES72" t="e">
        <f>AND('UP133'!IL33,"AAAAAH30c5Q=")</f>
        <v>#VALUE!</v>
      </c>
      <c r="ET72" t="e">
        <f>AND('UP133'!IM33,"AAAAAH30c5U=")</f>
        <v>#VALUE!</v>
      </c>
      <c r="EU72" t="e">
        <f>AND('UP133'!IN33,"AAAAAH30c5Y=")</f>
        <v>#VALUE!</v>
      </c>
      <c r="EV72" t="e">
        <f>AND('UP133'!IO33,"AAAAAH30c5c=")</f>
        <v>#VALUE!</v>
      </c>
      <c r="EW72" t="e">
        <f>AND('UP133'!IP33,"AAAAAH30c5g=")</f>
        <v>#VALUE!</v>
      </c>
      <c r="EX72" t="e">
        <f>AND('UP133'!IQ33,"AAAAAH30c5k=")</f>
        <v>#VALUE!</v>
      </c>
      <c r="EY72">
        <f>IF('UP133'!34:34,"AAAAAH30c5o=",0)</f>
        <v>0</v>
      </c>
      <c r="EZ72" t="e">
        <f>AND('UP133'!A34,"AAAAAH30c5s=")</f>
        <v>#VALUE!</v>
      </c>
      <c r="FA72" t="e">
        <f>AND('UP133'!B34,"AAAAAH30c5w=")</f>
        <v>#VALUE!</v>
      </c>
      <c r="FB72" t="e">
        <f>AND('UP133'!C34,"AAAAAH30c50=")</f>
        <v>#VALUE!</v>
      </c>
      <c r="FC72" t="e">
        <f>AND('UP133'!D34,"AAAAAH30c54=")</f>
        <v>#VALUE!</v>
      </c>
      <c r="FD72" t="e">
        <f>AND('UP133'!E34,"AAAAAH30c58=")</f>
        <v>#VALUE!</v>
      </c>
      <c r="FE72" t="e">
        <f>AND('UP133'!F34,"AAAAAH30c6A=")</f>
        <v>#VALUE!</v>
      </c>
      <c r="FF72" t="e">
        <f>AND('UP133'!G34,"AAAAAH30c6E=")</f>
        <v>#VALUE!</v>
      </c>
      <c r="FG72" t="e">
        <f>AND('UP133'!H34,"AAAAAH30c6I=")</f>
        <v>#VALUE!</v>
      </c>
      <c r="FH72" t="e">
        <f>AND('UP133'!I34,"AAAAAH30c6M=")</f>
        <v>#VALUE!</v>
      </c>
      <c r="FI72" t="e">
        <f>AND('UP133'!J34,"AAAAAH30c6Q=")</f>
        <v>#VALUE!</v>
      </c>
      <c r="FJ72" t="e">
        <f>AND('UP133'!K34,"AAAAAH30c6U=")</f>
        <v>#VALUE!</v>
      </c>
      <c r="FK72" t="e">
        <f>AND('UP133'!L34,"AAAAAH30c6Y=")</f>
        <v>#VALUE!</v>
      </c>
      <c r="FL72" t="e">
        <f>AND('UP133'!M34,"AAAAAH30c6c=")</f>
        <v>#VALUE!</v>
      </c>
      <c r="FM72" t="e">
        <f>AND('UP133'!N34,"AAAAAH30c6g=")</f>
        <v>#VALUE!</v>
      </c>
      <c r="FN72" t="e">
        <f>AND('UP133'!O34,"AAAAAH30c6k=")</f>
        <v>#VALUE!</v>
      </c>
      <c r="FO72" t="e">
        <f>AND('UP133'!P34,"AAAAAH30c6o=")</f>
        <v>#VALUE!</v>
      </c>
      <c r="FP72" t="e">
        <f>AND('UP133'!Q34,"AAAAAH30c6s=")</f>
        <v>#VALUE!</v>
      </c>
      <c r="FQ72" t="e">
        <f>AND('UP133'!R34,"AAAAAH30c6w=")</f>
        <v>#VALUE!</v>
      </c>
      <c r="FR72" t="e">
        <f>AND('UP133'!S34,"AAAAAH30c60=")</f>
        <v>#VALUE!</v>
      </c>
      <c r="FS72" t="e">
        <f>AND('UP133'!T34,"AAAAAH30c64=")</f>
        <v>#VALUE!</v>
      </c>
      <c r="FT72" t="e">
        <f>AND('UP133'!U34,"AAAAAH30c68=")</f>
        <v>#VALUE!</v>
      </c>
      <c r="FU72" t="e">
        <f>AND('UP133'!V34,"AAAAAH30c7A=")</f>
        <v>#VALUE!</v>
      </c>
      <c r="FV72" t="e">
        <f>AND('UP133'!W34,"AAAAAH30c7E=")</f>
        <v>#VALUE!</v>
      </c>
      <c r="FW72" t="e">
        <f>AND('UP133'!X34,"AAAAAH30c7I=")</f>
        <v>#VALUE!</v>
      </c>
      <c r="FX72" t="e">
        <f>AND('UP133'!Y34,"AAAAAH30c7M=")</f>
        <v>#VALUE!</v>
      </c>
      <c r="FY72" t="e">
        <f>AND('UP133'!Z34,"AAAAAH30c7Q=")</f>
        <v>#VALUE!</v>
      </c>
      <c r="FZ72" t="e">
        <f>AND('UP133'!AA34,"AAAAAH30c7U=")</f>
        <v>#VALUE!</v>
      </c>
      <c r="GA72" t="e">
        <f>AND('UP133'!AB34,"AAAAAH30c7Y=")</f>
        <v>#VALUE!</v>
      </c>
      <c r="GB72" t="e">
        <f>AND('UP133'!AC34,"AAAAAH30c7c=")</f>
        <v>#VALUE!</v>
      </c>
      <c r="GC72" t="e">
        <f>AND('UP133'!AD34,"AAAAAH30c7g=")</f>
        <v>#VALUE!</v>
      </c>
      <c r="GD72" t="e">
        <f>AND('UP133'!AE34,"AAAAAH30c7k=")</f>
        <v>#VALUE!</v>
      </c>
      <c r="GE72" t="e">
        <f>AND('UP133'!AF34,"AAAAAH30c7o=")</f>
        <v>#VALUE!</v>
      </c>
      <c r="GF72" t="e">
        <f>AND('UP133'!AG34,"AAAAAH30c7s=")</f>
        <v>#VALUE!</v>
      </c>
      <c r="GG72" t="e">
        <f>AND('UP133'!AH34,"AAAAAH30c7w=")</f>
        <v>#VALUE!</v>
      </c>
      <c r="GH72" t="e">
        <f>AND('UP133'!AI34,"AAAAAH30c70=")</f>
        <v>#VALUE!</v>
      </c>
      <c r="GI72" t="e">
        <f>AND('UP133'!AJ34,"AAAAAH30c74=")</f>
        <v>#VALUE!</v>
      </c>
      <c r="GJ72" t="e">
        <f>AND('UP133'!AK34,"AAAAAH30c78=")</f>
        <v>#VALUE!</v>
      </c>
      <c r="GK72" t="e">
        <f>AND('UP133'!AL34,"AAAAAH30c8A=")</f>
        <v>#VALUE!</v>
      </c>
      <c r="GL72" t="e">
        <f>AND('UP133'!AM34,"AAAAAH30c8E=")</f>
        <v>#VALUE!</v>
      </c>
      <c r="GM72" t="e">
        <f>AND('UP133'!AN34,"AAAAAH30c8I=")</f>
        <v>#VALUE!</v>
      </c>
      <c r="GN72" t="e">
        <f>AND('UP133'!AO34,"AAAAAH30c8M=")</f>
        <v>#VALUE!</v>
      </c>
      <c r="GO72" t="e">
        <f>AND('UP133'!AP34,"AAAAAH30c8Q=")</f>
        <v>#VALUE!</v>
      </c>
      <c r="GP72" t="e">
        <f>AND('UP133'!AQ34,"AAAAAH30c8U=")</f>
        <v>#VALUE!</v>
      </c>
      <c r="GQ72" t="e">
        <f>AND('UP133'!AR34,"AAAAAH30c8Y=")</f>
        <v>#VALUE!</v>
      </c>
      <c r="GR72" t="e">
        <f>AND('UP133'!AS34,"AAAAAH30c8c=")</f>
        <v>#VALUE!</v>
      </c>
      <c r="GS72" t="e">
        <f>AND('UP133'!AT34,"AAAAAH30c8g=")</f>
        <v>#VALUE!</v>
      </c>
      <c r="GT72" t="e">
        <f>AND('UP133'!AU34,"AAAAAH30c8k=")</f>
        <v>#VALUE!</v>
      </c>
      <c r="GU72" t="e">
        <f>AND('UP133'!AV34,"AAAAAH30c8o=")</f>
        <v>#VALUE!</v>
      </c>
      <c r="GV72" t="e">
        <f>AND('UP133'!AW34,"AAAAAH30c8s=")</f>
        <v>#VALUE!</v>
      </c>
      <c r="GW72" t="e">
        <f>AND('UP133'!AX34,"AAAAAH30c8w=")</f>
        <v>#VALUE!</v>
      </c>
      <c r="GX72" t="e">
        <f>AND('UP133'!AY34,"AAAAAH30c80=")</f>
        <v>#VALUE!</v>
      </c>
      <c r="GY72" t="e">
        <f>AND('UP133'!AZ34,"AAAAAH30c84=")</f>
        <v>#VALUE!</v>
      </c>
      <c r="GZ72" t="e">
        <f>AND('UP133'!BA34,"AAAAAH30c88=")</f>
        <v>#VALUE!</v>
      </c>
      <c r="HA72" t="e">
        <f>AND('UP133'!BB34,"AAAAAH30c9A=")</f>
        <v>#VALUE!</v>
      </c>
      <c r="HB72" t="e">
        <f>AND('UP133'!BC34,"AAAAAH30c9E=")</f>
        <v>#VALUE!</v>
      </c>
      <c r="HC72" t="e">
        <f>AND('UP133'!BD34,"AAAAAH30c9I=")</f>
        <v>#VALUE!</v>
      </c>
      <c r="HD72" t="e">
        <f>AND('UP133'!BE34,"AAAAAH30c9M=")</f>
        <v>#VALUE!</v>
      </c>
      <c r="HE72" t="e">
        <f>AND('UP133'!BF34,"AAAAAH30c9Q=")</f>
        <v>#VALUE!</v>
      </c>
      <c r="HF72" t="e">
        <f>AND('UP133'!BG34,"AAAAAH30c9U=")</f>
        <v>#VALUE!</v>
      </c>
      <c r="HG72" t="e">
        <f>AND('UP133'!BH34,"AAAAAH30c9Y=")</f>
        <v>#VALUE!</v>
      </c>
      <c r="HH72" t="e">
        <f>AND('UP133'!BI34,"AAAAAH30c9c=")</f>
        <v>#VALUE!</v>
      </c>
      <c r="HI72" t="e">
        <f>AND('UP133'!BJ34,"AAAAAH30c9g=")</f>
        <v>#VALUE!</v>
      </c>
      <c r="HJ72" t="e">
        <f>AND('UP133'!BK34,"AAAAAH30c9k=")</f>
        <v>#VALUE!</v>
      </c>
      <c r="HK72" t="e">
        <f>AND('UP133'!BL34,"AAAAAH30c9o=")</f>
        <v>#VALUE!</v>
      </c>
      <c r="HL72" t="e">
        <f>AND('UP133'!BM34,"AAAAAH30c9s=")</f>
        <v>#VALUE!</v>
      </c>
      <c r="HM72" t="e">
        <f>AND('UP133'!BN34,"AAAAAH30c9w=")</f>
        <v>#VALUE!</v>
      </c>
      <c r="HN72" t="e">
        <f>AND('UP133'!BO34,"AAAAAH30c90=")</f>
        <v>#VALUE!</v>
      </c>
      <c r="HO72" t="e">
        <f>AND('UP133'!BP34,"AAAAAH30c94=")</f>
        <v>#VALUE!</v>
      </c>
      <c r="HP72" t="e">
        <f>AND('UP133'!BQ34,"AAAAAH30c98=")</f>
        <v>#VALUE!</v>
      </c>
      <c r="HQ72" t="e">
        <f>AND('UP133'!BR34,"AAAAAH30c+A=")</f>
        <v>#VALUE!</v>
      </c>
      <c r="HR72" t="e">
        <f>AND('UP133'!BS34,"AAAAAH30c+E=")</f>
        <v>#VALUE!</v>
      </c>
      <c r="HS72" t="e">
        <f>AND('UP133'!BT34,"AAAAAH30c+I=")</f>
        <v>#VALUE!</v>
      </c>
      <c r="HT72" t="e">
        <f>AND('UP133'!BU34,"AAAAAH30c+M=")</f>
        <v>#VALUE!</v>
      </c>
      <c r="HU72" t="e">
        <f>AND('UP133'!BV34,"AAAAAH30c+Q=")</f>
        <v>#VALUE!</v>
      </c>
      <c r="HV72" t="e">
        <f>AND('UP133'!BW34,"AAAAAH30c+U=")</f>
        <v>#VALUE!</v>
      </c>
      <c r="HW72" t="e">
        <f>AND('UP133'!BX34,"AAAAAH30c+Y=")</f>
        <v>#VALUE!</v>
      </c>
      <c r="HX72" t="e">
        <f>AND('UP133'!BY34,"AAAAAH30c+c=")</f>
        <v>#VALUE!</v>
      </c>
      <c r="HY72" t="e">
        <f>AND('UP133'!BZ34,"AAAAAH30c+g=")</f>
        <v>#VALUE!</v>
      </c>
      <c r="HZ72" t="e">
        <f>AND('UP133'!CA34,"AAAAAH30c+k=")</f>
        <v>#VALUE!</v>
      </c>
      <c r="IA72" t="e">
        <f>AND('UP133'!CB34,"AAAAAH30c+o=")</f>
        <v>#VALUE!</v>
      </c>
      <c r="IB72" t="e">
        <f>AND('UP133'!CC34,"AAAAAH30c+s=")</f>
        <v>#VALUE!</v>
      </c>
      <c r="IC72" t="e">
        <f>AND('UP133'!CD34,"AAAAAH30c+w=")</f>
        <v>#VALUE!</v>
      </c>
      <c r="ID72" t="e">
        <f>AND('UP133'!CE34,"AAAAAH30c+0=")</f>
        <v>#VALUE!</v>
      </c>
      <c r="IE72" t="e">
        <f>AND('UP133'!CF34,"AAAAAH30c+4=")</f>
        <v>#VALUE!</v>
      </c>
      <c r="IF72" t="e">
        <f>AND('UP133'!CG34,"AAAAAH30c+8=")</f>
        <v>#VALUE!</v>
      </c>
      <c r="IG72" t="e">
        <f>AND('UP133'!CH34,"AAAAAH30c/A=")</f>
        <v>#VALUE!</v>
      </c>
      <c r="IH72" t="e">
        <f>AND('UP133'!CI34,"AAAAAH30c/E=")</f>
        <v>#VALUE!</v>
      </c>
      <c r="II72" t="e">
        <f>AND('UP133'!CJ34,"AAAAAH30c/I=")</f>
        <v>#VALUE!</v>
      </c>
      <c r="IJ72" t="e">
        <f>AND('UP133'!CK34,"AAAAAH30c/M=")</f>
        <v>#VALUE!</v>
      </c>
      <c r="IK72" t="e">
        <f>AND('UP133'!CL34,"AAAAAH30c/Q=")</f>
        <v>#VALUE!</v>
      </c>
      <c r="IL72" t="e">
        <f>AND('UP133'!CM34,"AAAAAH30c/U=")</f>
        <v>#VALUE!</v>
      </c>
      <c r="IM72" t="e">
        <f>AND('UP133'!CN34,"AAAAAH30c/Y=")</f>
        <v>#VALUE!</v>
      </c>
      <c r="IN72" t="e">
        <f>AND('UP133'!CO34,"AAAAAH30c/c=")</f>
        <v>#VALUE!</v>
      </c>
      <c r="IO72" t="e">
        <f>AND('UP133'!CP34,"AAAAAH30c/g=")</f>
        <v>#VALUE!</v>
      </c>
      <c r="IP72" t="e">
        <f>AND('UP133'!CQ34,"AAAAAH30c/k=")</f>
        <v>#VALUE!</v>
      </c>
      <c r="IQ72" t="e">
        <f>AND('UP133'!CR34,"AAAAAH30c/o=")</f>
        <v>#VALUE!</v>
      </c>
      <c r="IR72" t="e">
        <f>AND('UP133'!CS34,"AAAAAH30c/s=")</f>
        <v>#VALUE!</v>
      </c>
      <c r="IS72" t="e">
        <f>AND('UP133'!CT34,"AAAAAH30c/w=")</f>
        <v>#VALUE!</v>
      </c>
      <c r="IT72" t="e">
        <f>AND('UP133'!CU34,"AAAAAH30c/0=")</f>
        <v>#VALUE!</v>
      </c>
      <c r="IU72" t="e">
        <f>AND('UP133'!CV34,"AAAAAH30c/4=")</f>
        <v>#VALUE!</v>
      </c>
      <c r="IV72" t="e">
        <f>AND('UP133'!CW34,"AAAAAH30c/8=")</f>
        <v>#VALUE!</v>
      </c>
    </row>
    <row r="73" spans="1:256">
      <c r="A73" t="e">
        <f>AND('UP133'!CX34,"AAAAAH9v/wA=")</f>
        <v>#VALUE!</v>
      </c>
      <c r="B73" t="e">
        <f>AND('UP133'!CY34,"AAAAAH9v/wE=")</f>
        <v>#VALUE!</v>
      </c>
      <c r="C73" t="e">
        <f>AND('UP133'!CZ34,"AAAAAH9v/wI=")</f>
        <v>#VALUE!</v>
      </c>
      <c r="D73" t="e">
        <f>AND('UP133'!DA34,"AAAAAH9v/wM=")</f>
        <v>#VALUE!</v>
      </c>
      <c r="E73" t="e">
        <f>AND('UP133'!DB34,"AAAAAH9v/wQ=")</f>
        <v>#VALUE!</v>
      </c>
      <c r="F73" t="e">
        <f>AND('UP133'!DC34,"AAAAAH9v/wU=")</f>
        <v>#VALUE!</v>
      </c>
      <c r="G73" t="e">
        <f>AND('UP133'!DD34,"AAAAAH9v/wY=")</f>
        <v>#VALUE!</v>
      </c>
      <c r="H73" t="e">
        <f>AND('UP133'!DE34,"AAAAAH9v/wc=")</f>
        <v>#VALUE!</v>
      </c>
      <c r="I73" t="e">
        <f>AND('UP133'!DF34,"AAAAAH9v/wg=")</f>
        <v>#VALUE!</v>
      </c>
      <c r="J73" t="e">
        <f>AND('UP133'!DG34,"AAAAAH9v/wk=")</f>
        <v>#VALUE!</v>
      </c>
      <c r="K73" t="e">
        <f>AND('UP133'!DH34,"AAAAAH9v/wo=")</f>
        <v>#VALUE!</v>
      </c>
      <c r="L73" t="e">
        <f>AND('UP133'!DI34,"AAAAAH9v/ws=")</f>
        <v>#VALUE!</v>
      </c>
      <c r="M73" t="e">
        <f>AND('UP133'!DJ34,"AAAAAH9v/ww=")</f>
        <v>#VALUE!</v>
      </c>
      <c r="N73" t="e">
        <f>AND('UP133'!DK34,"AAAAAH9v/w0=")</f>
        <v>#VALUE!</v>
      </c>
      <c r="O73" t="e">
        <f>AND('UP133'!DL34,"AAAAAH9v/w4=")</f>
        <v>#VALUE!</v>
      </c>
      <c r="P73" t="e">
        <f>AND('UP133'!DM34,"AAAAAH9v/w8=")</f>
        <v>#VALUE!</v>
      </c>
      <c r="Q73" t="e">
        <f>AND('UP133'!DN34,"AAAAAH9v/xA=")</f>
        <v>#VALUE!</v>
      </c>
      <c r="R73" t="e">
        <f>AND('UP133'!DO34,"AAAAAH9v/xE=")</f>
        <v>#VALUE!</v>
      </c>
      <c r="S73" t="e">
        <f>AND('UP133'!DP34,"AAAAAH9v/xI=")</f>
        <v>#VALUE!</v>
      </c>
      <c r="T73" t="e">
        <f>AND('UP133'!DQ34,"AAAAAH9v/xM=")</f>
        <v>#VALUE!</v>
      </c>
      <c r="U73" t="e">
        <f>AND('UP133'!DR34,"AAAAAH9v/xQ=")</f>
        <v>#VALUE!</v>
      </c>
      <c r="V73" t="e">
        <f>AND('UP133'!DS34,"AAAAAH9v/xU=")</f>
        <v>#VALUE!</v>
      </c>
      <c r="W73" t="e">
        <f>AND('UP133'!DT34,"AAAAAH9v/xY=")</f>
        <v>#VALUE!</v>
      </c>
      <c r="X73" t="e">
        <f>AND('UP133'!DU34,"AAAAAH9v/xc=")</f>
        <v>#VALUE!</v>
      </c>
      <c r="Y73" t="e">
        <f>AND('UP133'!DV34,"AAAAAH9v/xg=")</f>
        <v>#VALUE!</v>
      </c>
      <c r="Z73" t="e">
        <f>AND('UP133'!DW34,"AAAAAH9v/xk=")</f>
        <v>#VALUE!</v>
      </c>
      <c r="AA73" t="e">
        <f>AND('UP133'!DX34,"AAAAAH9v/xo=")</f>
        <v>#VALUE!</v>
      </c>
      <c r="AB73" t="e">
        <f>AND('UP133'!DY34,"AAAAAH9v/xs=")</f>
        <v>#VALUE!</v>
      </c>
      <c r="AC73" t="e">
        <f>AND('UP133'!DZ34,"AAAAAH9v/xw=")</f>
        <v>#VALUE!</v>
      </c>
      <c r="AD73" t="e">
        <f>AND('UP133'!EA34,"AAAAAH9v/x0=")</f>
        <v>#VALUE!</v>
      </c>
      <c r="AE73" t="e">
        <f>AND('UP133'!EB34,"AAAAAH9v/x4=")</f>
        <v>#VALUE!</v>
      </c>
      <c r="AF73" t="e">
        <f>AND('UP133'!EC34,"AAAAAH9v/x8=")</f>
        <v>#VALUE!</v>
      </c>
      <c r="AG73" t="e">
        <f>AND('UP133'!ED34,"AAAAAH9v/yA=")</f>
        <v>#VALUE!</v>
      </c>
      <c r="AH73" t="e">
        <f>AND('UP133'!EE34,"AAAAAH9v/yE=")</f>
        <v>#VALUE!</v>
      </c>
      <c r="AI73" t="e">
        <f>AND('UP133'!EF34,"AAAAAH9v/yI=")</f>
        <v>#VALUE!</v>
      </c>
      <c r="AJ73" t="e">
        <f>AND('UP133'!EG34,"AAAAAH9v/yM=")</f>
        <v>#VALUE!</v>
      </c>
      <c r="AK73" t="e">
        <f>AND('UP133'!EH34,"AAAAAH9v/yQ=")</f>
        <v>#VALUE!</v>
      </c>
      <c r="AL73" t="e">
        <f>AND('UP133'!EI34,"AAAAAH9v/yU=")</f>
        <v>#VALUE!</v>
      </c>
      <c r="AM73" t="e">
        <f>AND('UP133'!EJ34,"AAAAAH9v/yY=")</f>
        <v>#VALUE!</v>
      </c>
      <c r="AN73" t="e">
        <f>AND('UP133'!EK34,"AAAAAH9v/yc=")</f>
        <v>#VALUE!</v>
      </c>
      <c r="AO73" t="e">
        <f>AND('UP133'!EL34,"AAAAAH9v/yg=")</f>
        <v>#VALUE!</v>
      </c>
      <c r="AP73" t="e">
        <f>AND('UP133'!EM34,"AAAAAH9v/yk=")</f>
        <v>#VALUE!</v>
      </c>
      <c r="AQ73" t="e">
        <f>AND('UP133'!EN34,"AAAAAH9v/yo=")</f>
        <v>#VALUE!</v>
      </c>
      <c r="AR73" t="e">
        <f>AND('UP133'!EO34,"AAAAAH9v/ys=")</f>
        <v>#VALUE!</v>
      </c>
      <c r="AS73" t="e">
        <f>AND('UP133'!EP34,"AAAAAH9v/yw=")</f>
        <v>#VALUE!</v>
      </c>
      <c r="AT73" t="e">
        <f>AND('UP133'!EQ34,"AAAAAH9v/y0=")</f>
        <v>#VALUE!</v>
      </c>
      <c r="AU73" t="e">
        <f>AND('UP133'!ER34,"AAAAAH9v/y4=")</f>
        <v>#VALUE!</v>
      </c>
      <c r="AV73" t="e">
        <f>AND('UP133'!ES34,"AAAAAH9v/y8=")</f>
        <v>#VALUE!</v>
      </c>
      <c r="AW73" t="e">
        <f>AND('UP133'!ET34,"AAAAAH9v/zA=")</f>
        <v>#VALUE!</v>
      </c>
      <c r="AX73" t="e">
        <f>AND('UP133'!EU34,"AAAAAH9v/zE=")</f>
        <v>#VALUE!</v>
      </c>
      <c r="AY73" t="e">
        <f>AND('UP133'!EV34,"AAAAAH9v/zI=")</f>
        <v>#VALUE!</v>
      </c>
      <c r="AZ73" t="e">
        <f>AND('UP133'!EW34,"AAAAAH9v/zM=")</f>
        <v>#VALUE!</v>
      </c>
      <c r="BA73" t="e">
        <f>AND('UP133'!EX34,"AAAAAH9v/zQ=")</f>
        <v>#VALUE!</v>
      </c>
      <c r="BB73" t="e">
        <f>AND('UP133'!EY34,"AAAAAH9v/zU=")</f>
        <v>#VALUE!</v>
      </c>
      <c r="BC73" t="e">
        <f>AND('UP133'!EZ34,"AAAAAH9v/zY=")</f>
        <v>#VALUE!</v>
      </c>
      <c r="BD73" t="e">
        <f>AND('UP133'!FA34,"AAAAAH9v/zc=")</f>
        <v>#VALUE!</v>
      </c>
      <c r="BE73" t="e">
        <f>AND('UP133'!FB34,"AAAAAH9v/zg=")</f>
        <v>#VALUE!</v>
      </c>
      <c r="BF73" t="e">
        <f>AND('UP133'!FC34,"AAAAAH9v/zk=")</f>
        <v>#VALUE!</v>
      </c>
      <c r="BG73" t="e">
        <f>AND('UP133'!FD34,"AAAAAH9v/zo=")</f>
        <v>#VALUE!</v>
      </c>
      <c r="BH73" t="e">
        <f>AND('UP133'!FE34,"AAAAAH9v/zs=")</f>
        <v>#VALUE!</v>
      </c>
      <c r="BI73" t="e">
        <f>AND('UP133'!FF34,"AAAAAH9v/zw=")</f>
        <v>#VALUE!</v>
      </c>
      <c r="BJ73" t="e">
        <f>AND('UP133'!FG34,"AAAAAH9v/z0=")</f>
        <v>#VALUE!</v>
      </c>
      <c r="BK73" t="e">
        <f>AND('UP133'!FH34,"AAAAAH9v/z4=")</f>
        <v>#VALUE!</v>
      </c>
      <c r="BL73" t="e">
        <f>AND('UP133'!FI34,"AAAAAH9v/z8=")</f>
        <v>#VALUE!</v>
      </c>
      <c r="BM73" t="e">
        <f>AND('UP133'!FJ34,"AAAAAH9v/0A=")</f>
        <v>#VALUE!</v>
      </c>
      <c r="BN73" t="e">
        <f>AND('UP133'!FK34,"AAAAAH9v/0E=")</f>
        <v>#VALUE!</v>
      </c>
      <c r="BO73" t="e">
        <f>AND('UP133'!FL34,"AAAAAH9v/0I=")</f>
        <v>#VALUE!</v>
      </c>
      <c r="BP73" t="e">
        <f>AND('UP133'!FM34,"AAAAAH9v/0M=")</f>
        <v>#VALUE!</v>
      </c>
      <c r="BQ73" t="e">
        <f>AND('UP133'!FN34,"AAAAAH9v/0Q=")</f>
        <v>#VALUE!</v>
      </c>
      <c r="BR73" t="e">
        <f>AND('UP133'!FO34,"AAAAAH9v/0U=")</f>
        <v>#VALUE!</v>
      </c>
      <c r="BS73" t="e">
        <f>AND('UP133'!FP34,"AAAAAH9v/0Y=")</f>
        <v>#VALUE!</v>
      </c>
      <c r="BT73" t="e">
        <f>AND('UP133'!FQ34,"AAAAAH9v/0c=")</f>
        <v>#VALUE!</v>
      </c>
      <c r="BU73" t="e">
        <f>AND('UP133'!FR34,"AAAAAH9v/0g=")</f>
        <v>#VALUE!</v>
      </c>
      <c r="BV73" t="e">
        <f>AND('UP133'!FS34,"AAAAAH9v/0k=")</f>
        <v>#VALUE!</v>
      </c>
      <c r="BW73" t="e">
        <f>AND('UP133'!FT34,"AAAAAH9v/0o=")</f>
        <v>#VALUE!</v>
      </c>
      <c r="BX73" t="e">
        <f>AND('UP133'!FU34,"AAAAAH9v/0s=")</f>
        <v>#VALUE!</v>
      </c>
      <c r="BY73" t="e">
        <f>AND('UP133'!FV34,"AAAAAH9v/0w=")</f>
        <v>#VALUE!</v>
      </c>
      <c r="BZ73" t="e">
        <f>AND('UP133'!FW34,"AAAAAH9v/00=")</f>
        <v>#VALUE!</v>
      </c>
      <c r="CA73" t="e">
        <f>AND('UP133'!FX34,"AAAAAH9v/04=")</f>
        <v>#VALUE!</v>
      </c>
      <c r="CB73" t="e">
        <f>AND('UP133'!FY34,"AAAAAH9v/08=")</f>
        <v>#VALUE!</v>
      </c>
      <c r="CC73" t="e">
        <f>AND('UP133'!FZ34,"AAAAAH9v/1A=")</f>
        <v>#VALUE!</v>
      </c>
      <c r="CD73" t="e">
        <f>AND('UP133'!GA34,"AAAAAH9v/1E=")</f>
        <v>#VALUE!</v>
      </c>
      <c r="CE73" t="e">
        <f>AND('UP133'!GB34,"AAAAAH9v/1I=")</f>
        <v>#VALUE!</v>
      </c>
      <c r="CF73" t="e">
        <f>AND('UP133'!GC34,"AAAAAH9v/1M=")</f>
        <v>#VALUE!</v>
      </c>
      <c r="CG73" t="e">
        <f>AND('UP133'!GD34,"AAAAAH9v/1Q=")</f>
        <v>#VALUE!</v>
      </c>
      <c r="CH73" t="e">
        <f>AND('UP133'!GE34,"AAAAAH9v/1U=")</f>
        <v>#VALUE!</v>
      </c>
      <c r="CI73" t="e">
        <f>AND('UP133'!GF34,"AAAAAH9v/1Y=")</f>
        <v>#VALUE!</v>
      </c>
      <c r="CJ73" t="e">
        <f>AND('UP133'!GG34,"AAAAAH9v/1c=")</f>
        <v>#VALUE!</v>
      </c>
      <c r="CK73" t="e">
        <f>AND('UP133'!GH34,"AAAAAH9v/1g=")</f>
        <v>#VALUE!</v>
      </c>
      <c r="CL73" t="e">
        <f>AND('UP133'!GI34,"AAAAAH9v/1k=")</f>
        <v>#VALUE!</v>
      </c>
      <c r="CM73" t="e">
        <f>AND('UP133'!GJ34,"AAAAAH9v/1o=")</f>
        <v>#VALUE!</v>
      </c>
      <c r="CN73" t="e">
        <f>AND('UP133'!GK34,"AAAAAH9v/1s=")</f>
        <v>#VALUE!</v>
      </c>
      <c r="CO73" t="e">
        <f>AND('UP133'!GL34,"AAAAAH9v/1w=")</f>
        <v>#VALUE!</v>
      </c>
      <c r="CP73" t="e">
        <f>AND('UP133'!GM34,"AAAAAH9v/10=")</f>
        <v>#VALUE!</v>
      </c>
      <c r="CQ73" t="e">
        <f>AND('UP133'!GN34,"AAAAAH9v/14=")</f>
        <v>#VALUE!</v>
      </c>
      <c r="CR73" t="e">
        <f>AND('UP133'!GO34,"AAAAAH9v/18=")</f>
        <v>#VALUE!</v>
      </c>
      <c r="CS73" t="e">
        <f>AND('UP133'!GP34,"AAAAAH9v/2A=")</f>
        <v>#VALUE!</v>
      </c>
      <c r="CT73" t="e">
        <f>AND('UP133'!GQ34,"AAAAAH9v/2E=")</f>
        <v>#VALUE!</v>
      </c>
      <c r="CU73" t="e">
        <f>AND('UP133'!GR34,"AAAAAH9v/2I=")</f>
        <v>#VALUE!</v>
      </c>
      <c r="CV73" t="e">
        <f>AND('UP133'!GS34,"AAAAAH9v/2M=")</f>
        <v>#VALUE!</v>
      </c>
      <c r="CW73" t="e">
        <f>AND('UP133'!GT34,"AAAAAH9v/2Q=")</f>
        <v>#VALUE!</v>
      </c>
      <c r="CX73" t="e">
        <f>AND('UP133'!GU34,"AAAAAH9v/2U=")</f>
        <v>#VALUE!</v>
      </c>
      <c r="CY73" t="e">
        <f>AND('UP133'!GV34,"AAAAAH9v/2Y=")</f>
        <v>#VALUE!</v>
      </c>
      <c r="CZ73" t="e">
        <f>AND('UP133'!GW34,"AAAAAH9v/2c=")</f>
        <v>#VALUE!</v>
      </c>
      <c r="DA73" t="e">
        <f>AND('UP133'!GX34,"AAAAAH9v/2g=")</f>
        <v>#VALUE!</v>
      </c>
      <c r="DB73" t="e">
        <f>AND('UP133'!GY34,"AAAAAH9v/2k=")</f>
        <v>#VALUE!</v>
      </c>
      <c r="DC73" t="e">
        <f>AND('UP133'!GZ34,"AAAAAH9v/2o=")</f>
        <v>#VALUE!</v>
      </c>
      <c r="DD73" t="e">
        <f>AND('UP133'!HA34,"AAAAAH9v/2s=")</f>
        <v>#VALUE!</v>
      </c>
      <c r="DE73" t="e">
        <f>AND('UP133'!HB34,"AAAAAH9v/2w=")</f>
        <v>#VALUE!</v>
      </c>
      <c r="DF73" t="e">
        <f>AND('UP133'!HC34,"AAAAAH9v/20=")</f>
        <v>#VALUE!</v>
      </c>
      <c r="DG73" t="e">
        <f>AND('UP133'!HD34,"AAAAAH9v/24=")</f>
        <v>#VALUE!</v>
      </c>
      <c r="DH73" t="e">
        <f>AND('UP133'!HE34,"AAAAAH9v/28=")</f>
        <v>#VALUE!</v>
      </c>
      <c r="DI73" t="e">
        <f>AND('UP133'!HF34,"AAAAAH9v/3A=")</f>
        <v>#VALUE!</v>
      </c>
      <c r="DJ73" t="e">
        <f>AND('UP133'!HG34,"AAAAAH9v/3E=")</f>
        <v>#VALUE!</v>
      </c>
      <c r="DK73" t="e">
        <f>AND('UP133'!HH34,"AAAAAH9v/3I=")</f>
        <v>#VALUE!</v>
      </c>
      <c r="DL73" t="e">
        <f>AND('UP133'!HI34,"AAAAAH9v/3M=")</f>
        <v>#VALUE!</v>
      </c>
      <c r="DM73" t="e">
        <f>AND('UP133'!HJ34,"AAAAAH9v/3Q=")</f>
        <v>#VALUE!</v>
      </c>
      <c r="DN73" t="e">
        <f>AND('UP133'!HK34,"AAAAAH9v/3U=")</f>
        <v>#VALUE!</v>
      </c>
      <c r="DO73" t="e">
        <f>AND('UP133'!HL34,"AAAAAH9v/3Y=")</f>
        <v>#VALUE!</v>
      </c>
      <c r="DP73" t="e">
        <f>AND('UP133'!HM34,"AAAAAH9v/3c=")</f>
        <v>#VALUE!</v>
      </c>
      <c r="DQ73" t="e">
        <f>AND('UP133'!HN34,"AAAAAH9v/3g=")</f>
        <v>#VALUE!</v>
      </c>
      <c r="DR73" t="e">
        <f>AND('UP133'!HO34,"AAAAAH9v/3k=")</f>
        <v>#VALUE!</v>
      </c>
      <c r="DS73" t="e">
        <f>AND('UP133'!HP34,"AAAAAH9v/3o=")</f>
        <v>#VALUE!</v>
      </c>
      <c r="DT73" t="e">
        <f>AND('UP133'!HQ34,"AAAAAH9v/3s=")</f>
        <v>#VALUE!</v>
      </c>
      <c r="DU73" t="e">
        <f>AND('UP133'!HR34,"AAAAAH9v/3w=")</f>
        <v>#VALUE!</v>
      </c>
      <c r="DV73" t="e">
        <f>AND('UP133'!HS34,"AAAAAH9v/30=")</f>
        <v>#VALUE!</v>
      </c>
      <c r="DW73" t="e">
        <f>AND('UP133'!HT34,"AAAAAH9v/34=")</f>
        <v>#VALUE!</v>
      </c>
      <c r="DX73" t="e">
        <f>AND('UP133'!HU34,"AAAAAH9v/38=")</f>
        <v>#VALUE!</v>
      </c>
      <c r="DY73" t="e">
        <f>AND('UP133'!HV34,"AAAAAH9v/4A=")</f>
        <v>#VALUE!</v>
      </c>
      <c r="DZ73" t="e">
        <f>AND('UP133'!HW34,"AAAAAH9v/4E=")</f>
        <v>#VALUE!</v>
      </c>
      <c r="EA73" t="e">
        <f>AND('UP133'!HX34,"AAAAAH9v/4I=")</f>
        <v>#VALUE!</v>
      </c>
      <c r="EB73" t="e">
        <f>AND('UP133'!HY34,"AAAAAH9v/4M=")</f>
        <v>#VALUE!</v>
      </c>
      <c r="EC73" t="e">
        <f>AND('UP133'!HZ34,"AAAAAH9v/4Q=")</f>
        <v>#VALUE!</v>
      </c>
      <c r="ED73" t="e">
        <f>AND('UP133'!IA34,"AAAAAH9v/4U=")</f>
        <v>#VALUE!</v>
      </c>
      <c r="EE73" t="e">
        <f>AND('UP133'!IB34,"AAAAAH9v/4Y=")</f>
        <v>#VALUE!</v>
      </c>
      <c r="EF73" t="e">
        <f>AND('UP133'!IC34,"AAAAAH9v/4c=")</f>
        <v>#VALUE!</v>
      </c>
      <c r="EG73" t="e">
        <f>AND('UP133'!ID34,"AAAAAH9v/4g=")</f>
        <v>#VALUE!</v>
      </c>
      <c r="EH73" t="e">
        <f>AND('UP133'!IE34,"AAAAAH9v/4k=")</f>
        <v>#VALUE!</v>
      </c>
      <c r="EI73" t="e">
        <f>AND('UP133'!IF34,"AAAAAH9v/4o=")</f>
        <v>#VALUE!</v>
      </c>
      <c r="EJ73" t="e">
        <f>AND('UP133'!IG34,"AAAAAH9v/4s=")</f>
        <v>#VALUE!</v>
      </c>
      <c r="EK73" t="e">
        <f>AND('UP133'!IH34,"AAAAAH9v/4w=")</f>
        <v>#VALUE!</v>
      </c>
      <c r="EL73" t="e">
        <f>AND('UP133'!II34,"AAAAAH9v/40=")</f>
        <v>#VALUE!</v>
      </c>
      <c r="EM73" t="e">
        <f>AND('UP133'!IJ34,"AAAAAH9v/44=")</f>
        <v>#VALUE!</v>
      </c>
      <c r="EN73" t="e">
        <f>AND('UP133'!IK34,"AAAAAH9v/48=")</f>
        <v>#VALUE!</v>
      </c>
      <c r="EO73" t="e">
        <f>AND('UP133'!IL34,"AAAAAH9v/5A=")</f>
        <v>#VALUE!</v>
      </c>
      <c r="EP73" t="e">
        <f>AND('UP133'!IM34,"AAAAAH9v/5E=")</f>
        <v>#VALUE!</v>
      </c>
      <c r="EQ73" t="e">
        <f>AND('UP133'!IN34,"AAAAAH9v/5I=")</f>
        <v>#VALUE!</v>
      </c>
      <c r="ER73" t="e">
        <f>AND('UP133'!IO34,"AAAAAH9v/5M=")</f>
        <v>#VALUE!</v>
      </c>
      <c r="ES73" t="e">
        <f>AND('UP133'!IP34,"AAAAAH9v/5Q=")</f>
        <v>#VALUE!</v>
      </c>
      <c r="ET73" t="e">
        <f>AND('UP133'!IQ34,"AAAAAH9v/5U=")</f>
        <v>#VALUE!</v>
      </c>
      <c r="EU73">
        <f>IF('UP133'!35:35,"AAAAAH9v/5Y=",0)</f>
        <v>0</v>
      </c>
      <c r="EV73" t="e">
        <f>AND('UP133'!A35,"AAAAAH9v/5c=")</f>
        <v>#VALUE!</v>
      </c>
      <c r="EW73" t="e">
        <f>AND('UP133'!B35,"AAAAAH9v/5g=")</f>
        <v>#VALUE!</v>
      </c>
      <c r="EX73" t="e">
        <f>AND('UP133'!C35,"AAAAAH9v/5k=")</f>
        <v>#VALUE!</v>
      </c>
      <c r="EY73" t="e">
        <f>AND('UP133'!D35,"AAAAAH9v/5o=")</f>
        <v>#VALUE!</v>
      </c>
      <c r="EZ73" t="e">
        <f>AND('UP133'!E35,"AAAAAH9v/5s=")</f>
        <v>#VALUE!</v>
      </c>
      <c r="FA73" t="e">
        <f>AND('UP133'!F35,"AAAAAH9v/5w=")</f>
        <v>#VALUE!</v>
      </c>
      <c r="FB73" t="e">
        <f>AND('UP133'!G35,"AAAAAH9v/50=")</f>
        <v>#VALUE!</v>
      </c>
      <c r="FC73" t="e">
        <f>AND('UP133'!H35,"AAAAAH9v/54=")</f>
        <v>#VALUE!</v>
      </c>
      <c r="FD73" t="e">
        <f>AND('UP133'!I35,"AAAAAH9v/58=")</f>
        <v>#VALUE!</v>
      </c>
      <c r="FE73" t="e">
        <f>AND('UP133'!J35,"AAAAAH9v/6A=")</f>
        <v>#VALUE!</v>
      </c>
      <c r="FF73" t="e">
        <f>AND('UP133'!K35,"AAAAAH9v/6E=")</f>
        <v>#VALUE!</v>
      </c>
      <c r="FG73" t="e">
        <f>AND('UP133'!L35,"AAAAAH9v/6I=")</f>
        <v>#VALUE!</v>
      </c>
      <c r="FH73" t="e">
        <f>AND('UP133'!M35,"AAAAAH9v/6M=")</f>
        <v>#VALUE!</v>
      </c>
      <c r="FI73" t="e">
        <f>AND('UP133'!N35,"AAAAAH9v/6Q=")</f>
        <v>#VALUE!</v>
      </c>
      <c r="FJ73" t="e">
        <f>AND('UP133'!O35,"AAAAAH9v/6U=")</f>
        <v>#VALUE!</v>
      </c>
      <c r="FK73" t="e">
        <f>AND('UP133'!P35,"AAAAAH9v/6Y=")</f>
        <v>#VALUE!</v>
      </c>
      <c r="FL73" t="e">
        <f>AND('UP133'!Q35,"AAAAAH9v/6c=")</f>
        <v>#VALUE!</v>
      </c>
      <c r="FM73" t="e">
        <f>AND('UP133'!R35,"AAAAAH9v/6g=")</f>
        <v>#VALUE!</v>
      </c>
      <c r="FN73" t="e">
        <f>AND('UP133'!S35,"AAAAAH9v/6k=")</f>
        <v>#VALUE!</v>
      </c>
      <c r="FO73" t="e">
        <f>AND('UP133'!T35,"AAAAAH9v/6o=")</f>
        <v>#VALUE!</v>
      </c>
      <c r="FP73" t="e">
        <f>AND('UP133'!U35,"AAAAAH9v/6s=")</f>
        <v>#VALUE!</v>
      </c>
      <c r="FQ73" t="e">
        <f>AND('UP133'!V35,"AAAAAH9v/6w=")</f>
        <v>#VALUE!</v>
      </c>
      <c r="FR73" t="e">
        <f>AND('UP133'!W35,"AAAAAH9v/60=")</f>
        <v>#VALUE!</v>
      </c>
      <c r="FS73" t="e">
        <f>AND('UP133'!X35,"AAAAAH9v/64=")</f>
        <v>#VALUE!</v>
      </c>
      <c r="FT73" t="e">
        <f>AND('UP133'!Y35,"AAAAAH9v/68=")</f>
        <v>#VALUE!</v>
      </c>
      <c r="FU73" t="e">
        <f>AND('UP133'!Z35,"AAAAAH9v/7A=")</f>
        <v>#VALUE!</v>
      </c>
      <c r="FV73" t="e">
        <f>AND('UP133'!AA35,"AAAAAH9v/7E=")</f>
        <v>#VALUE!</v>
      </c>
      <c r="FW73" t="e">
        <f>AND('UP133'!AB35,"AAAAAH9v/7I=")</f>
        <v>#VALUE!</v>
      </c>
      <c r="FX73" t="e">
        <f>AND('UP133'!AC35,"AAAAAH9v/7M=")</f>
        <v>#VALUE!</v>
      </c>
      <c r="FY73" t="e">
        <f>AND('UP133'!AD35,"AAAAAH9v/7Q=")</f>
        <v>#VALUE!</v>
      </c>
      <c r="FZ73" t="e">
        <f>AND('UP133'!AE35,"AAAAAH9v/7U=")</f>
        <v>#VALUE!</v>
      </c>
      <c r="GA73" t="e">
        <f>AND('UP133'!AF35,"AAAAAH9v/7Y=")</f>
        <v>#VALUE!</v>
      </c>
      <c r="GB73" t="e">
        <f>AND('UP133'!AG35,"AAAAAH9v/7c=")</f>
        <v>#VALUE!</v>
      </c>
      <c r="GC73" t="e">
        <f>AND('UP133'!AH35,"AAAAAH9v/7g=")</f>
        <v>#VALUE!</v>
      </c>
      <c r="GD73" t="e">
        <f>AND('UP133'!AI35,"AAAAAH9v/7k=")</f>
        <v>#VALUE!</v>
      </c>
      <c r="GE73" t="e">
        <f>AND('UP133'!AJ35,"AAAAAH9v/7o=")</f>
        <v>#VALUE!</v>
      </c>
      <c r="GF73" t="e">
        <f>AND('UP133'!AK35,"AAAAAH9v/7s=")</f>
        <v>#VALUE!</v>
      </c>
      <c r="GG73" t="e">
        <f>AND('UP133'!AL35,"AAAAAH9v/7w=")</f>
        <v>#VALUE!</v>
      </c>
      <c r="GH73" t="e">
        <f>AND('UP133'!AM35,"AAAAAH9v/70=")</f>
        <v>#VALUE!</v>
      </c>
      <c r="GI73" t="e">
        <f>AND('UP133'!AN35,"AAAAAH9v/74=")</f>
        <v>#VALUE!</v>
      </c>
      <c r="GJ73" t="e">
        <f>AND('UP133'!AO35,"AAAAAH9v/78=")</f>
        <v>#VALUE!</v>
      </c>
      <c r="GK73" t="e">
        <f>AND('UP133'!AP35,"AAAAAH9v/8A=")</f>
        <v>#VALUE!</v>
      </c>
      <c r="GL73" t="e">
        <f>AND('UP133'!AQ35,"AAAAAH9v/8E=")</f>
        <v>#VALUE!</v>
      </c>
      <c r="GM73" t="e">
        <f>AND('UP133'!AR35,"AAAAAH9v/8I=")</f>
        <v>#VALUE!</v>
      </c>
      <c r="GN73" t="e">
        <f>AND('UP133'!AS35,"AAAAAH9v/8M=")</f>
        <v>#VALUE!</v>
      </c>
      <c r="GO73" t="e">
        <f>AND('UP133'!AT35,"AAAAAH9v/8Q=")</f>
        <v>#VALUE!</v>
      </c>
      <c r="GP73" t="e">
        <f>AND('UP133'!AU35,"AAAAAH9v/8U=")</f>
        <v>#VALUE!</v>
      </c>
      <c r="GQ73" t="e">
        <f>AND('UP133'!AV35,"AAAAAH9v/8Y=")</f>
        <v>#VALUE!</v>
      </c>
      <c r="GR73" t="e">
        <f>AND('UP133'!AW35,"AAAAAH9v/8c=")</f>
        <v>#VALUE!</v>
      </c>
      <c r="GS73" t="e">
        <f>AND('UP133'!AX35,"AAAAAH9v/8g=")</f>
        <v>#VALUE!</v>
      </c>
      <c r="GT73" t="e">
        <f>AND('UP133'!AY35,"AAAAAH9v/8k=")</f>
        <v>#VALUE!</v>
      </c>
      <c r="GU73" t="e">
        <f>AND('UP133'!AZ35,"AAAAAH9v/8o=")</f>
        <v>#VALUE!</v>
      </c>
      <c r="GV73" t="e">
        <f>AND('UP133'!BA35,"AAAAAH9v/8s=")</f>
        <v>#VALUE!</v>
      </c>
      <c r="GW73" t="e">
        <f>AND('UP133'!BB35,"AAAAAH9v/8w=")</f>
        <v>#VALUE!</v>
      </c>
      <c r="GX73" t="e">
        <f>AND('UP133'!BC35,"AAAAAH9v/80=")</f>
        <v>#VALUE!</v>
      </c>
      <c r="GY73" t="e">
        <f>AND('UP133'!BD35,"AAAAAH9v/84=")</f>
        <v>#VALUE!</v>
      </c>
      <c r="GZ73" t="e">
        <f>AND('UP133'!BE35,"AAAAAH9v/88=")</f>
        <v>#VALUE!</v>
      </c>
      <c r="HA73" t="e">
        <f>AND('UP133'!BF35,"AAAAAH9v/9A=")</f>
        <v>#VALUE!</v>
      </c>
      <c r="HB73" t="e">
        <f>AND('UP133'!BG35,"AAAAAH9v/9E=")</f>
        <v>#VALUE!</v>
      </c>
      <c r="HC73" t="e">
        <f>AND('UP133'!BH35,"AAAAAH9v/9I=")</f>
        <v>#VALUE!</v>
      </c>
      <c r="HD73" t="e">
        <f>AND('UP133'!BI35,"AAAAAH9v/9M=")</f>
        <v>#VALUE!</v>
      </c>
      <c r="HE73" t="e">
        <f>AND('UP133'!BJ35,"AAAAAH9v/9Q=")</f>
        <v>#VALUE!</v>
      </c>
      <c r="HF73" t="e">
        <f>AND('UP133'!BK35,"AAAAAH9v/9U=")</f>
        <v>#VALUE!</v>
      </c>
      <c r="HG73" t="e">
        <f>AND('UP133'!BL35,"AAAAAH9v/9Y=")</f>
        <v>#VALUE!</v>
      </c>
      <c r="HH73" t="e">
        <f>AND('UP133'!BM35,"AAAAAH9v/9c=")</f>
        <v>#VALUE!</v>
      </c>
      <c r="HI73" t="e">
        <f>AND('UP133'!BN35,"AAAAAH9v/9g=")</f>
        <v>#VALUE!</v>
      </c>
      <c r="HJ73" t="e">
        <f>AND('UP133'!BO35,"AAAAAH9v/9k=")</f>
        <v>#VALUE!</v>
      </c>
      <c r="HK73" t="e">
        <f>AND('UP133'!BP35,"AAAAAH9v/9o=")</f>
        <v>#VALUE!</v>
      </c>
      <c r="HL73" t="e">
        <f>AND('UP133'!BQ35,"AAAAAH9v/9s=")</f>
        <v>#VALUE!</v>
      </c>
      <c r="HM73" t="e">
        <f>AND('UP133'!BR35,"AAAAAH9v/9w=")</f>
        <v>#VALUE!</v>
      </c>
      <c r="HN73" t="e">
        <f>AND('UP133'!BS35,"AAAAAH9v/90=")</f>
        <v>#VALUE!</v>
      </c>
      <c r="HO73" t="e">
        <f>AND('UP133'!BT35,"AAAAAH9v/94=")</f>
        <v>#VALUE!</v>
      </c>
      <c r="HP73" t="e">
        <f>AND('UP133'!BU35,"AAAAAH9v/98=")</f>
        <v>#VALUE!</v>
      </c>
      <c r="HQ73" t="e">
        <f>AND('UP133'!BV35,"AAAAAH9v/+A=")</f>
        <v>#VALUE!</v>
      </c>
      <c r="HR73" t="e">
        <f>AND('UP133'!BW35,"AAAAAH9v/+E=")</f>
        <v>#VALUE!</v>
      </c>
      <c r="HS73" t="e">
        <f>AND('UP133'!BX35,"AAAAAH9v/+I=")</f>
        <v>#VALUE!</v>
      </c>
      <c r="HT73" t="e">
        <f>AND('UP133'!BY35,"AAAAAH9v/+M=")</f>
        <v>#VALUE!</v>
      </c>
      <c r="HU73" t="e">
        <f>AND('UP133'!BZ35,"AAAAAH9v/+Q=")</f>
        <v>#VALUE!</v>
      </c>
      <c r="HV73" t="e">
        <f>AND('UP133'!CA35,"AAAAAH9v/+U=")</f>
        <v>#VALUE!</v>
      </c>
      <c r="HW73" t="e">
        <f>AND('UP133'!CB35,"AAAAAH9v/+Y=")</f>
        <v>#VALUE!</v>
      </c>
      <c r="HX73" t="e">
        <f>AND('UP133'!CC35,"AAAAAH9v/+c=")</f>
        <v>#VALUE!</v>
      </c>
      <c r="HY73" t="e">
        <f>AND('UP133'!CD35,"AAAAAH9v/+g=")</f>
        <v>#VALUE!</v>
      </c>
      <c r="HZ73" t="e">
        <f>AND('UP133'!CE35,"AAAAAH9v/+k=")</f>
        <v>#VALUE!</v>
      </c>
      <c r="IA73" t="e">
        <f>AND('UP133'!CF35,"AAAAAH9v/+o=")</f>
        <v>#VALUE!</v>
      </c>
      <c r="IB73" t="e">
        <f>AND('UP133'!CG35,"AAAAAH9v/+s=")</f>
        <v>#VALUE!</v>
      </c>
      <c r="IC73" t="e">
        <f>AND('UP133'!CH35,"AAAAAH9v/+w=")</f>
        <v>#VALUE!</v>
      </c>
      <c r="ID73" t="e">
        <f>AND('UP133'!CI35,"AAAAAH9v/+0=")</f>
        <v>#VALUE!</v>
      </c>
      <c r="IE73" t="e">
        <f>AND('UP133'!CJ35,"AAAAAH9v/+4=")</f>
        <v>#VALUE!</v>
      </c>
      <c r="IF73" t="e">
        <f>AND('UP133'!CK35,"AAAAAH9v/+8=")</f>
        <v>#VALUE!</v>
      </c>
      <c r="IG73" t="e">
        <f>AND('UP133'!CL35,"AAAAAH9v//A=")</f>
        <v>#VALUE!</v>
      </c>
      <c r="IH73" t="e">
        <f>AND('UP133'!CM35,"AAAAAH9v//E=")</f>
        <v>#VALUE!</v>
      </c>
      <c r="II73" t="e">
        <f>AND('UP133'!CN35,"AAAAAH9v//I=")</f>
        <v>#VALUE!</v>
      </c>
      <c r="IJ73" t="e">
        <f>AND('UP133'!CO35,"AAAAAH9v//M=")</f>
        <v>#VALUE!</v>
      </c>
      <c r="IK73" t="e">
        <f>AND('UP133'!CP35,"AAAAAH9v//Q=")</f>
        <v>#VALUE!</v>
      </c>
      <c r="IL73" t="e">
        <f>AND('UP133'!CQ35,"AAAAAH9v//U=")</f>
        <v>#VALUE!</v>
      </c>
      <c r="IM73" t="e">
        <f>AND('UP133'!CR35,"AAAAAH9v//Y=")</f>
        <v>#VALUE!</v>
      </c>
      <c r="IN73" t="e">
        <f>AND('UP133'!CS35,"AAAAAH9v//c=")</f>
        <v>#VALUE!</v>
      </c>
      <c r="IO73" t="e">
        <f>AND('UP133'!CT35,"AAAAAH9v//g=")</f>
        <v>#VALUE!</v>
      </c>
      <c r="IP73" t="e">
        <f>AND('UP133'!CU35,"AAAAAH9v//k=")</f>
        <v>#VALUE!</v>
      </c>
      <c r="IQ73" t="e">
        <f>AND('UP133'!CV35,"AAAAAH9v//o=")</f>
        <v>#VALUE!</v>
      </c>
      <c r="IR73" t="e">
        <f>AND('UP133'!CW35,"AAAAAH9v//s=")</f>
        <v>#VALUE!</v>
      </c>
      <c r="IS73" t="e">
        <f>AND('UP133'!CX35,"AAAAAH9v//w=")</f>
        <v>#VALUE!</v>
      </c>
      <c r="IT73" t="e">
        <f>AND('UP133'!CY35,"AAAAAH9v//0=")</f>
        <v>#VALUE!</v>
      </c>
      <c r="IU73" t="e">
        <f>AND('UP133'!CZ35,"AAAAAH9v//4=")</f>
        <v>#VALUE!</v>
      </c>
      <c r="IV73" t="e">
        <f>AND('UP133'!DA35,"AAAAAH9v//8=")</f>
        <v>#VALUE!</v>
      </c>
    </row>
    <row r="74" spans="1:256">
      <c r="A74" t="e">
        <f>AND('UP133'!DB35,"AAAAAE/T6gA=")</f>
        <v>#VALUE!</v>
      </c>
      <c r="B74" t="e">
        <f>AND('UP133'!DC35,"AAAAAE/T6gE=")</f>
        <v>#VALUE!</v>
      </c>
      <c r="C74" t="e">
        <f>AND('UP133'!DD35,"AAAAAE/T6gI=")</f>
        <v>#VALUE!</v>
      </c>
      <c r="D74" t="e">
        <f>AND('UP133'!DE35,"AAAAAE/T6gM=")</f>
        <v>#VALUE!</v>
      </c>
      <c r="E74" t="e">
        <f>AND('UP133'!DF35,"AAAAAE/T6gQ=")</f>
        <v>#VALUE!</v>
      </c>
      <c r="F74" t="e">
        <f>AND('UP133'!DG35,"AAAAAE/T6gU=")</f>
        <v>#VALUE!</v>
      </c>
      <c r="G74" t="e">
        <f>AND('UP133'!DH35,"AAAAAE/T6gY=")</f>
        <v>#VALUE!</v>
      </c>
      <c r="H74" t="e">
        <f>AND('UP133'!DI35,"AAAAAE/T6gc=")</f>
        <v>#VALUE!</v>
      </c>
      <c r="I74" t="e">
        <f>AND('UP133'!DJ35,"AAAAAE/T6gg=")</f>
        <v>#VALUE!</v>
      </c>
      <c r="J74" t="e">
        <f>AND('UP133'!DK35,"AAAAAE/T6gk=")</f>
        <v>#VALUE!</v>
      </c>
      <c r="K74" t="e">
        <f>AND('UP133'!DL35,"AAAAAE/T6go=")</f>
        <v>#VALUE!</v>
      </c>
      <c r="L74" t="e">
        <f>AND('UP133'!DM35,"AAAAAE/T6gs=")</f>
        <v>#VALUE!</v>
      </c>
      <c r="M74" t="e">
        <f>AND('UP133'!DN35,"AAAAAE/T6gw=")</f>
        <v>#VALUE!</v>
      </c>
      <c r="N74" t="e">
        <f>AND('UP133'!DO35,"AAAAAE/T6g0=")</f>
        <v>#VALUE!</v>
      </c>
      <c r="O74" t="e">
        <f>AND('UP133'!DP35,"AAAAAE/T6g4=")</f>
        <v>#VALUE!</v>
      </c>
      <c r="P74" t="e">
        <f>AND('UP133'!DQ35,"AAAAAE/T6g8=")</f>
        <v>#VALUE!</v>
      </c>
      <c r="Q74" t="e">
        <f>AND('UP133'!DR35,"AAAAAE/T6hA=")</f>
        <v>#VALUE!</v>
      </c>
      <c r="R74" t="e">
        <f>AND('UP133'!DS35,"AAAAAE/T6hE=")</f>
        <v>#VALUE!</v>
      </c>
      <c r="S74" t="e">
        <f>AND('UP133'!DT35,"AAAAAE/T6hI=")</f>
        <v>#VALUE!</v>
      </c>
      <c r="T74" t="e">
        <f>AND('UP133'!DU35,"AAAAAE/T6hM=")</f>
        <v>#VALUE!</v>
      </c>
      <c r="U74" t="e">
        <f>AND('UP133'!DV35,"AAAAAE/T6hQ=")</f>
        <v>#VALUE!</v>
      </c>
      <c r="V74" t="e">
        <f>AND('UP133'!DW35,"AAAAAE/T6hU=")</f>
        <v>#VALUE!</v>
      </c>
      <c r="W74" t="e">
        <f>AND('UP133'!DX35,"AAAAAE/T6hY=")</f>
        <v>#VALUE!</v>
      </c>
      <c r="X74" t="e">
        <f>AND('UP133'!DY35,"AAAAAE/T6hc=")</f>
        <v>#VALUE!</v>
      </c>
      <c r="Y74" t="e">
        <f>AND('UP133'!DZ35,"AAAAAE/T6hg=")</f>
        <v>#VALUE!</v>
      </c>
      <c r="Z74" t="e">
        <f>AND('UP133'!EA35,"AAAAAE/T6hk=")</f>
        <v>#VALUE!</v>
      </c>
      <c r="AA74" t="e">
        <f>AND('UP133'!EB35,"AAAAAE/T6ho=")</f>
        <v>#VALUE!</v>
      </c>
      <c r="AB74" t="e">
        <f>AND('UP133'!EC35,"AAAAAE/T6hs=")</f>
        <v>#VALUE!</v>
      </c>
      <c r="AC74" t="e">
        <f>AND('UP133'!ED35,"AAAAAE/T6hw=")</f>
        <v>#VALUE!</v>
      </c>
      <c r="AD74" t="e">
        <f>AND('UP133'!EE35,"AAAAAE/T6h0=")</f>
        <v>#VALUE!</v>
      </c>
      <c r="AE74" t="e">
        <f>AND('UP133'!EF35,"AAAAAE/T6h4=")</f>
        <v>#VALUE!</v>
      </c>
      <c r="AF74" t="e">
        <f>AND('UP133'!EG35,"AAAAAE/T6h8=")</f>
        <v>#VALUE!</v>
      </c>
      <c r="AG74" t="e">
        <f>AND('UP133'!EH35,"AAAAAE/T6iA=")</f>
        <v>#VALUE!</v>
      </c>
      <c r="AH74" t="e">
        <f>AND('UP133'!EI35,"AAAAAE/T6iE=")</f>
        <v>#VALUE!</v>
      </c>
      <c r="AI74" t="e">
        <f>AND('UP133'!EJ35,"AAAAAE/T6iI=")</f>
        <v>#VALUE!</v>
      </c>
      <c r="AJ74" t="e">
        <f>AND('UP133'!EK35,"AAAAAE/T6iM=")</f>
        <v>#VALUE!</v>
      </c>
      <c r="AK74" t="e">
        <f>AND('UP133'!EL35,"AAAAAE/T6iQ=")</f>
        <v>#VALUE!</v>
      </c>
      <c r="AL74" t="e">
        <f>AND('UP133'!EM35,"AAAAAE/T6iU=")</f>
        <v>#VALUE!</v>
      </c>
      <c r="AM74" t="e">
        <f>AND('UP133'!EN35,"AAAAAE/T6iY=")</f>
        <v>#VALUE!</v>
      </c>
      <c r="AN74" t="e">
        <f>AND('UP133'!EO35,"AAAAAE/T6ic=")</f>
        <v>#VALUE!</v>
      </c>
      <c r="AO74" t="e">
        <f>AND('UP133'!EP35,"AAAAAE/T6ig=")</f>
        <v>#VALUE!</v>
      </c>
      <c r="AP74" t="e">
        <f>AND('UP133'!EQ35,"AAAAAE/T6ik=")</f>
        <v>#VALUE!</v>
      </c>
      <c r="AQ74" t="e">
        <f>AND('UP133'!ER35,"AAAAAE/T6io=")</f>
        <v>#VALUE!</v>
      </c>
      <c r="AR74" t="e">
        <f>AND('UP133'!ES35,"AAAAAE/T6is=")</f>
        <v>#VALUE!</v>
      </c>
      <c r="AS74" t="e">
        <f>AND('UP133'!ET35,"AAAAAE/T6iw=")</f>
        <v>#VALUE!</v>
      </c>
      <c r="AT74" t="e">
        <f>AND('UP133'!EU35,"AAAAAE/T6i0=")</f>
        <v>#VALUE!</v>
      </c>
      <c r="AU74" t="e">
        <f>AND('UP133'!EV35,"AAAAAE/T6i4=")</f>
        <v>#VALUE!</v>
      </c>
      <c r="AV74" t="e">
        <f>AND('UP133'!EW35,"AAAAAE/T6i8=")</f>
        <v>#VALUE!</v>
      </c>
      <c r="AW74" t="e">
        <f>AND('UP133'!EX35,"AAAAAE/T6jA=")</f>
        <v>#VALUE!</v>
      </c>
      <c r="AX74" t="e">
        <f>AND('UP133'!EY35,"AAAAAE/T6jE=")</f>
        <v>#VALUE!</v>
      </c>
      <c r="AY74" t="e">
        <f>AND('UP133'!EZ35,"AAAAAE/T6jI=")</f>
        <v>#VALUE!</v>
      </c>
      <c r="AZ74" t="e">
        <f>AND('UP133'!FA35,"AAAAAE/T6jM=")</f>
        <v>#VALUE!</v>
      </c>
      <c r="BA74" t="e">
        <f>AND('UP133'!FB35,"AAAAAE/T6jQ=")</f>
        <v>#VALUE!</v>
      </c>
      <c r="BB74" t="e">
        <f>AND('UP133'!FC35,"AAAAAE/T6jU=")</f>
        <v>#VALUE!</v>
      </c>
      <c r="BC74" t="e">
        <f>AND('UP133'!FD35,"AAAAAE/T6jY=")</f>
        <v>#VALUE!</v>
      </c>
      <c r="BD74" t="e">
        <f>AND('UP133'!FE35,"AAAAAE/T6jc=")</f>
        <v>#VALUE!</v>
      </c>
      <c r="BE74" t="e">
        <f>AND('UP133'!FF35,"AAAAAE/T6jg=")</f>
        <v>#VALUE!</v>
      </c>
      <c r="BF74" t="e">
        <f>AND('UP133'!FG35,"AAAAAE/T6jk=")</f>
        <v>#VALUE!</v>
      </c>
      <c r="BG74" t="e">
        <f>AND('UP133'!FH35,"AAAAAE/T6jo=")</f>
        <v>#VALUE!</v>
      </c>
      <c r="BH74" t="e">
        <f>AND('UP133'!FI35,"AAAAAE/T6js=")</f>
        <v>#VALUE!</v>
      </c>
      <c r="BI74" t="e">
        <f>AND('UP133'!FJ35,"AAAAAE/T6jw=")</f>
        <v>#VALUE!</v>
      </c>
      <c r="BJ74" t="e">
        <f>AND('UP133'!FK35,"AAAAAE/T6j0=")</f>
        <v>#VALUE!</v>
      </c>
      <c r="BK74" t="e">
        <f>AND('UP133'!FL35,"AAAAAE/T6j4=")</f>
        <v>#VALUE!</v>
      </c>
      <c r="BL74" t="e">
        <f>AND('UP133'!FM35,"AAAAAE/T6j8=")</f>
        <v>#VALUE!</v>
      </c>
      <c r="BM74" t="e">
        <f>AND('UP133'!FN35,"AAAAAE/T6kA=")</f>
        <v>#VALUE!</v>
      </c>
      <c r="BN74" t="e">
        <f>AND('UP133'!FO35,"AAAAAE/T6kE=")</f>
        <v>#VALUE!</v>
      </c>
      <c r="BO74" t="e">
        <f>AND('UP133'!FP35,"AAAAAE/T6kI=")</f>
        <v>#VALUE!</v>
      </c>
      <c r="BP74" t="e">
        <f>AND('UP133'!FQ35,"AAAAAE/T6kM=")</f>
        <v>#VALUE!</v>
      </c>
      <c r="BQ74" t="e">
        <f>AND('UP133'!FR35,"AAAAAE/T6kQ=")</f>
        <v>#VALUE!</v>
      </c>
      <c r="BR74" t="e">
        <f>AND('UP133'!FS35,"AAAAAE/T6kU=")</f>
        <v>#VALUE!</v>
      </c>
      <c r="BS74" t="e">
        <f>AND('UP133'!FT35,"AAAAAE/T6kY=")</f>
        <v>#VALUE!</v>
      </c>
      <c r="BT74" t="e">
        <f>AND('UP133'!FU35,"AAAAAE/T6kc=")</f>
        <v>#VALUE!</v>
      </c>
      <c r="BU74" t="e">
        <f>AND('UP133'!FV35,"AAAAAE/T6kg=")</f>
        <v>#VALUE!</v>
      </c>
      <c r="BV74" t="e">
        <f>AND('UP133'!FW35,"AAAAAE/T6kk=")</f>
        <v>#VALUE!</v>
      </c>
      <c r="BW74" t="e">
        <f>AND('UP133'!FX35,"AAAAAE/T6ko=")</f>
        <v>#VALUE!</v>
      </c>
      <c r="BX74" t="e">
        <f>AND('UP133'!FY35,"AAAAAE/T6ks=")</f>
        <v>#VALUE!</v>
      </c>
      <c r="BY74" t="e">
        <f>AND('UP133'!FZ35,"AAAAAE/T6kw=")</f>
        <v>#VALUE!</v>
      </c>
      <c r="BZ74" t="e">
        <f>AND('UP133'!GA35,"AAAAAE/T6k0=")</f>
        <v>#VALUE!</v>
      </c>
      <c r="CA74" t="e">
        <f>AND('UP133'!GB35,"AAAAAE/T6k4=")</f>
        <v>#VALUE!</v>
      </c>
      <c r="CB74" t="e">
        <f>AND('UP133'!GC35,"AAAAAE/T6k8=")</f>
        <v>#VALUE!</v>
      </c>
      <c r="CC74" t="e">
        <f>AND('UP133'!GD35,"AAAAAE/T6lA=")</f>
        <v>#VALUE!</v>
      </c>
      <c r="CD74" t="e">
        <f>AND('UP133'!GE35,"AAAAAE/T6lE=")</f>
        <v>#VALUE!</v>
      </c>
      <c r="CE74" t="e">
        <f>AND('UP133'!GF35,"AAAAAE/T6lI=")</f>
        <v>#VALUE!</v>
      </c>
      <c r="CF74" t="e">
        <f>AND('UP133'!GG35,"AAAAAE/T6lM=")</f>
        <v>#VALUE!</v>
      </c>
      <c r="CG74" t="e">
        <f>AND('UP133'!GH35,"AAAAAE/T6lQ=")</f>
        <v>#VALUE!</v>
      </c>
      <c r="CH74" t="e">
        <f>AND('UP133'!GI35,"AAAAAE/T6lU=")</f>
        <v>#VALUE!</v>
      </c>
      <c r="CI74" t="e">
        <f>AND('UP133'!GJ35,"AAAAAE/T6lY=")</f>
        <v>#VALUE!</v>
      </c>
      <c r="CJ74" t="e">
        <f>AND('UP133'!GK35,"AAAAAE/T6lc=")</f>
        <v>#VALUE!</v>
      </c>
      <c r="CK74" t="e">
        <f>AND('UP133'!GL35,"AAAAAE/T6lg=")</f>
        <v>#VALUE!</v>
      </c>
      <c r="CL74" t="e">
        <f>AND('UP133'!GM35,"AAAAAE/T6lk=")</f>
        <v>#VALUE!</v>
      </c>
      <c r="CM74" t="e">
        <f>AND('UP133'!GN35,"AAAAAE/T6lo=")</f>
        <v>#VALUE!</v>
      </c>
      <c r="CN74" t="e">
        <f>AND('UP133'!GO35,"AAAAAE/T6ls=")</f>
        <v>#VALUE!</v>
      </c>
      <c r="CO74" t="e">
        <f>AND('UP133'!GP35,"AAAAAE/T6lw=")</f>
        <v>#VALUE!</v>
      </c>
      <c r="CP74" t="e">
        <f>AND('UP133'!GQ35,"AAAAAE/T6l0=")</f>
        <v>#VALUE!</v>
      </c>
      <c r="CQ74" t="e">
        <f>AND('UP133'!GR35,"AAAAAE/T6l4=")</f>
        <v>#VALUE!</v>
      </c>
      <c r="CR74" t="e">
        <f>AND('UP133'!GS35,"AAAAAE/T6l8=")</f>
        <v>#VALUE!</v>
      </c>
      <c r="CS74" t="e">
        <f>AND('UP133'!GT35,"AAAAAE/T6mA=")</f>
        <v>#VALUE!</v>
      </c>
      <c r="CT74" t="e">
        <f>AND('UP133'!GU35,"AAAAAE/T6mE=")</f>
        <v>#VALUE!</v>
      </c>
      <c r="CU74" t="e">
        <f>AND('UP133'!GV35,"AAAAAE/T6mI=")</f>
        <v>#VALUE!</v>
      </c>
      <c r="CV74" t="e">
        <f>AND('UP133'!GW35,"AAAAAE/T6mM=")</f>
        <v>#VALUE!</v>
      </c>
      <c r="CW74" t="e">
        <f>AND('UP133'!GX35,"AAAAAE/T6mQ=")</f>
        <v>#VALUE!</v>
      </c>
      <c r="CX74" t="e">
        <f>AND('UP133'!GY35,"AAAAAE/T6mU=")</f>
        <v>#VALUE!</v>
      </c>
      <c r="CY74" t="e">
        <f>AND('UP133'!GZ35,"AAAAAE/T6mY=")</f>
        <v>#VALUE!</v>
      </c>
      <c r="CZ74" t="e">
        <f>AND('UP133'!HA35,"AAAAAE/T6mc=")</f>
        <v>#VALUE!</v>
      </c>
      <c r="DA74" t="e">
        <f>AND('UP133'!HB35,"AAAAAE/T6mg=")</f>
        <v>#VALUE!</v>
      </c>
      <c r="DB74" t="e">
        <f>AND('UP133'!HC35,"AAAAAE/T6mk=")</f>
        <v>#VALUE!</v>
      </c>
      <c r="DC74" t="e">
        <f>AND('UP133'!HD35,"AAAAAE/T6mo=")</f>
        <v>#VALUE!</v>
      </c>
      <c r="DD74" t="e">
        <f>AND('UP133'!HE35,"AAAAAE/T6ms=")</f>
        <v>#VALUE!</v>
      </c>
      <c r="DE74" t="e">
        <f>AND('UP133'!HF35,"AAAAAE/T6mw=")</f>
        <v>#VALUE!</v>
      </c>
      <c r="DF74" t="e">
        <f>AND('UP133'!HG35,"AAAAAE/T6m0=")</f>
        <v>#VALUE!</v>
      </c>
      <c r="DG74" t="e">
        <f>AND('UP133'!HH35,"AAAAAE/T6m4=")</f>
        <v>#VALUE!</v>
      </c>
      <c r="DH74" t="e">
        <f>AND('UP133'!HI35,"AAAAAE/T6m8=")</f>
        <v>#VALUE!</v>
      </c>
      <c r="DI74" t="e">
        <f>AND('UP133'!HJ35,"AAAAAE/T6nA=")</f>
        <v>#VALUE!</v>
      </c>
      <c r="DJ74" t="e">
        <f>AND('UP133'!HK35,"AAAAAE/T6nE=")</f>
        <v>#VALUE!</v>
      </c>
      <c r="DK74" t="e">
        <f>AND('UP133'!HL35,"AAAAAE/T6nI=")</f>
        <v>#VALUE!</v>
      </c>
      <c r="DL74" t="e">
        <f>AND('UP133'!HM35,"AAAAAE/T6nM=")</f>
        <v>#VALUE!</v>
      </c>
      <c r="DM74" t="e">
        <f>AND('UP133'!HN35,"AAAAAE/T6nQ=")</f>
        <v>#VALUE!</v>
      </c>
      <c r="DN74" t="e">
        <f>AND('UP133'!HO35,"AAAAAE/T6nU=")</f>
        <v>#VALUE!</v>
      </c>
      <c r="DO74" t="e">
        <f>AND('UP133'!HP35,"AAAAAE/T6nY=")</f>
        <v>#VALUE!</v>
      </c>
      <c r="DP74" t="e">
        <f>AND('UP133'!HQ35,"AAAAAE/T6nc=")</f>
        <v>#VALUE!</v>
      </c>
      <c r="DQ74" t="e">
        <f>AND('UP133'!HR35,"AAAAAE/T6ng=")</f>
        <v>#VALUE!</v>
      </c>
      <c r="DR74" t="e">
        <f>AND('UP133'!HS35,"AAAAAE/T6nk=")</f>
        <v>#VALUE!</v>
      </c>
      <c r="DS74" t="e">
        <f>AND('UP133'!HT35,"AAAAAE/T6no=")</f>
        <v>#VALUE!</v>
      </c>
      <c r="DT74" t="e">
        <f>AND('UP133'!HU35,"AAAAAE/T6ns=")</f>
        <v>#VALUE!</v>
      </c>
      <c r="DU74" t="e">
        <f>AND('UP133'!HV35,"AAAAAE/T6nw=")</f>
        <v>#VALUE!</v>
      </c>
      <c r="DV74" t="e">
        <f>AND('UP133'!HW35,"AAAAAE/T6n0=")</f>
        <v>#VALUE!</v>
      </c>
      <c r="DW74" t="e">
        <f>AND('UP133'!HX35,"AAAAAE/T6n4=")</f>
        <v>#VALUE!</v>
      </c>
      <c r="DX74" t="e">
        <f>AND('UP133'!HY35,"AAAAAE/T6n8=")</f>
        <v>#VALUE!</v>
      </c>
      <c r="DY74" t="e">
        <f>AND('UP133'!HZ35,"AAAAAE/T6oA=")</f>
        <v>#VALUE!</v>
      </c>
      <c r="DZ74" t="e">
        <f>AND('UP133'!IA35,"AAAAAE/T6oE=")</f>
        <v>#VALUE!</v>
      </c>
      <c r="EA74" t="e">
        <f>AND('UP133'!IB35,"AAAAAE/T6oI=")</f>
        <v>#VALUE!</v>
      </c>
      <c r="EB74" t="e">
        <f>AND('UP133'!IC35,"AAAAAE/T6oM=")</f>
        <v>#VALUE!</v>
      </c>
      <c r="EC74" t="e">
        <f>AND('UP133'!ID35,"AAAAAE/T6oQ=")</f>
        <v>#VALUE!</v>
      </c>
      <c r="ED74" t="e">
        <f>AND('UP133'!IE35,"AAAAAE/T6oU=")</f>
        <v>#VALUE!</v>
      </c>
      <c r="EE74" t="e">
        <f>AND('UP133'!IF35,"AAAAAE/T6oY=")</f>
        <v>#VALUE!</v>
      </c>
      <c r="EF74" t="e">
        <f>AND('UP133'!IG35,"AAAAAE/T6oc=")</f>
        <v>#VALUE!</v>
      </c>
      <c r="EG74" t="e">
        <f>AND('UP133'!IH35,"AAAAAE/T6og=")</f>
        <v>#VALUE!</v>
      </c>
      <c r="EH74" t="e">
        <f>AND('UP133'!II35,"AAAAAE/T6ok=")</f>
        <v>#VALUE!</v>
      </c>
      <c r="EI74" t="e">
        <f>AND('UP133'!IJ35,"AAAAAE/T6oo=")</f>
        <v>#VALUE!</v>
      </c>
      <c r="EJ74" t="e">
        <f>AND('UP133'!IK35,"AAAAAE/T6os=")</f>
        <v>#VALUE!</v>
      </c>
      <c r="EK74" t="e">
        <f>AND('UP133'!IL35,"AAAAAE/T6ow=")</f>
        <v>#VALUE!</v>
      </c>
      <c r="EL74" t="e">
        <f>AND('UP133'!IM35,"AAAAAE/T6o0=")</f>
        <v>#VALUE!</v>
      </c>
      <c r="EM74" t="e">
        <f>AND('UP133'!IN35,"AAAAAE/T6o4=")</f>
        <v>#VALUE!</v>
      </c>
      <c r="EN74" t="e">
        <f>AND('UP133'!IO35,"AAAAAE/T6o8=")</f>
        <v>#VALUE!</v>
      </c>
      <c r="EO74" t="e">
        <f>AND('UP133'!IP35,"AAAAAE/T6pA=")</f>
        <v>#VALUE!</v>
      </c>
      <c r="EP74" t="e">
        <f>AND('UP133'!IQ35,"AAAAAE/T6pE=")</f>
        <v>#VALUE!</v>
      </c>
      <c r="EQ74">
        <f>IF('UP133'!36:36,"AAAAAE/T6pI=",0)</f>
        <v>0</v>
      </c>
      <c r="ER74" t="e">
        <f>AND('UP133'!A36,"AAAAAE/T6pM=")</f>
        <v>#VALUE!</v>
      </c>
      <c r="ES74" t="e">
        <f>AND('UP133'!B36,"AAAAAE/T6pQ=")</f>
        <v>#VALUE!</v>
      </c>
      <c r="ET74" t="e">
        <f>AND('UP133'!C36,"AAAAAE/T6pU=")</f>
        <v>#VALUE!</v>
      </c>
      <c r="EU74" t="e">
        <f>AND('UP133'!D36,"AAAAAE/T6pY=")</f>
        <v>#VALUE!</v>
      </c>
      <c r="EV74" t="e">
        <f>AND('UP133'!E36,"AAAAAE/T6pc=")</f>
        <v>#VALUE!</v>
      </c>
      <c r="EW74" t="e">
        <f>AND('UP133'!F36,"AAAAAE/T6pg=")</f>
        <v>#VALUE!</v>
      </c>
      <c r="EX74" t="e">
        <f>AND('UP133'!G36,"AAAAAE/T6pk=")</f>
        <v>#VALUE!</v>
      </c>
      <c r="EY74" t="e">
        <f>AND('UP133'!H36,"AAAAAE/T6po=")</f>
        <v>#VALUE!</v>
      </c>
      <c r="EZ74" t="e">
        <f>AND('UP133'!I36,"AAAAAE/T6ps=")</f>
        <v>#VALUE!</v>
      </c>
      <c r="FA74" t="e">
        <f>AND('UP133'!J36,"AAAAAE/T6pw=")</f>
        <v>#VALUE!</v>
      </c>
      <c r="FB74" t="e">
        <f>AND('UP133'!K36,"AAAAAE/T6p0=")</f>
        <v>#VALUE!</v>
      </c>
      <c r="FC74" t="e">
        <f>AND('UP133'!L36,"AAAAAE/T6p4=")</f>
        <v>#VALUE!</v>
      </c>
      <c r="FD74" t="e">
        <f>AND('UP133'!M36,"AAAAAE/T6p8=")</f>
        <v>#VALUE!</v>
      </c>
      <c r="FE74" t="e">
        <f>AND('UP133'!N36,"AAAAAE/T6qA=")</f>
        <v>#VALUE!</v>
      </c>
      <c r="FF74" t="e">
        <f>AND('UP133'!O36,"AAAAAE/T6qE=")</f>
        <v>#VALUE!</v>
      </c>
      <c r="FG74" t="e">
        <f>AND('UP133'!P36,"AAAAAE/T6qI=")</f>
        <v>#VALUE!</v>
      </c>
      <c r="FH74" t="e">
        <f>AND('UP133'!Q36,"AAAAAE/T6qM=")</f>
        <v>#VALUE!</v>
      </c>
      <c r="FI74" t="e">
        <f>AND('UP133'!R36,"AAAAAE/T6qQ=")</f>
        <v>#VALUE!</v>
      </c>
      <c r="FJ74" t="e">
        <f>AND('UP133'!S36,"AAAAAE/T6qU=")</f>
        <v>#VALUE!</v>
      </c>
      <c r="FK74" t="e">
        <f>AND('UP133'!T36,"AAAAAE/T6qY=")</f>
        <v>#VALUE!</v>
      </c>
      <c r="FL74" t="e">
        <f>AND('UP133'!U36,"AAAAAE/T6qc=")</f>
        <v>#VALUE!</v>
      </c>
      <c r="FM74" t="e">
        <f>AND('UP133'!V36,"AAAAAE/T6qg=")</f>
        <v>#VALUE!</v>
      </c>
      <c r="FN74" t="e">
        <f>AND('UP133'!W36,"AAAAAE/T6qk=")</f>
        <v>#VALUE!</v>
      </c>
      <c r="FO74" t="e">
        <f>AND('UP133'!X36,"AAAAAE/T6qo=")</f>
        <v>#VALUE!</v>
      </c>
      <c r="FP74" t="e">
        <f>AND('UP133'!Y36,"AAAAAE/T6qs=")</f>
        <v>#VALUE!</v>
      </c>
      <c r="FQ74" t="e">
        <f>AND('UP133'!Z36,"AAAAAE/T6qw=")</f>
        <v>#VALUE!</v>
      </c>
      <c r="FR74" t="e">
        <f>AND('UP133'!AA36,"AAAAAE/T6q0=")</f>
        <v>#VALUE!</v>
      </c>
      <c r="FS74" t="e">
        <f>AND('UP133'!AB36,"AAAAAE/T6q4=")</f>
        <v>#VALUE!</v>
      </c>
      <c r="FT74" t="e">
        <f>AND('UP133'!AC36,"AAAAAE/T6q8=")</f>
        <v>#VALUE!</v>
      </c>
      <c r="FU74" t="e">
        <f>AND('UP133'!AD36,"AAAAAE/T6rA=")</f>
        <v>#VALUE!</v>
      </c>
      <c r="FV74" t="e">
        <f>AND('UP133'!AE36,"AAAAAE/T6rE=")</f>
        <v>#VALUE!</v>
      </c>
      <c r="FW74" t="e">
        <f>AND('UP133'!AF36,"AAAAAE/T6rI=")</f>
        <v>#VALUE!</v>
      </c>
      <c r="FX74" t="e">
        <f>AND('UP133'!AG36,"AAAAAE/T6rM=")</f>
        <v>#VALUE!</v>
      </c>
      <c r="FY74" t="e">
        <f>AND('UP133'!AH36,"AAAAAE/T6rQ=")</f>
        <v>#VALUE!</v>
      </c>
      <c r="FZ74" t="e">
        <f>AND('UP133'!AI36,"AAAAAE/T6rU=")</f>
        <v>#VALUE!</v>
      </c>
      <c r="GA74" t="e">
        <f>AND('UP133'!AJ36,"AAAAAE/T6rY=")</f>
        <v>#VALUE!</v>
      </c>
      <c r="GB74" t="e">
        <f>AND('UP133'!AK36,"AAAAAE/T6rc=")</f>
        <v>#VALUE!</v>
      </c>
      <c r="GC74" t="e">
        <f>AND('UP133'!AL36,"AAAAAE/T6rg=")</f>
        <v>#VALUE!</v>
      </c>
      <c r="GD74" t="e">
        <f>AND('UP133'!AM36,"AAAAAE/T6rk=")</f>
        <v>#VALUE!</v>
      </c>
      <c r="GE74" t="e">
        <f>AND('UP133'!AN36,"AAAAAE/T6ro=")</f>
        <v>#VALUE!</v>
      </c>
      <c r="GF74" t="e">
        <f>AND('UP133'!AO36,"AAAAAE/T6rs=")</f>
        <v>#VALUE!</v>
      </c>
      <c r="GG74" t="e">
        <f>AND('UP133'!AP36,"AAAAAE/T6rw=")</f>
        <v>#VALUE!</v>
      </c>
      <c r="GH74" t="e">
        <f>AND('UP133'!AQ36,"AAAAAE/T6r0=")</f>
        <v>#VALUE!</v>
      </c>
      <c r="GI74" t="e">
        <f>AND('UP133'!AR36,"AAAAAE/T6r4=")</f>
        <v>#VALUE!</v>
      </c>
      <c r="GJ74" t="e">
        <f>AND('UP133'!AS36,"AAAAAE/T6r8=")</f>
        <v>#VALUE!</v>
      </c>
      <c r="GK74" t="e">
        <f>AND('UP133'!AT36,"AAAAAE/T6sA=")</f>
        <v>#VALUE!</v>
      </c>
      <c r="GL74" t="e">
        <f>AND('UP133'!AU36,"AAAAAE/T6sE=")</f>
        <v>#VALUE!</v>
      </c>
      <c r="GM74" t="e">
        <f>AND('UP133'!AV36,"AAAAAE/T6sI=")</f>
        <v>#VALUE!</v>
      </c>
      <c r="GN74" t="e">
        <f>AND('UP133'!AW36,"AAAAAE/T6sM=")</f>
        <v>#VALUE!</v>
      </c>
      <c r="GO74" t="e">
        <f>AND('UP133'!AX36,"AAAAAE/T6sQ=")</f>
        <v>#VALUE!</v>
      </c>
      <c r="GP74" t="e">
        <f>AND('UP133'!AY36,"AAAAAE/T6sU=")</f>
        <v>#VALUE!</v>
      </c>
      <c r="GQ74" t="e">
        <f>AND('UP133'!AZ36,"AAAAAE/T6sY=")</f>
        <v>#VALUE!</v>
      </c>
      <c r="GR74" t="e">
        <f>AND('UP133'!BA36,"AAAAAE/T6sc=")</f>
        <v>#VALUE!</v>
      </c>
      <c r="GS74" t="e">
        <f>AND('UP133'!BB36,"AAAAAE/T6sg=")</f>
        <v>#VALUE!</v>
      </c>
      <c r="GT74" t="e">
        <f>AND('UP133'!BC36,"AAAAAE/T6sk=")</f>
        <v>#VALUE!</v>
      </c>
      <c r="GU74" t="e">
        <f>AND('UP133'!BD36,"AAAAAE/T6so=")</f>
        <v>#VALUE!</v>
      </c>
      <c r="GV74" t="e">
        <f>AND('UP133'!BE36,"AAAAAE/T6ss=")</f>
        <v>#VALUE!</v>
      </c>
      <c r="GW74" t="e">
        <f>AND('UP133'!BF36,"AAAAAE/T6sw=")</f>
        <v>#VALUE!</v>
      </c>
      <c r="GX74" t="e">
        <f>AND('UP133'!BG36,"AAAAAE/T6s0=")</f>
        <v>#VALUE!</v>
      </c>
      <c r="GY74" t="e">
        <f>AND('UP133'!BH36,"AAAAAE/T6s4=")</f>
        <v>#VALUE!</v>
      </c>
      <c r="GZ74" t="e">
        <f>AND('UP133'!BI36,"AAAAAE/T6s8=")</f>
        <v>#VALUE!</v>
      </c>
      <c r="HA74" t="e">
        <f>AND('UP133'!BJ36,"AAAAAE/T6tA=")</f>
        <v>#VALUE!</v>
      </c>
      <c r="HB74" t="e">
        <f>AND('UP133'!BK36,"AAAAAE/T6tE=")</f>
        <v>#VALUE!</v>
      </c>
      <c r="HC74" t="e">
        <f>AND('UP133'!BL36,"AAAAAE/T6tI=")</f>
        <v>#VALUE!</v>
      </c>
      <c r="HD74" t="e">
        <f>AND('UP133'!BM36,"AAAAAE/T6tM=")</f>
        <v>#VALUE!</v>
      </c>
      <c r="HE74" t="e">
        <f>AND('UP133'!BN36,"AAAAAE/T6tQ=")</f>
        <v>#VALUE!</v>
      </c>
      <c r="HF74" t="e">
        <f>AND('UP133'!BO36,"AAAAAE/T6tU=")</f>
        <v>#VALUE!</v>
      </c>
      <c r="HG74" t="e">
        <f>AND('UP133'!BP36,"AAAAAE/T6tY=")</f>
        <v>#VALUE!</v>
      </c>
      <c r="HH74" t="e">
        <f>AND('UP133'!BQ36,"AAAAAE/T6tc=")</f>
        <v>#VALUE!</v>
      </c>
      <c r="HI74" t="e">
        <f>AND('UP133'!BR36,"AAAAAE/T6tg=")</f>
        <v>#VALUE!</v>
      </c>
      <c r="HJ74" t="e">
        <f>AND('UP133'!BS36,"AAAAAE/T6tk=")</f>
        <v>#VALUE!</v>
      </c>
      <c r="HK74" t="e">
        <f>AND('UP133'!BT36,"AAAAAE/T6to=")</f>
        <v>#VALUE!</v>
      </c>
      <c r="HL74" t="e">
        <f>AND('UP133'!BU36,"AAAAAE/T6ts=")</f>
        <v>#VALUE!</v>
      </c>
      <c r="HM74" t="e">
        <f>AND('UP133'!BV36,"AAAAAE/T6tw=")</f>
        <v>#VALUE!</v>
      </c>
      <c r="HN74" t="e">
        <f>AND('UP133'!BW36,"AAAAAE/T6t0=")</f>
        <v>#VALUE!</v>
      </c>
      <c r="HO74" t="e">
        <f>AND('UP133'!BX36,"AAAAAE/T6t4=")</f>
        <v>#VALUE!</v>
      </c>
      <c r="HP74" t="e">
        <f>AND('UP133'!BY36,"AAAAAE/T6t8=")</f>
        <v>#VALUE!</v>
      </c>
      <c r="HQ74" t="e">
        <f>AND('UP133'!BZ36,"AAAAAE/T6uA=")</f>
        <v>#VALUE!</v>
      </c>
      <c r="HR74" t="e">
        <f>AND('UP133'!CA36,"AAAAAE/T6uE=")</f>
        <v>#VALUE!</v>
      </c>
      <c r="HS74" t="e">
        <f>AND('UP133'!CB36,"AAAAAE/T6uI=")</f>
        <v>#VALUE!</v>
      </c>
      <c r="HT74" t="e">
        <f>AND('UP133'!CC36,"AAAAAE/T6uM=")</f>
        <v>#VALUE!</v>
      </c>
      <c r="HU74" t="e">
        <f>AND('UP133'!CD36,"AAAAAE/T6uQ=")</f>
        <v>#VALUE!</v>
      </c>
      <c r="HV74" t="e">
        <f>AND('UP133'!CE36,"AAAAAE/T6uU=")</f>
        <v>#VALUE!</v>
      </c>
      <c r="HW74" t="e">
        <f>AND('UP133'!CF36,"AAAAAE/T6uY=")</f>
        <v>#VALUE!</v>
      </c>
      <c r="HX74" t="e">
        <f>AND('UP133'!CG36,"AAAAAE/T6uc=")</f>
        <v>#VALUE!</v>
      </c>
      <c r="HY74" t="e">
        <f>AND('UP133'!CH36,"AAAAAE/T6ug=")</f>
        <v>#VALUE!</v>
      </c>
      <c r="HZ74" t="e">
        <f>AND('UP133'!CI36,"AAAAAE/T6uk=")</f>
        <v>#VALUE!</v>
      </c>
      <c r="IA74" t="e">
        <f>AND('UP133'!CJ36,"AAAAAE/T6uo=")</f>
        <v>#VALUE!</v>
      </c>
      <c r="IB74" t="e">
        <f>AND('UP133'!CK36,"AAAAAE/T6us=")</f>
        <v>#VALUE!</v>
      </c>
      <c r="IC74" t="e">
        <f>AND('UP133'!CL36,"AAAAAE/T6uw=")</f>
        <v>#VALUE!</v>
      </c>
      <c r="ID74" t="e">
        <f>AND('UP133'!CM36,"AAAAAE/T6u0=")</f>
        <v>#VALUE!</v>
      </c>
      <c r="IE74" t="e">
        <f>AND('UP133'!CN36,"AAAAAE/T6u4=")</f>
        <v>#VALUE!</v>
      </c>
      <c r="IF74" t="e">
        <f>AND('UP133'!CO36,"AAAAAE/T6u8=")</f>
        <v>#VALUE!</v>
      </c>
      <c r="IG74" t="e">
        <f>AND('UP133'!CP36,"AAAAAE/T6vA=")</f>
        <v>#VALUE!</v>
      </c>
      <c r="IH74" t="e">
        <f>AND('UP133'!CQ36,"AAAAAE/T6vE=")</f>
        <v>#VALUE!</v>
      </c>
      <c r="II74" t="e">
        <f>AND('UP133'!CR36,"AAAAAE/T6vI=")</f>
        <v>#VALUE!</v>
      </c>
      <c r="IJ74" t="e">
        <f>AND('UP133'!CS36,"AAAAAE/T6vM=")</f>
        <v>#VALUE!</v>
      </c>
      <c r="IK74" t="e">
        <f>AND('UP133'!CT36,"AAAAAE/T6vQ=")</f>
        <v>#VALUE!</v>
      </c>
      <c r="IL74" t="e">
        <f>AND('UP133'!CU36,"AAAAAE/T6vU=")</f>
        <v>#VALUE!</v>
      </c>
      <c r="IM74" t="e">
        <f>AND('UP133'!CV36,"AAAAAE/T6vY=")</f>
        <v>#VALUE!</v>
      </c>
      <c r="IN74" t="e">
        <f>AND('UP133'!CW36,"AAAAAE/T6vc=")</f>
        <v>#VALUE!</v>
      </c>
      <c r="IO74" t="e">
        <f>AND('UP133'!CX36,"AAAAAE/T6vg=")</f>
        <v>#VALUE!</v>
      </c>
      <c r="IP74" t="e">
        <f>AND('UP133'!CY36,"AAAAAE/T6vk=")</f>
        <v>#VALUE!</v>
      </c>
      <c r="IQ74" t="e">
        <f>AND('UP133'!CZ36,"AAAAAE/T6vo=")</f>
        <v>#VALUE!</v>
      </c>
      <c r="IR74" t="e">
        <f>AND('UP133'!DA36,"AAAAAE/T6vs=")</f>
        <v>#VALUE!</v>
      </c>
      <c r="IS74" t="e">
        <f>AND('UP133'!DB36,"AAAAAE/T6vw=")</f>
        <v>#VALUE!</v>
      </c>
      <c r="IT74" t="e">
        <f>AND('UP133'!DC36,"AAAAAE/T6v0=")</f>
        <v>#VALUE!</v>
      </c>
      <c r="IU74" t="e">
        <f>AND('UP133'!DD36,"AAAAAE/T6v4=")</f>
        <v>#VALUE!</v>
      </c>
      <c r="IV74" t="e">
        <f>AND('UP133'!DE36,"AAAAAE/T6v8=")</f>
        <v>#VALUE!</v>
      </c>
    </row>
    <row r="75" spans="1:256">
      <c r="A75" t="e">
        <f>AND('UP133'!DF36,"AAAAAGe/3gA=")</f>
        <v>#VALUE!</v>
      </c>
      <c r="B75" t="e">
        <f>AND('UP133'!DG36,"AAAAAGe/3gE=")</f>
        <v>#VALUE!</v>
      </c>
      <c r="C75" t="e">
        <f>AND('UP133'!DH36,"AAAAAGe/3gI=")</f>
        <v>#VALUE!</v>
      </c>
      <c r="D75" t="e">
        <f>AND('UP133'!DI36,"AAAAAGe/3gM=")</f>
        <v>#VALUE!</v>
      </c>
      <c r="E75" t="e">
        <f>AND('UP133'!DJ36,"AAAAAGe/3gQ=")</f>
        <v>#VALUE!</v>
      </c>
      <c r="F75" t="e">
        <f>AND('UP133'!DK36,"AAAAAGe/3gU=")</f>
        <v>#VALUE!</v>
      </c>
      <c r="G75" t="e">
        <f>AND('UP133'!DL36,"AAAAAGe/3gY=")</f>
        <v>#VALUE!</v>
      </c>
      <c r="H75" t="e">
        <f>AND('UP133'!DM36,"AAAAAGe/3gc=")</f>
        <v>#VALUE!</v>
      </c>
      <c r="I75" t="e">
        <f>AND('UP133'!DN36,"AAAAAGe/3gg=")</f>
        <v>#VALUE!</v>
      </c>
      <c r="J75" t="e">
        <f>AND('UP133'!DO36,"AAAAAGe/3gk=")</f>
        <v>#VALUE!</v>
      </c>
      <c r="K75" t="e">
        <f>AND('UP133'!DP36,"AAAAAGe/3go=")</f>
        <v>#VALUE!</v>
      </c>
      <c r="L75" t="e">
        <f>AND('UP133'!DQ36,"AAAAAGe/3gs=")</f>
        <v>#VALUE!</v>
      </c>
      <c r="M75" t="e">
        <f>AND('UP133'!DR36,"AAAAAGe/3gw=")</f>
        <v>#VALUE!</v>
      </c>
      <c r="N75" t="e">
        <f>AND('UP133'!DS36,"AAAAAGe/3g0=")</f>
        <v>#VALUE!</v>
      </c>
      <c r="O75" t="e">
        <f>AND('UP133'!DT36,"AAAAAGe/3g4=")</f>
        <v>#VALUE!</v>
      </c>
      <c r="P75" t="e">
        <f>AND('UP133'!DU36,"AAAAAGe/3g8=")</f>
        <v>#VALUE!</v>
      </c>
      <c r="Q75" t="e">
        <f>AND('UP133'!DV36,"AAAAAGe/3hA=")</f>
        <v>#VALUE!</v>
      </c>
      <c r="R75" t="e">
        <f>AND('UP133'!DW36,"AAAAAGe/3hE=")</f>
        <v>#VALUE!</v>
      </c>
      <c r="S75" t="e">
        <f>AND('UP133'!DX36,"AAAAAGe/3hI=")</f>
        <v>#VALUE!</v>
      </c>
      <c r="T75" t="e">
        <f>AND('UP133'!DY36,"AAAAAGe/3hM=")</f>
        <v>#VALUE!</v>
      </c>
      <c r="U75" t="e">
        <f>AND('UP133'!DZ36,"AAAAAGe/3hQ=")</f>
        <v>#VALUE!</v>
      </c>
      <c r="V75" t="e">
        <f>AND('UP133'!EA36,"AAAAAGe/3hU=")</f>
        <v>#VALUE!</v>
      </c>
      <c r="W75" t="e">
        <f>AND('UP133'!EB36,"AAAAAGe/3hY=")</f>
        <v>#VALUE!</v>
      </c>
      <c r="X75" t="e">
        <f>AND('UP133'!EC36,"AAAAAGe/3hc=")</f>
        <v>#VALUE!</v>
      </c>
      <c r="Y75" t="e">
        <f>AND('UP133'!ED36,"AAAAAGe/3hg=")</f>
        <v>#VALUE!</v>
      </c>
      <c r="Z75" t="e">
        <f>AND('UP133'!EE36,"AAAAAGe/3hk=")</f>
        <v>#VALUE!</v>
      </c>
      <c r="AA75" t="e">
        <f>AND('UP133'!EF36,"AAAAAGe/3ho=")</f>
        <v>#VALUE!</v>
      </c>
      <c r="AB75" t="e">
        <f>AND('UP133'!EG36,"AAAAAGe/3hs=")</f>
        <v>#VALUE!</v>
      </c>
      <c r="AC75" t="e">
        <f>AND('UP133'!EH36,"AAAAAGe/3hw=")</f>
        <v>#VALUE!</v>
      </c>
      <c r="AD75" t="e">
        <f>AND('UP133'!EI36,"AAAAAGe/3h0=")</f>
        <v>#VALUE!</v>
      </c>
      <c r="AE75" t="e">
        <f>AND('UP133'!EJ36,"AAAAAGe/3h4=")</f>
        <v>#VALUE!</v>
      </c>
      <c r="AF75" t="e">
        <f>AND('UP133'!EK36,"AAAAAGe/3h8=")</f>
        <v>#VALUE!</v>
      </c>
      <c r="AG75" t="e">
        <f>AND('UP133'!EL36,"AAAAAGe/3iA=")</f>
        <v>#VALUE!</v>
      </c>
      <c r="AH75" t="e">
        <f>AND('UP133'!EM36,"AAAAAGe/3iE=")</f>
        <v>#VALUE!</v>
      </c>
      <c r="AI75" t="e">
        <f>AND('UP133'!EN36,"AAAAAGe/3iI=")</f>
        <v>#VALUE!</v>
      </c>
      <c r="AJ75" t="e">
        <f>AND('UP133'!EO36,"AAAAAGe/3iM=")</f>
        <v>#VALUE!</v>
      </c>
      <c r="AK75" t="e">
        <f>AND('UP133'!EP36,"AAAAAGe/3iQ=")</f>
        <v>#VALUE!</v>
      </c>
      <c r="AL75" t="e">
        <f>AND('UP133'!EQ36,"AAAAAGe/3iU=")</f>
        <v>#VALUE!</v>
      </c>
      <c r="AM75" t="e">
        <f>AND('UP133'!ER36,"AAAAAGe/3iY=")</f>
        <v>#VALUE!</v>
      </c>
      <c r="AN75" t="e">
        <f>AND('UP133'!ES36,"AAAAAGe/3ic=")</f>
        <v>#VALUE!</v>
      </c>
      <c r="AO75" t="e">
        <f>AND('UP133'!ET36,"AAAAAGe/3ig=")</f>
        <v>#VALUE!</v>
      </c>
      <c r="AP75" t="e">
        <f>AND('UP133'!EU36,"AAAAAGe/3ik=")</f>
        <v>#VALUE!</v>
      </c>
      <c r="AQ75" t="e">
        <f>AND('UP133'!EV36,"AAAAAGe/3io=")</f>
        <v>#VALUE!</v>
      </c>
      <c r="AR75" t="e">
        <f>AND('UP133'!EW36,"AAAAAGe/3is=")</f>
        <v>#VALUE!</v>
      </c>
      <c r="AS75" t="e">
        <f>AND('UP133'!EX36,"AAAAAGe/3iw=")</f>
        <v>#VALUE!</v>
      </c>
      <c r="AT75" t="e">
        <f>AND('UP133'!EY36,"AAAAAGe/3i0=")</f>
        <v>#VALUE!</v>
      </c>
      <c r="AU75" t="e">
        <f>AND('UP133'!EZ36,"AAAAAGe/3i4=")</f>
        <v>#VALUE!</v>
      </c>
      <c r="AV75" t="e">
        <f>AND('UP133'!FA36,"AAAAAGe/3i8=")</f>
        <v>#VALUE!</v>
      </c>
      <c r="AW75" t="e">
        <f>AND('UP133'!FB36,"AAAAAGe/3jA=")</f>
        <v>#VALUE!</v>
      </c>
      <c r="AX75" t="e">
        <f>AND('UP133'!FC36,"AAAAAGe/3jE=")</f>
        <v>#VALUE!</v>
      </c>
      <c r="AY75" t="e">
        <f>AND('UP133'!FD36,"AAAAAGe/3jI=")</f>
        <v>#VALUE!</v>
      </c>
      <c r="AZ75" t="e">
        <f>AND('UP133'!FE36,"AAAAAGe/3jM=")</f>
        <v>#VALUE!</v>
      </c>
      <c r="BA75" t="e">
        <f>AND('UP133'!FF36,"AAAAAGe/3jQ=")</f>
        <v>#VALUE!</v>
      </c>
      <c r="BB75" t="e">
        <f>AND('UP133'!FG36,"AAAAAGe/3jU=")</f>
        <v>#VALUE!</v>
      </c>
      <c r="BC75" t="e">
        <f>AND('UP133'!FH36,"AAAAAGe/3jY=")</f>
        <v>#VALUE!</v>
      </c>
      <c r="BD75" t="e">
        <f>AND('UP133'!FI36,"AAAAAGe/3jc=")</f>
        <v>#VALUE!</v>
      </c>
      <c r="BE75" t="e">
        <f>AND('UP133'!FJ36,"AAAAAGe/3jg=")</f>
        <v>#VALUE!</v>
      </c>
      <c r="BF75" t="e">
        <f>AND('UP133'!FK36,"AAAAAGe/3jk=")</f>
        <v>#VALUE!</v>
      </c>
      <c r="BG75" t="e">
        <f>AND('UP133'!FL36,"AAAAAGe/3jo=")</f>
        <v>#VALUE!</v>
      </c>
      <c r="BH75" t="e">
        <f>AND('UP133'!FM36,"AAAAAGe/3js=")</f>
        <v>#VALUE!</v>
      </c>
      <c r="BI75" t="e">
        <f>AND('UP133'!FN36,"AAAAAGe/3jw=")</f>
        <v>#VALUE!</v>
      </c>
      <c r="BJ75" t="e">
        <f>AND('UP133'!FO36,"AAAAAGe/3j0=")</f>
        <v>#VALUE!</v>
      </c>
      <c r="BK75" t="e">
        <f>AND('UP133'!FP36,"AAAAAGe/3j4=")</f>
        <v>#VALUE!</v>
      </c>
      <c r="BL75" t="e">
        <f>AND('UP133'!FQ36,"AAAAAGe/3j8=")</f>
        <v>#VALUE!</v>
      </c>
      <c r="BM75" t="e">
        <f>AND('UP133'!FR36,"AAAAAGe/3kA=")</f>
        <v>#VALUE!</v>
      </c>
      <c r="BN75" t="e">
        <f>AND('UP133'!FS36,"AAAAAGe/3kE=")</f>
        <v>#VALUE!</v>
      </c>
      <c r="BO75" t="e">
        <f>AND('UP133'!FT36,"AAAAAGe/3kI=")</f>
        <v>#VALUE!</v>
      </c>
      <c r="BP75" t="e">
        <f>AND('UP133'!FU36,"AAAAAGe/3kM=")</f>
        <v>#VALUE!</v>
      </c>
      <c r="BQ75" t="e">
        <f>AND('UP133'!FV36,"AAAAAGe/3kQ=")</f>
        <v>#VALUE!</v>
      </c>
      <c r="BR75" t="e">
        <f>AND('UP133'!FW36,"AAAAAGe/3kU=")</f>
        <v>#VALUE!</v>
      </c>
      <c r="BS75" t="e">
        <f>AND('UP133'!FX36,"AAAAAGe/3kY=")</f>
        <v>#VALUE!</v>
      </c>
      <c r="BT75" t="e">
        <f>AND('UP133'!FY36,"AAAAAGe/3kc=")</f>
        <v>#VALUE!</v>
      </c>
      <c r="BU75" t="e">
        <f>AND('UP133'!FZ36,"AAAAAGe/3kg=")</f>
        <v>#VALUE!</v>
      </c>
      <c r="BV75" t="e">
        <f>AND('UP133'!GA36,"AAAAAGe/3kk=")</f>
        <v>#VALUE!</v>
      </c>
      <c r="BW75" t="e">
        <f>AND('UP133'!GB36,"AAAAAGe/3ko=")</f>
        <v>#VALUE!</v>
      </c>
      <c r="BX75" t="e">
        <f>AND('UP133'!GC36,"AAAAAGe/3ks=")</f>
        <v>#VALUE!</v>
      </c>
      <c r="BY75" t="e">
        <f>AND('UP133'!GD36,"AAAAAGe/3kw=")</f>
        <v>#VALUE!</v>
      </c>
      <c r="BZ75" t="e">
        <f>AND('UP133'!GE36,"AAAAAGe/3k0=")</f>
        <v>#VALUE!</v>
      </c>
      <c r="CA75" t="e">
        <f>AND('UP133'!GF36,"AAAAAGe/3k4=")</f>
        <v>#VALUE!</v>
      </c>
      <c r="CB75" t="e">
        <f>AND('UP133'!GG36,"AAAAAGe/3k8=")</f>
        <v>#VALUE!</v>
      </c>
      <c r="CC75" t="e">
        <f>AND('UP133'!GH36,"AAAAAGe/3lA=")</f>
        <v>#VALUE!</v>
      </c>
      <c r="CD75" t="e">
        <f>AND('UP133'!GI36,"AAAAAGe/3lE=")</f>
        <v>#VALUE!</v>
      </c>
      <c r="CE75" t="e">
        <f>AND('UP133'!GJ36,"AAAAAGe/3lI=")</f>
        <v>#VALUE!</v>
      </c>
      <c r="CF75" t="e">
        <f>AND('UP133'!GK36,"AAAAAGe/3lM=")</f>
        <v>#VALUE!</v>
      </c>
      <c r="CG75" t="e">
        <f>AND('UP133'!GL36,"AAAAAGe/3lQ=")</f>
        <v>#VALUE!</v>
      </c>
      <c r="CH75" t="e">
        <f>AND('UP133'!GM36,"AAAAAGe/3lU=")</f>
        <v>#VALUE!</v>
      </c>
      <c r="CI75" t="e">
        <f>AND('UP133'!GN36,"AAAAAGe/3lY=")</f>
        <v>#VALUE!</v>
      </c>
      <c r="CJ75" t="e">
        <f>AND('UP133'!GO36,"AAAAAGe/3lc=")</f>
        <v>#VALUE!</v>
      </c>
      <c r="CK75" t="e">
        <f>AND('UP133'!GP36,"AAAAAGe/3lg=")</f>
        <v>#VALUE!</v>
      </c>
      <c r="CL75" t="e">
        <f>AND('UP133'!GQ36,"AAAAAGe/3lk=")</f>
        <v>#VALUE!</v>
      </c>
      <c r="CM75" t="e">
        <f>AND('UP133'!GR36,"AAAAAGe/3lo=")</f>
        <v>#VALUE!</v>
      </c>
      <c r="CN75" t="e">
        <f>AND('UP133'!GS36,"AAAAAGe/3ls=")</f>
        <v>#VALUE!</v>
      </c>
      <c r="CO75" t="e">
        <f>AND('UP133'!GT36,"AAAAAGe/3lw=")</f>
        <v>#VALUE!</v>
      </c>
      <c r="CP75" t="e">
        <f>AND('UP133'!GU36,"AAAAAGe/3l0=")</f>
        <v>#VALUE!</v>
      </c>
      <c r="CQ75" t="e">
        <f>AND('UP133'!GV36,"AAAAAGe/3l4=")</f>
        <v>#VALUE!</v>
      </c>
      <c r="CR75" t="e">
        <f>AND('UP133'!GW36,"AAAAAGe/3l8=")</f>
        <v>#VALUE!</v>
      </c>
      <c r="CS75" t="e">
        <f>AND('UP133'!GX36,"AAAAAGe/3mA=")</f>
        <v>#VALUE!</v>
      </c>
      <c r="CT75" t="e">
        <f>AND('UP133'!GY36,"AAAAAGe/3mE=")</f>
        <v>#VALUE!</v>
      </c>
      <c r="CU75" t="e">
        <f>AND('UP133'!GZ36,"AAAAAGe/3mI=")</f>
        <v>#VALUE!</v>
      </c>
      <c r="CV75" t="e">
        <f>AND('UP133'!HA36,"AAAAAGe/3mM=")</f>
        <v>#VALUE!</v>
      </c>
      <c r="CW75" t="e">
        <f>AND('UP133'!HB36,"AAAAAGe/3mQ=")</f>
        <v>#VALUE!</v>
      </c>
      <c r="CX75" t="e">
        <f>AND('UP133'!HC36,"AAAAAGe/3mU=")</f>
        <v>#VALUE!</v>
      </c>
      <c r="CY75" t="e">
        <f>AND('UP133'!HD36,"AAAAAGe/3mY=")</f>
        <v>#VALUE!</v>
      </c>
      <c r="CZ75" t="e">
        <f>AND('UP133'!HE36,"AAAAAGe/3mc=")</f>
        <v>#VALUE!</v>
      </c>
      <c r="DA75" t="e">
        <f>AND('UP133'!HF36,"AAAAAGe/3mg=")</f>
        <v>#VALUE!</v>
      </c>
      <c r="DB75" t="e">
        <f>AND('UP133'!HG36,"AAAAAGe/3mk=")</f>
        <v>#VALUE!</v>
      </c>
      <c r="DC75" t="e">
        <f>AND('UP133'!HH36,"AAAAAGe/3mo=")</f>
        <v>#VALUE!</v>
      </c>
      <c r="DD75" t="e">
        <f>AND('UP133'!HI36,"AAAAAGe/3ms=")</f>
        <v>#VALUE!</v>
      </c>
      <c r="DE75" t="e">
        <f>AND('UP133'!HJ36,"AAAAAGe/3mw=")</f>
        <v>#VALUE!</v>
      </c>
      <c r="DF75" t="e">
        <f>AND('UP133'!HK36,"AAAAAGe/3m0=")</f>
        <v>#VALUE!</v>
      </c>
      <c r="DG75" t="e">
        <f>AND('UP133'!HL36,"AAAAAGe/3m4=")</f>
        <v>#VALUE!</v>
      </c>
      <c r="DH75" t="e">
        <f>AND('UP133'!HM36,"AAAAAGe/3m8=")</f>
        <v>#VALUE!</v>
      </c>
      <c r="DI75" t="e">
        <f>AND('UP133'!HN36,"AAAAAGe/3nA=")</f>
        <v>#VALUE!</v>
      </c>
      <c r="DJ75" t="e">
        <f>AND('UP133'!HO36,"AAAAAGe/3nE=")</f>
        <v>#VALUE!</v>
      </c>
      <c r="DK75" t="e">
        <f>AND('UP133'!HP36,"AAAAAGe/3nI=")</f>
        <v>#VALUE!</v>
      </c>
      <c r="DL75" t="e">
        <f>AND('UP133'!HQ36,"AAAAAGe/3nM=")</f>
        <v>#VALUE!</v>
      </c>
      <c r="DM75" t="e">
        <f>AND('UP133'!HR36,"AAAAAGe/3nQ=")</f>
        <v>#VALUE!</v>
      </c>
      <c r="DN75" t="e">
        <f>AND('UP133'!HS36,"AAAAAGe/3nU=")</f>
        <v>#VALUE!</v>
      </c>
      <c r="DO75" t="e">
        <f>AND('UP133'!HT36,"AAAAAGe/3nY=")</f>
        <v>#VALUE!</v>
      </c>
      <c r="DP75" t="e">
        <f>AND('UP133'!HU36,"AAAAAGe/3nc=")</f>
        <v>#VALUE!</v>
      </c>
      <c r="DQ75" t="e">
        <f>AND('UP133'!HV36,"AAAAAGe/3ng=")</f>
        <v>#VALUE!</v>
      </c>
      <c r="DR75" t="e">
        <f>AND('UP133'!HW36,"AAAAAGe/3nk=")</f>
        <v>#VALUE!</v>
      </c>
      <c r="DS75" t="e">
        <f>AND('UP133'!HX36,"AAAAAGe/3no=")</f>
        <v>#VALUE!</v>
      </c>
      <c r="DT75" t="e">
        <f>AND('UP133'!HY36,"AAAAAGe/3ns=")</f>
        <v>#VALUE!</v>
      </c>
      <c r="DU75" t="e">
        <f>AND('UP133'!HZ36,"AAAAAGe/3nw=")</f>
        <v>#VALUE!</v>
      </c>
      <c r="DV75" t="e">
        <f>AND('UP133'!IA36,"AAAAAGe/3n0=")</f>
        <v>#VALUE!</v>
      </c>
      <c r="DW75" t="e">
        <f>AND('UP133'!IB36,"AAAAAGe/3n4=")</f>
        <v>#VALUE!</v>
      </c>
      <c r="DX75" t="e">
        <f>AND('UP133'!IC36,"AAAAAGe/3n8=")</f>
        <v>#VALUE!</v>
      </c>
      <c r="DY75" t="e">
        <f>AND('UP133'!ID36,"AAAAAGe/3oA=")</f>
        <v>#VALUE!</v>
      </c>
      <c r="DZ75" t="e">
        <f>AND('UP133'!IE36,"AAAAAGe/3oE=")</f>
        <v>#VALUE!</v>
      </c>
      <c r="EA75" t="e">
        <f>AND('UP133'!IF36,"AAAAAGe/3oI=")</f>
        <v>#VALUE!</v>
      </c>
      <c r="EB75" t="e">
        <f>AND('UP133'!IG36,"AAAAAGe/3oM=")</f>
        <v>#VALUE!</v>
      </c>
      <c r="EC75" t="e">
        <f>AND('UP133'!IH36,"AAAAAGe/3oQ=")</f>
        <v>#VALUE!</v>
      </c>
      <c r="ED75" t="e">
        <f>AND('UP133'!II36,"AAAAAGe/3oU=")</f>
        <v>#VALUE!</v>
      </c>
      <c r="EE75" t="e">
        <f>AND('UP133'!IJ36,"AAAAAGe/3oY=")</f>
        <v>#VALUE!</v>
      </c>
      <c r="EF75" t="e">
        <f>AND('UP133'!IK36,"AAAAAGe/3oc=")</f>
        <v>#VALUE!</v>
      </c>
      <c r="EG75" t="e">
        <f>AND('UP133'!IL36,"AAAAAGe/3og=")</f>
        <v>#VALUE!</v>
      </c>
      <c r="EH75" t="e">
        <f>AND('UP133'!IM36,"AAAAAGe/3ok=")</f>
        <v>#VALUE!</v>
      </c>
      <c r="EI75" t="e">
        <f>AND('UP133'!IN36,"AAAAAGe/3oo=")</f>
        <v>#VALUE!</v>
      </c>
      <c r="EJ75" t="e">
        <f>AND('UP133'!IO36,"AAAAAGe/3os=")</f>
        <v>#VALUE!</v>
      </c>
      <c r="EK75" t="e">
        <f>AND('UP133'!IP36,"AAAAAGe/3ow=")</f>
        <v>#VALUE!</v>
      </c>
      <c r="EL75" t="e">
        <f>AND('UP133'!IQ36,"AAAAAGe/3o0=")</f>
        <v>#VALUE!</v>
      </c>
      <c r="EM75">
        <f>IF('UP133'!37:37,"AAAAAGe/3o4=",0)</f>
        <v>0</v>
      </c>
      <c r="EN75" t="e">
        <f>AND('UP133'!A37,"AAAAAGe/3o8=")</f>
        <v>#VALUE!</v>
      </c>
      <c r="EO75" t="e">
        <f>AND('UP133'!B37,"AAAAAGe/3pA=")</f>
        <v>#VALUE!</v>
      </c>
      <c r="EP75" t="e">
        <f>AND('UP133'!C37,"AAAAAGe/3pE=")</f>
        <v>#VALUE!</v>
      </c>
      <c r="EQ75" t="e">
        <f>AND('UP133'!D37,"AAAAAGe/3pI=")</f>
        <v>#VALUE!</v>
      </c>
      <c r="ER75" t="e">
        <f>AND('UP133'!E37,"AAAAAGe/3pM=")</f>
        <v>#VALUE!</v>
      </c>
      <c r="ES75" t="e">
        <f>AND('UP133'!F37,"AAAAAGe/3pQ=")</f>
        <v>#VALUE!</v>
      </c>
      <c r="ET75" t="e">
        <f>AND('UP133'!G37,"AAAAAGe/3pU=")</f>
        <v>#VALUE!</v>
      </c>
      <c r="EU75" t="e">
        <f>AND('UP133'!H37,"AAAAAGe/3pY=")</f>
        <v>#VALUE!</v>
      </c>
      <c r="EV75" t="e">
        <f>AND('UP133'!I37,"AAAAAGe/3pc=")</f>
        <v>#VALUE!</v>
      </c>
      <c r="EW75" t="e">
        <f>AND('UP133'!J37,"AAAAAGe/3pg=")</f>
        <v>#VALUE!</v>
      </c>
      <c r="EX75" t="e">
        <f>AND('UP133'!K37,"AAAAAGe/3pk=")</f>
        <v>#VALUE!</v>
      </c>
      <c r="EY75" t="e">
        <f>AND('UP133'!L37,"AAAAAGe/3po=")</f>
        <v>#VALUE!</v>
      </c>
      <c r="EZ75" t="e">
        <f>AND('UP133'!M37,"AAAAAGe/3ps=")</f>
        <v>#VALUE!</v>
      </c>
      <c r="FA75" t="e">
        <f>AND('UP133'!N37,"AAAAAGe/3pw=")</f>
        <v>#VALUE!</v>
      </c>
      <c r="FB75" t="e">
        <f>AND('UP133'!O37,"AAAAAGe/3p0=")</f>
        <v>#VALUE!</v>
      </c>
      <c r="FC75" t="e">
        <f>AND('UP133'!P37,"AAAAAGe/3p4=")</f>
        <v>#VALUE!</v>
      </c>
      <c r="FD75" t="e">
        <f>AND('UP133'!Q37,"AAAAAGe/3p8=")</f>
        <v>#VALUE!</v>
      </c>
      <c r="FE75" t="e">
        <f>AND('UP133'!R37,"AAAAAGe/3qA=")</f>
        <v>#VALUE!</v>
      </c>
      <c r="FF75" t="e">
        <f>AND('UP133'!S37,"AAAAAGe/3qE=")</f>
        <v>#VALUE!</v>
      </c>
      <c r="FG75" t="e">
        <f>AND('UP133'!T37,"AAAAAGe/3qI=")</f>
        <v>#VALUE!</v>
      </c>
      <c r="FH75" t="e">
        <f>AND('UP133'!U37,"AAAAAGe/3qM=")</f>
        <v>#VALUE!</v>
      </c>
      <c r="FI75" t="e">
        <f>AND('UP133'!V37,"AAAAAGe/3qQ=")</f>
        <v>#VALUE!</v>
      </c>
      <c r="FJ75" t="e">
        <f>AND('UP133'!W37,"AAAAAGe/3qU=")</f>
        <v>#VALUE!</v>
      </c>
      <c r="FK75" t="e">
        <f>AND('UP133'!X37,"AAAAAGe/3qY=")</f>
        <v>#VALUE!</v>
      </c>
      <c r="FL75" t="e">
        <f>AND('UP133'!Y37,"AAAAAGe/3qc=")</f>
        <v>#VALUE!</v>
      </c>
      <c r="FM75" t="e">
        <f>AND('UP133'!Z37,"AAAAAGe/3qg=")</f>
        <v>#VALUE!</v>
      </c>
      <c r="FN75" t="e">
        <f>AND('UP133'!AA37,"AAAAAGe/3qk=")</f>
        <v>#VALUE!</v>
      </c>
      <c r="FO75" t="e">
        <f>AND('UP133'!AB37,"AAAAAGe/3qo=")</f>
        <v>#VALUE!</v>
      </c>
      <c r="FP75" t="e">
        <f>AND('UP133'!AC37,"AAAAAGe/3qs=")</f>
        <v>#VALUE!</v>
      </c>
      <c r="FQ75" t="e">
        <f>AND('UP133'!AD37,"AAAAAGe/3qw=")</f>
        <v>#VALUE!</v>
      </c>
      <c r="FR75" t="e">
        <f>AND('UP133'!AE37,"AAAAAGe/3q0=")</f>
        <v>#VALUE!</v>
      </c>
      <c r="FS75" t="e">
        <f>AND('UP133'!AF37,"AAAAAGe/3q4=")</f>
        <v>#VALUE!</v>
      </c>
      <c r="FT75" t="e">
        <f>AND('UP133'!AG37,"AAAAAGe/3q8=")</f>
        <v>#VALUE!</v>
      </c>
      <c r="FU75" t="e">
        <f>AND('UP133'!AH37,"AAAAAGe/3rA=")</f>
        <v>#VALUE!</v>
      </c>
      <c r="FV75" t="e">
        <f>AND('UP133'!AI37,"AAAAAGe/3rE=")</f>
        <v>#VALUE!</v>
      </c>
      <c r="FW75" t="e">
        <f>AND('UP133'!AJ37,"AAAAAGe/3rI=")</f>
        <v>#VALUE!</v>
      </c>
      <c r="FX75" t="e">
        <f>AND('UP133'!AK37,"AAAAAGe/3rM=")</f>
        <v>#VALUE!</v>
      </c>
      <c r="FY75" t="e">
        <f>AND('UP133'!AL37,"AAAAAGe/3rQ=")</f>
        <v>#VALUE!</v>
      </c>
      <c r="FZ75" t="e">
        <f>AND('UP133'!AM37,"AAAAAGe/3rU=")</f>
        <v>#VALUE!</v>
      </c>
      <c r="GA75" t="e">
        <f>AND('UP133'!AN37,"AAAAAGe/3rY=")</f>
        <v>#VALUE!</v>
      </c>
      <c r="GB75" t="e">
        <f>AND('UP133'!AO37,"AAAAAGe/3rc=")</f>
        <v>#VALUE!</v>
      </c>
      <c r="GC75" t="e">
        <f>AND('UP133'!AP37,"AAAAAGe/3rg=")</f>
        <v>#VALUE!</v>
      </c>
      <c r="GD75" t="e">
        <f>AND('UP133'!AQ37,"AAAAAGe/3rk=")</f>
        <v>#VALUE!</v>
      </c>
      <c r="GE75" t="e">
        <f>AND('UP133'!AR37,"AAAAAGe/3ro=")</f>
        <v>#VALUE!</v>
      </c>
      <c r="GF75" t="e">
        <f>AND('UP133'!AS37,"AAAAAGe/3rs=")</f>
        <v>#VALUE!</v>
      </c>
      <c r="GG75" t="e">
        <f>AND('UP133'!AT37,"AAAAAGe/3rw=")</f>
        <v>#VALUE!</v>
      </c>
      <c r="GH75" t="e">
        <f>AND('UP133'!AU37,"AAAAAGe/3r0=")</f>
        <v>#VALUE!</v>
      </c>
      <c r="GI75" t="e">
        <f>AND('UP133'!AV37,"AAAAAGe/3r4=")</f>
        <v>#VALUE!</v>
      </c>
      <c r="GJ75" t="e">
        <f>AND('UP133'!AW37,"AAAAAGe/3r8=")</f>
        <v>#VALUE!</v>
      </c>
      <c r="GK75" t="e">
        <f>AND('UP133'!AX37,"AAAAAGe/3sA=")</f>
        <v>#VALUE!</v>
      </c>
      <c r="GL75" t="e">
        <f>AND('UP133'!AY37,"AAAAAGe/3sE=")</f>
        <v>#VALUE!</v>
      </c>
      <c r="GM75" t="e">
        <f>AND('UP133'!AZ37,"AAAAAGe/3sI=")</f>
        <v>#VALUE!</v>
      </c>
      <c r="GN75" t="e">
        <f>AND('UP133'!BA37,"AAAAAGe/3sM=")</f>
        <v>#VALUE!</v>
      </c>
      <c r="GO75" t="e">
        <f>AND('UP133'!BB37,"AAAAAGe/3sQ=")</f>
        <v>#VALUE!</v>
      </c>
      <c r="GP75" t="e">
        <f>AND('UP133'!BC37,"AAAAAGe/3sU=")</f>
        <v>#VALUE!</v>
      </c>
      <c r="GQ75" t="e">
        <f>AND('UP133'!BD37,"AAAAAGe/3sY=")</f>
        <v>#VALUE!</v>
      </c>
      <c r="GR75" t="e">
        <f>AND('UP133'!BE37,"AAAAAGe/3sc=")</f>
        <v>#VALUE!</v>
      </c>
      <c r="GS75" t="e">
        <f>AND('UP133'!BF37,"AAAAAGe/3sg=")</f>
        <v>#VALUE!</v>
      </c>
      <c r="GT75" t="e">
        <f>AND('UP133'!BG37,"AAAAAGe/3sk=")</f>
        <v>#VALUE!</v>
      </c>
      <c r="GU75" t="e">
        <f>AND('UP133'!BH37,"AAAAAGe/3so=")</f>
        <v>#VALUE!</v>
      </c>
      <c r="GV75" t="e">
        <f>AND('UP133'!BI37,"AAAAAGe/3ss=")</f>
        <v>#VALUE!</v>
      </c>
      <c r="GW75" t="e">
        <f>AND('UP133'!BJ37,"AAAAAGe/3sw=")</f>
        <v>#VALUE!</v>
      </c>
      <c r="GX75" t="e">
        <f>AND('UP133'!BK37,"AAAAAGe/3s0=")</f>
        <v>#VALUE!</v>
      </c>
      <c r="GY75" t="e">
        <f>AND('UP133'!BL37,"AAAAAGe/3s4=")</f>
        <v>#VALUE!</v>
      </c>
      <c r="GZ75" t="e">
        <f>AND('UP133'!BM37,"AAAAAGe/3s8=")</f>
        <v>#VALUE!</v>
      </c>
      <c r="HA75" t="e">
        <f>AND('UP133'!BN37,"AAAAAGe/3tA=")</f>
        <v>#VALUE!</v>
      </c>
      <c r="HB75" t="e">
        <f>AND('UP133'!BO37,"AAAAAGe/3tE=")</f>
        <v>#VALUE!</v>
      </c>
      <c r="HC75" t="e">
        <f>AND('UP133'!BP37,"AAAAAGe/3tI=")</f>
        <v>#VALUE!</v>
      </c>
      <c r="HD75" t="e">
        <f>AND('UP133'!BQ37,"AAAAAGe/3tM=")</f>
        <v>#VALUE!</v>
      </c>
      <c r="HE75" t="e">
        <f>AND('UP133'!BR37,"AAAAAGe/3tQ=")</f>
        <v>#VALUE!</v>
      </c>
      <c r="HF75" t="e">
        <f>AND('UP133'!BS37,"AAAAAGe/3tU=")</f>
        <v>#VALUE!</v>
      </c>
      <c r="HG75" t="e">
        <f>AND('UP133'!BT37,"AAAAAGe/3tY=")</f>
        <v>#VALUE!</v>
      </c>
      <c r="HH75" t="e">
        <f>AND('UP133'!BU37,"AAAAAGe/3tc=")</f>
        <v>#VALUE!</v>
      </c>
      <c r="HI75" t="e">
        <f>AND('UP133'!BV37,"AAAAAGe/3tg=")</f>
        <v>#VALUE!</v>
      </c>
      <c r="HJ75" t="e">
        <f>AND('UP133'!BW37,"AAAAAGe/3tk=")</f>
        <v>#VALUE!</v>
      </c>
      <c r="HK75" t="e">
        <f>AND('UP133'!BX37,"AAAAAGe/3to=")</f>
        <v>#VALUE!</v>
      </c>
      <c r="HL75" t="e">
        <f>AND('UP133'!BY37,"AAAAAGe/3ts=")</f>
        <v>#VALUE!</v>
      </c>
      <c r="HM75" t="e">
        <f>AND('UP133'!BZ37,"AAAAAGe/3tw=")</f>
        <v>#VALUE!</v>
      </c>
      <c r="HN75" t="e">
        <f>AND('UP133'!CA37,"AAAAAGe/3t0=")</f>
        <v>#VALUE!</v>
      </c>
      <c r="HO75" t="e">
        <f>AND('UP133'!CB37,"AAAAAGe/3t4=")</f>
        <v>#VALUE!</v>
      </c>
      <c r="HP75" t="e">
        <f>AND('UP133'!CC37,"AAAAAGe/3t8=")</f>
        <v>#VALUE!</v>
      </c>
      <c r="HQ75" t="e">
        <f>AND('UP133'!CD37,"AAAAAGe/3uA=")</f>
        <v>#VALUE!</v>
      </c>
      <c r="HR75" t="e">
        <f>AND('UP133'!CE37,"AAAAAGe/3uE=")</f>
        <v>#VALUE!</v>
      </c>
      <c r="HS75" t="e">
        <f>AND('UP133'!CF37,"AAAAAGe/3uI=")</f>
        <v>#VALUE!</v>
      </c>
      <c r="HT75" t="e">
        <f>AND('UP133'!CG37,"AAAAAGe/3uM=")</f>
        <v>#VALUE!</v>
      </c>
      <c r="HU75" t="e">
        <f>AND('UP133'!CH37,"AAAAAGe/3uQ=")</f>
        <v>#VALUE!</v>
      </c>
      <c r="HV75" t="e">
        <f>AND('UP133'!CI37,"AAAAAGe/3uU=")</f>
        <v>#VALUE!</v>
      </c>
      <c r="HW75" t="e">
        <f>AND('UP133'!CJ37,"AAAAAGe/3uY=")</f>
        <v>#VALUE!</v>
      </c>
      <c r="HX75" t="e">
        <f>AND('UP133'!CK37,"AAAAAGe/3uc=")</f>
        <v>#VALUE!</v>
      </c>
      <c r="HY75" t="e">
        <f>AND('UP133'!CL37,"AAAAAGe/3ug=")</f>
        <v>#VALUE!</v>
      </c>
      <c r="HZ75" t="e">
        <f>AND('UP133'!CM37,"AAAAAGe/3uk=")</f>
        <v>#VALUE!</v>
      </c>
      <c r="IA75" t="e">
        <f>AND('UP133'!CN37,"AAAAAGe/3uo=")</f>
        <v>#VALUE!</v>
      </c>
      <c r="IB75" t="e">
        <f>AND('UP133'!CO37,"AAAAAGe/3us=")</f>
        <v>#VALUE!</v>
      </c>
      <c r="IC75" t="e">
        <f>AND('UP133'!CP37,"AAAAAGe/3uw=")</f>
        <v>#VALUE!</v>
      </c>
      <c r="ID75" t="e">
        <f>AND('UP133'!CQ37,"AAAAAGe/3u0=")</f>
        <v>#VALUE!</v>
      </c>
      <c r="IE75" t="e">
        <f>AND('UP133'!CR37,"AAAAAGe/3u4=")</f>
        <v>#VALUE!</v>
      </c>
      <c r="IF75" t="e">
        <f>AND('UP133'!CS37,"AAAAAGe/3u8=")</f>
        <v>#VALUE!</v>
      </c>
      <c r="IG75" t="e">
        <f>AND('UP133'!CT37,"AAAAAGe/3vA=")</f>
        <v>#VALUE!</v>
      </c>
      <c r="IH75" t="e">
        <f>AND('UP133'!CU37,"AAAAAGe/3vE=")</f>
        <v>#VALUE!</v>
      </c>
      <c r="II75" t="e">
        <f>AND('UP133'!CV37,"AAAAAGe/3vI=")</f>
        <v>#VALUE!</v>
      </c>
      <c r="IJ75" t="e">
        <f>AND('UP133'!CW37,"AAAAAGe/3vM=")</f>
        <v>#VALUE!</v>
      </c>
      <c r="IK75" t="e">
        <f>AND('UP133'!CX37,"AAAAAGe/3vQ=")</f>
        <v>#VALUE!</v>
      </c>
      <c r="IL75" t="e">
        <f>AND('UP133'!CY37,"AAAAAGe/3vU=")</f>
        <v>#VALUE!</v>
      </c>
      <c r="IM75" t="e">
        <f>AND('UP133'!CZ37,"AAAAAGe/3vY=")</f>
        <v>#VALUE!</v>
      </c>
      <c r="IN75" t="e">
        <f>AND('UP133'!DA37,"AAAAAGe/3vc=")</f>
        <v>#VALUE!</v>
      </c>
      <c r="IO75" t="e">
        <f>AND('UP133'!DB37,"AAAAAGe/3vg=")</f>
        <v>#VALUE!</v>
      </c>
      <c r="IP75" t="e">
        <f>AND('UP133'!DC37,"AAAAAGe/3vk=")</f>
        <v>#VALUE!</v>
      </c>
      <c r="IQ75" t="e">
        <f>AND('UP133'!DD37,"AAAAAGe/3vo=")</f>
        <v>#VALUE!</v>
      </c>
      <c r="IR75" t="e">
        <f>AND('UP133'!DE37,"AAAAAGe/3vs=")</f>
        <v>#VALUE!</v>
      </c>
      <c r="IS75" t="e">
        <f>AND('UP133'!DF37,"AAAAAGe/3vw=")</f>
        <v>#VALUE!</v>
      </c>
      <c r="IT75" t="e">
        <f>AND('UP133'!DG37,"AAAAAGe/3v0=")</f>
        <v>#VALUE!</v>
      </c>
      <c r="IU75" t="e">
        <f>AND('UP133'!DH37,"AAAAAGe/3v4=")</f>
        <v>#VALUE!</v>
      </c>
      <c r="IV75" t="e">
        <f>AND('UP133'!DI37,"AAAAAGe/3v8=")</f>
        <v>#VALUE!</v>
      </c>
    </row>
    <row r="76" spans="1:256">
      <c r="A76" t="e">
        <f>AND('UP133'!DJ37,"AAAAAD33/wA=")</f>
        <v>#VALUE!</v>
      </c>
      <c r="B76" t="e">
        <f>AND('UP133'!DK37,"AAAAAD33/wE=")</f>
        <v>#VALUE!</v>
      </c>
      <c r="C76" t="e">
        <f>AND('UP133'!DL37,"AAAAAD33/wI=")</f>
        <v>#VALUE!</v>
      </c>
      <c r="D76" t="e">
        <f>AND('UP133'!DM37,"AAAAAD33/wM=")</f>
        <v>#VALUE!</v>
      </c>
      <c r="E76" t="e">
        <f>AND('UP133'!DN37,"AAAAAD33/wQ=")</f>
        <v>#VALUE!</v>
      </c>
      <c r="F76" t="e">
        <f>AND('UP133'!DO37,"AAAAAD33/wU=")</f>
        <v>#VALUE!</v>
      </c>
      <c r="G76" t="e">
        <f>AND('UP133'!DP37,"AAAAAD33/wY=")</f>
        <v>#VALUE!</v>
      </c>
      <c r="H76" t="e">
        <f>AND('UP133'!DQ37,"AAAAAD33/wc=")</f>
        <v>#VALUE!</v>
      </c>
      <c r="I76" t="e">
        <f>AND('UP133'!DR37,"AAAAAD33/wg=")</f>
        <v>#VALUE!</v>
      </c>
      <c r="J76" t="e">
        <f>AND('UP133'!DS37,"AAAAAD33/wk=")</f>
        <v>#VALUE!</v>
      </c>
      <c r="K76" t="e">
        <f>AND('UP133'!DT37,"AAAAAD33/wo=")</f>
        <v>#VALUE!</v>
      </c>
      <c r="L76" t="e">
        <f>AND('UP133'!DU37,"AAAAAD33/ws=")</f>
        <v>#VALUE!</v>
      </c>
      <c r="M76" t="e">
        <f>AND('UP133'!DV37,"AAAAAD33/ww=")</f>
        <v>#VALUE!</v>
      </c>
      <c r="N76" t="e">
        <f>AND('UP133'!DW37,"AAAAAD33/w0=")</f>
        <v>#VALUE!</v>
      </c>
      <c r="O76" t="e">
        <f>AND('UP133'!DX37,"AAAAAD33/w4=")</f>
        <v>#VALUE!</v>
      </c>
      <c r="P76" t="e">
        <f>AND('UP133'!DY37,"AAAAAD33/w8=")</f>
        <v>#VALUE!</v>
      </c>
      <c r="Q76" t="e">
        <f>AND('UP133'!DZ37,"AAAAAD33/xA=")</f>
        <v>#VALUE!</v>
      </c>
      <c r="R76" t="e">
        <f>AND('UP133'!EA37,"AAAAAD33/xE=")</f>
        <v>#VALUE!</v>
      </c>
      <c r="S76" t="e">
        <f>AND('UP133'!EB37,"AAAAAD33/xI=")</f>
        <v>#VALUE!</v>
      </c>
      <c r="T76" t="e">
        <f>AND('UP133'!EC37,"AAAAAD33/xM=")</f>
        <v>#VALUE!</v>
      </c>
      <c r="U76" t="e">
        <f>AND('UP133'!ED37,"AAAAAD33/xQ=")</f>
        <v>#VALUE!</v>
      </c>
      <c r="V76" t="e">
        <f>AND('UP133'!EE37,"AAAAAD33/xU=")</f>
        <v>#VALUE!</v>
      </c>
      <c r="W76" t="e">
        <f>AND('UP133'!EF37,"AAAAAD33/xY=")</f>
        <v>#VALUE!</v>
      </c>
      <c r="X76" t="e">
        <f>AND('UP133'!EG37,"AAAAAD33/xc=")</f>
        <v>#VALUE!</v>
      </c>
      <c r="Y76" t="e">
        <f>AND('UP133'!EH37,"AAAAAD33/xg=")</f>
        <v>#VALUE!</v>
      </c>
      <c r="Z76" t="e">
        <f>AND('UP133'!EI37,"AAAAAD33/xk=")</f>
        <v>#VALUE!</v>
      </c>
      <c r="AA76" t="e">
        <f>AND('UP133'!EJ37,"AAAAAD33/xo=")</f>
        <v>#VALUE!</v>
      </c>
      <c r="AB76" t="e">
        <f>AND('UP133'!EK37,"AAAAAD33/xs=")</f>
        <v>#VALUE!</v>
      </c>
      <c r="AC76" t="e">
        <f>AND('UP133'!EL37,"AAAAAD33/xw=")</f>
        <v>#VALUE!</v>
      </c>
      <c r="AD76" t="e">
        <f>AND('UP133'!EM37,"AAAAAD33/x0=")</f>
        <v>#VALUE!</v>
      </c>
      <c r="AE76" t="e">
        <f>AND('UP133'!EN37,"AAAAAD33/x4=")</f>
        <v>#VALUE!</v>
      </c>
      <c r="AF76" t="e">
        <f>AND('UP133'!EO37,"AAAAAD33/x8=")</f>
        <v>#VALUE!</v>
      </c>
      <c r="AG76" t="e">
        <f>AND('UP133'!EP37,"AAAAAD33/yA=")</f>
        <v>#VALUE!</v>
      </c>
      <c r="AH76" t="e">
        <f>AND('UP133'!EQ37,"AAAAAD33/yE=")</f>
        <v>#VALUE!</v>
      </c>
      <c r="AI76" t="e">
        <f>AND('UP133'!ER37,"AAAAAD33/yI=")</f>
        <v>#VALUE!</v>
      </c>
      <c r="AJ76" t="e">
        <f>AND('UP133'!ES37,"AAAAAD33/yM=")</f>
        <v>#VALUE!</v>
      </c>
      <c r="AK76" t="e">
        <f>AND('UP133'!ET37,"AAAAAD33/yQ=")</f>
        <v>#VALUE!</v>
      </c>
      <c r="AL76" t="e">
        <f>AND('UP133'!EU37,"AAAAAD33/yU=")</f>
        <v>#VALUE!</v>
      </c>
      <c r="AM76" t="e">
        <f>AND('UP133'!EV37,"AAAAAD33/yY=")</f>
        <v>#VALUE!</v>
      </c>
      <c r="AN76" t="e">
        <f>AND('UP133'!EW37,"AAAAAD33/yc=")</f>
        <v>#VALUE!</v>
      </c>
      <c r="AO76" t="e">
        <f>AND('UP133'!EX37,"AAAAAD33/yg=")</f>
        <v>#VALUE!</v>
      </c>
      <c r="AP76" t="e">
        <f>AND('UP133'!EY37,"AAAAAD33/yk=")</f>
        <v>#VALUE!</v>
      </c>
      <c r="AQ76" t="e">
        <f>AND('UP133'!EZ37,"AAAAAD33/yo=")</f>
        <v>#VALUE!</v>
      </c>
      <c r="AR76" t="e">
        <f>AND('UP133'!FA37,"AAAAAD33/ys=")</f>
        <v>#VALUE!</v>
      </c>
      <c r="AS76" t="e">
        <f>AND('UP133'!FB37,"AAAAAD33/yw=")</f>
        <v>#VALUE!</v>
      </c>
      <c r="AT76" t="e">
        <f>AND('UP133'!FC37,"AAAAAD33/y0=")</f>
        <v>#VALUE!</v>
      </c>
      <c r="AU76" t="e">
        <f>AND('UP133'!FD37,"AAAAAD33/y4=")</f>
        <v>#VALUE!</v>
      </c>
      <c r="AV76" t="e">
        <f>AND('UP133'!FE37,"AAAAAD33/y8=")</f>
        <v>#VALUE!</v>
      </c>
      <c r="AW76" t="e">
        <f>AND('UP133'!FF37,"AAAAAD33/zA=")</f>
        <v>#VALUE!</v>
      </c>
      <c r="AX76" t="e">
        <f>AND('UP133'!FG37,"AAAAAD33/zE=")</f>
        <v>#VALUE!</v>
      </c>
      <c r="AY76" t="e">
        <f>AND('UP133'!FH37,"AAAAAD33/zI=")</f>
        <v>#VALUE!</v>
      </c>
      <c r="AZ76" t="e">
        <f>AND('UP133'!FI37,"AAAAAD33/zM=")</f>
        <v>#VALUE!</v>
      </c>
      <c r="BA76" t="e">
        <f>AND('UP133'!FJ37,"AAAAAD33/zQ=")</f>
        <v>#VALUE!</v>
      </c>
      <c r="BB76" t="e">
        <f>AND('UP133'!FK37,"AAAAAD33/zU=")</f>
        <v>#VALUE!</v>
      </c>
      <c r="BC76" t="e">
        <f>AND('UP133'!FL37,"AAAAAD33/zY=")</f>
        <v>#VALUE!</v>
      </c>
      <c r="BD76" t="e">
        <f>AND('UP133'!FM37,"AAAAAD33/zc=")</f>
        <v>#VALUE!</v>
      </c>
      <c r="BE76" t="e">
        <f>AND('UP133'!FN37,"AAAAAD33/zg=")</f>
        <v>#VALUE!</v>
      </c>
      <c r="BF76" t="e">
        <f>AND('UP133'!FO37,"AAAAAD33/zk=")</f>
        <v>#VALUE!</v>
      </c>
      <c r="BG76" t="e">
        <f>AND('UP133'!FP37,"AAAAAD33/zo=")</f>
        <v>#VALUE!</v>
      </c>
      <c r="BH76" t="e">
        <f>AND('UP133'!FQ37,"AAAAAD33/zs=")</f>
        <v>#VALUE!</v>
      </c>
      <c r="BI76" t="e">
        <f>AND('UP133'!FR37,"AAAAAD33/zw=")</f>
        <v>#VALUE!</v>
      </c>
      <c r="BJ76" t="e">
        <f>AND('UP133'!FS37,"AAAAAD33/z0=")</f>
        <v>#VALUE!</v>
      </c>
      <c r="BK76" t="e">
        <f>AND('UP133'!FT37,"AAAAAD33/z4=")</f>
        <v>#VALUE!</v>
      </c>
      <c r="BL76" t="e">
        <f>AND('UP133'!FU37,"AAAAAD33/z8=")</f>
        <v>#VALUE!</v>
      </c>
      <c r="BM76" t="e">
        <f>AND('UP133'!FV37,"AAAAAD33/0A=")</f>
        <v>#VALUE!</v>
      </c>
      <c r="BN76" t="e">
        <f>AND('UP133'!FW37,"AAAAAD33/0E=")</f>
        <v>#VALUE!</v>
      </c>
      <c r="BO76" t="e">
        <f>AND('UP133'!FX37,"AAAAAD33/0I=")</f>
        <v>#VALUE!</v>
      </c>
      <c r="BP76" t="e">
        <f>AND('UP133'!FY37,"AAAAAD33/0M=")</f>
        <v>#VALUE!</v>
      </c>
      <c r="BQ76" t="e">
        <f>AND('UP133'!FZ37,"AAAAAD33/0Q=")</f>
        <v>#VALUE!</v>
      </c>
      <c r="BR76" t="e">
        <f>AND('UP133'!GA37,"AAAAAD33/0U=")</f>
        <v>#VALUE!</v>
      </c>
      <c r="BS76" t="e">
        <f>AND('UP133'!GB37,"AAAAAD33/0Y=")</f>
        <v>#VALUE!</v>
      </c>
      <c r="BT76" t="e">
        <f>AND('UP133'!GC37,"AAAAAD33/0c=")</f>
        <v>#VALUE!</v>
      </c>
      <c r="BU76" t="e">
        <f>AND('UP133'!GD37,"AAAAAD33/0g=")</f>
        <v>#VALUE!</v>
      </c>
      <c r="BV76" t="e">
        <f>AND('UP133'!GE37,"AAAAAD33/0k=")</f>
        <v>#VALUE!</v>
      </c>
      <c r="BW76" t="e">
        <f>AND('UP133'!GF37,"AAAAAD33/0o=")</f>
        <v>#VALUE!</v>
      </c>
      <c r="BX76" t="e">
        <f>AND('UP133'!GG37,"AAAAAD33/0s=")</f>
        <v>#VALUE!</v>
      </c>
      <c r="BY76" t="e">
        <f>AND('UP133'!GH37,"AAAAAD33/0w=")</f>
        <v>#VALUE!</v>
      </c>
      <c r="BZ76" t="e">
        <f>AND('UP133'!GI37,"AAAAAD33/00=")</f>
        <v>#VALUE!</v>
      </c>
      <c r="CA76" t="e">
        <f>AND('UP133'!GJ37,"AAAAAD33/04=")</f>
        <v>#VALUE!</v>
      </c>
      <c r="CB76" t="e">
        <f>AND('UP133'!GK37,"AAAAAD33/08=")</f>
        <v>#VALUE!</v>
      </c>
      <c r="CC76" t="e">
        <f>AND('UP133'!GL37,"AAAAAD33/1A=")</f>
        <v>#VALUE!</v>
      </c>
      <c r="CD76" t="e">
        <f>AND('UP133'!GM37,"AAAAAD33/1E=")</f>
        <v>#VALUE!</v>
      </c>
      <c r="CE76" t="e">
        <f>AND('UP133'!GN37,"AAAAAD33/1I=")</f>
        <v>#VALUE!</v>
      </c>
      <c r="CF76" t="e">
        <f>AND('UP133'!GO37,"AAAAAD33/1M=")</f>
        <v>#VALUE!</v>
      </c>
      <c r="CG76" t="e">
        <f>AND('UP133'!GP37,"AAAAAD33/1Q=")</f>
        <v>#VALUE!</v>
      </c>
      <c r="CH76" t="e">
        <f>AND('UP133'!GQ37,"AAAAAD33/1U=")</f>
        <v>#VALUE!</v>
      </c>
      <c r="CI76" t="e">
        <f>AND('UP133'!GR37,"AAAAAD33/1Y=")</f>
        <v>#VALUE!</v>
      </c>
      <c r="CJ76" t="e">
        <f>AND('UP133'!GS37,"AAAAAD33/1c=")</f>
        <v>#VALUE!</v>
      </c>
      <c r="CK76" t="e">
        <f>AND('UP133'!GT37,"AAAAAD33/1g=")</f>
        <v>#VALUE!</v>
      </c>
      <c r="CL76" t="e">
        <f>AND('UP133'!GU37,"AAAAAD33/1k=")</f>
        <v>#VALUE!</v>
      </c>
      <c r="CM76" t="e">
        <f>AND('UP133'!GV37,"AAAAAD33/1o=")</f>
        <v>#VALUE!</v>
      </c>
      <c r="CN76" t="e">
        <f>AND('UP133'!GW37,"AAAAAD33/1s=")</f>
        <v>#VALUE!</v>
      </c>
      <c r="CO76" t="e">
        <f>AND('UP133'!GX37,"AAAAAD33/1w=")</f>
        <v>#VALUE!</v>
      </c>
      <c r="CP76" t="e">
        <f>AND('UP133'!GY37,"AAAAAD33/10=")</f>
        <v>#VALUE!</v>
      </c>
      <c r="CQ76" t="e">
        <f>AND('UP133'!GZ37,"AAAAAD33/14=")</f>
        <v>#VALUE!</v>
      </c>
      <c r="CR76" t="e">
        <f>AND('UP133'!HA37,"AAAAAD33/18=")</f>
        <v>#VALUE!</v>
      </c>
      <c r="CS76" t="e">
        <f>AND('UP133'!HB37,"AAAAAD33/2A=")</f>
        <v>#VALUE!</v>
      </c>
      <c r="CT76" t="e">
        <f>AND('UP133'!HC37,"AAAAAD33/2E=")</f>
        <v>#VALUE!</v>
      </c>
      <c r="CU76" t="e">
        <f>AND('UP133'!HD37,"AAAAAD33/2I=")</f>
        <v>#VALUE!</v>
      </c>
      <c r="CV76" t="e">
        <f>AND('UP133'!HE37,"AAAAAD33/2M=")</f>
        <v>#VALUE!</v>
      </c>
      <c r="CW76" t="e">
        <f>AND('UP133'!HF37,"AAAAAD33/2Q=")</f>
        <v>#VALUE!</v>
      </c>
      <c r="CX76" t="e">
        <f>AND('UP133'!HG37,"AAAAAD33/2U=")</f>
        <v>#VALUE!</v>
      </c>
      <c r="CY76" t="e">
        <f>AND('UP133'!HH37,"AAAAAD33/2Y=")</f>
        <v>#VALUE!</v>
      </c>
      <c r="CZ76" t="e">
        <f>AND('UP133'!HI37,"AAAAAD33/2c=")</f>
        <v>#VALUE!</v>
      </c>
      <c r="DA76" t="e">
        <f>AND('UP133'!HJ37,"AAAAAD33/2g=")</f>
        <v>#VALUE!</v>
      </c>
      <c r="DB76" t="e">
        <f>AND('UP133'!HK37,"AAAAAD33/2k=")</f>
        <v>#VALUE!</v>
      </c>
      <c r="DC76" t="e">
        <f>AND('UP133'!HL37,"AAAAAD33/2o=")</f>
        <v>#VALUE!</v>
      </c>
      <c r="DD76" t="e">
        <f>AND('UP133'!HM37,"AAAAAD33/2s=")</f>
        <v>#VALUE!</v>
      </c>
      <c r="DE76" t="e">
        <f>AND('UP133'!HN37,"AAAAAD33/2w=")</f>
        <v>#VALUE!</v>
      </c>
      <c r="DF76" t="e">
        <f>AND('UP133'!HO37,"AAAAAD33/20=")</f>
        <v>#VALUE!</v>
      </c>
      <c r="DG76" t="e">
        <f>AND('UP133'!HP37,"AAAAAD33/24=")</f>
        <v>#VALUE!</v>
      </c>
      <c r="DH76" t="e">
        <f>AND('UP133'!HQ37,"AAAAAD33/28=")</f>
        <v>#VALUE!</v>
      </c>
      <c r="DI76" t="e">
        <f>AND('UP133'!HR37,"AAAAAD33/3A=")</f>
        <v>#VALUE!</v>
      </c>
      <c r="DJ76" t="e">
        <f>AND('UP133'!HS37,"AAAAAD33/3E=")</f>
        <v>#VALUE!</v>
      </c>
      <c r="DK76" t="e">
        <f>AND('UP133'!HT37,"AAAAAD33/3I=")</f>
        <v>#VALUE!</v>
      </c>
      <c r="DL76" t="e">
        <f>AND('UP133'!HU37,"AAAAAD33/3M=")</f>
        <v>#VALUE!</v>
      </c>
      <c r="DM76" t="e">
        <f>AND('UP133'!HV37,"AAAAAD33/3Q=")</f>
        <v>#VALUE!</v>
      </c>
      <c r="DN76" t="e">
        <f>AND('UP133'!HW37,"AAAAAD33/3U=")</f>
        <v>#VALUE!</v>
      </c>
      <c r="DO76" t="e">
        <f>AND('UP133'!HX37,"AAAAAD33/3Y=")</f>
        <v>#VALUE!</v>
      </c>
      <c r="DP76" t="e">
        <f>AND('UP133'!HY37,"AAAAAD33/3c=")</f>
        <v>#VALUE!</v>
      </c>
      <c r="DQ76" t="e">
        <f>AND('UP133'!HZ37,"AAAAAD33/3g=")</f>
        <v>#VALUE!</v>
      </c>
      <c r="DR76" t="e">
        <f>AND('UP133'!IA37,"AAAAAD33/3k=")</f>
        <v>#VALUE!</v>
      </c>
      <c r="DS76" t="e">
        <f>AND('UP133'!IB37,"AAAAAD33/3o=")</f>
        <v>#VALUE!</v>
      </c>
      <c r="DT76" t="e">
        <f>AND('UP133'!IC37,"AAAAAD33/3s=")</f>
        <v>#VALUE!</v>
      </c>
      <c r="DU76" t="e">
        <f>AND('UP133'!ID37,"AAAAAD33/3w=")</f>
        <v>#VALUE!</v>
      </c>
      <c r="DV76" t="e">
        <f>AND('UP133'!IE37,"AAAAAD33/30=")</f>
        <v>#VALUE!</v>
      </c>
      <c r="DW76" t="e">
        <f>AND('UP133'!IF37,"AAAAAD33/34=")</f>
        <v>#VALUE!</v>
      </c>
      <c r="DX76" t="e">
        <f>AND('UP133'!IG37,"AAAAAD33/38=")</f>
        <v>#VALUE!</v>
      </c>
      <c r="DY76" t="e">
        <f>AND('UP133'!IH37,"AAAAAD33/4A=")</f>
        <v>#VALUE!</v>
      </c>
      <c r="DZ76" t="e">
        <f>AND('UP133'!II37,"AAAAAD33/4E=")</f>
        <v>#VALUE!</v>
      </c>
      <c r="EA76" t="e">
        <f>AND('UP133'!IJ37,"AAAAAD33/4I=")</f>
        <v>#VALUE!</v>
      </c>
      <c r="EB76" t="e">
        <f>AND('UP133'!IK37,"AAAAAD33/4M=")</f>
        <v>#VALUE!</v>
      </c>
      <c r="EC76" t="e">
        <f>AND('UP133'!IL37,"AAAAAD33/4Q=")</f>
        <v>#VALUE!</v>
      </c>
      <c r="ED76" t="e">
        <f>AND('UP133'!IM37,"AAAAAD33/4U=")</f>
        <v>#VALUE!</v>
      </c>
      <c r="EE76" t="e">
        <f>AND('UP133'!IN37,"AAAAAD33/4Y=")</f>
        <v>#VALUE!</v>
      </c>
      <c r="EF76" t="e">
        <f>AND('UP133'!IO37,"AAAAAD33/4c=")</f>
        <v>#VALUE!</v>
      </c>
      <c r="EG76" t="e">
        <f>AND('UP133'!IP37,"AAAAAD33/4g=")</f>
        <v>#VALUE!</v>
      </c>
      <c r="EH76" t="e">
        <f>AND('UP133'!IQ37,"AAAAAD33/4k=")</f>
        <v>#VALUE!</v>
      </c>
      <c r="EI76">
        <f>IF('UP133'!38:38,"AAAAAD33/4o=",0)</f>
        <v>0</v>
      </c>
      <c r="EJ76" t="e">
        <f>AND('UP133'!A38,"AAAAAD33/4s=")</f>
        <v>#VALUE!</v>
      </c>
      <c r="EK76" t="e">
        <f>AND('UP133'!B38,"AAAAAD33/4w=")</f>
        <v>#VALUE!</v>
      </c>
      <c r="EL76" t="e">
        <f>AND('UP133'!C38,"AAAAAD33/40=")</f>
        <v>#VALUE!</v>
      </c>
      <c r="EM76" t="e">
        <f>AND('UP133'!D38,"AAAAAD33/44=")</f>
        <v>#VALUE!</v>
      </c>
      <c r="EN76" t="e">
        <f>AND('UP133'!E38,"AAAAAD33/48=")</f>
        <v>#VALUE!</v>
      </c>
      <c r="EO76" t="e">
        <f>AND('UP133'!F38,"AAAAAD33/5A=")</f>
        <v>#VALUE!</v>
      </c>
      <c r="EP76" t="e">
        <f>AND('UP133'!G38,"AAAAAD33/5E=")</f>
        <v>#VALUE!</v>
      </c>
      <c r="EQ76" t="e">
        <f>AND('UP133'!H38,"AAAAAD33/5I=")</f>
        <v>#VALUE!</v>
      </c>
      <c r="ER76" t="e">
        <f>AND('UP133'!I38,"AAAAAD33/5M=")</f>
        <v>#VALUE!</v>
      </c>
      <c r="ES76" t="e">
        <f>AND('UP133'!J38,"AAAAAD33/5Q=")</f>
        <v>#VALUE!</v>
      </c>
      <c r="ET76" t="e">
        <f>AND('UP133'!K38,"AAAAAD33/5U=")</f>
        <v>#VALUE!</v>
      </c>
      <c r="EU76" t="e">
        <f>AND('UP133'!L38,"AAAAAD33/5Y=")</f>
        <v>#VALUE!</v>
      </c>
      <c r="EV76" t="e">
        <f>AND('UP133'!M38,"AAAAAD33/5c=")</f>
        <v>#VALUE!</v>
      </c>
      <c r="EW76" t="e">
        <f>AND('UP133'!N38,"AAAAAD33/5g=")</f>
        <v>#VALUE!</v>
      </c>
      <c r="EX76" t="e">
        <f>AND('UP133'!O38,"AAAAAD33/5k=")</f>
        <v>#VALUE!</v>
      </c>
      <c r="EY76" t="e">
        <f>AND('UP133'!P38,"AAAAAD33/5o=")</f>
        <v>#VALUE!</v>
      </c>
      <c r="EZ76" t="e">
        <f>AND('UP133'!Q38,"AAAAAD33/5s=")</f>
        <v>#VALUE!</v>
      </c>
      <c r="FA76" t="e">
        <f>AND('UP133'!R38,"AAAAAD33/5w=")</f>
        <v>#VALUE!</v>
      </c>
      <c r="FB76" t="e">
        <f>AND('UP133'!S38,"AAAAAD33/50=")</f>
        <v>#VALUE!</v>
      </c>
      <c r="FC76" t="e">
        <f>AND('UP133'!T38,"AAAAAD33/54=")</f>
        <v>#VALUE!</v>
      </c>
      <c r="FD76" t="e">
        <f>AND('UP133'!U38,"AAAAAD33/58=")</f>
        <v>#VALUE!</v>
      </c>
      <c r="FE76" t="e">
        <f>AND('UP133'!V38,"AAAAAD33/6A=")</f>
        <v>#VALUE!</v>
      </c>
      <c r="FF76" t="e">
        <f>AND('UP133'!W38,"AAAAAD33/6E=")</f>
        <v>#VALUE!</v>
      </c>
      <c r="FG76" t="e">
        <f>AND('UP133'!X38,"AAAAAD33/6I=")</f>
        <v>#VALUE!</v>
      </c>
      <c r="FH76" t="e">
        <f>AND('UP133'!Y38,"AAAAAD33/6M=")</f>
        <v>#VALUE!</v>
      </c>
      <c r="FI76" t="e">
        <f>AND('UP133'!Z38,"AAAAAD33/6Q=")</f>
        <v>#VALUE!</v>
      </c>
      <c r="FJ76" t="e">
        <f>AND('UP133'!AA38,"AAAAAD33/6U=")</f>
        <v>#VALUE!</v>
      </c>
      <c r="FK76" t="e">
        <f>AND('UP133'!AB38,"AAAAAD33/6Y=")</f>
        <v>#VALUE!</v>
      </c>
      <c r="FL76" t="e">
        <f>AND('UP133'!AC38,"AAAAAD33/6c=")</f>
        <v>#VALUE!</v>
      </c>
      <c r="FM76" t="e">
        <f>AND('UP133'!AD38,"AAAAAD33/6g=")</f>
        <v>#VALUE!</v>
      </c>
      <c r="FN76" t="e">
        <f>AND('UP133'!AE38,"AAAAAD33/6k=")</f>
        <v>#VALUE!</v>
      </c>
      <c r="FO76" t="e">
        <f>AND('UP133'!AF38,"AAAAAD33/6o=")</f>
        <v>#VALUE!</v>
      </c>
      <c r="FP76" t="e">
        <f>AND('UP133'!AG38,"AAAAAD33/6s=")</f>
        <v>#VALUE!</v>
      </c>
      <c r="FQ76" t="e">
        <f>AND('UP133'!AH38,"AAAAAD33/6w=")</f>
        <v>#VALUE!</v>
      </c>
      <c r="FR76" t="e">
        <f>AND('UP133'!AI38,"AAAAAD33/60=")</f>
        <v>#VALUE!</v>
      </c>
      <c r="FS76" t="e">
        <f>AND('UP133'!AJ38,"AAAAAD33/64=")</f>
        <v>#VALUE!</v>
      </c>
      <c r="FT76" t="e">
        <f>AND('UP133'!AK38,"AAAAAD33/68=")</f>
        <v>#VALUE!</v>
      </c>
      <c r="FU76" t="e">
        <f>AND('UP133'!AL38,"AAAAAD33/7A=")</f>
        <v>#VALUE!</v>
      </c>
      <c r="FV76" t="e">
        <f>AND('UP133'!AM38,"AAAAAD33/7E=")</f>
        <v>#VALUE!</v>
      </c>
      <c r="FW76" t="e">
        <f>AND('UP133'!AN38,"AAAAAD33/7I=")</f>
        <v>#VALUE!</v>
      </c>
      <c r="FX76" t="e">
        <f>AND('UP133'!AO38,"AAAAAD33/7M=")</f>
        <v>#VALUE!</v>
      </c>
      <c r="FY76" t="e">
        <f>AND('UP133'!AP38,"AAAAAD33/7Q=")</f>
        <v>#VALUE!</v>
      </c>
      <c r="FZ76" t="e">
        <f>AND('UP133'!AQ38,"AAAAAD33/7U=")</f>
        <v>#VALUE!</v>
      </c>
      <c r="GA76" t="e">
        <f>AND('UP133'!AR38,"AAAAAD33/7Y=")</f>
        <v>#VALUE!</v>
      </c>
      <c r="GB76" t="e">
        <f>AND('UP133'!AS38,"AAAAAD33/7c=")</f>
        <v>#VALUE!</v>
      </c>
      <c r="GC76" t="e">
        <f>AND('UP133'!AT38,"AAAAAD33/7g=")</f>
        <v>#VALUE!</v>
      </c>
      <c r="GD76" t="e">
        <f>AND('UP133'!AU38,"AAAAAD33/7k=")</f>
        <v>#VALUE!</v>
      </c>
      <c r="GE76" t="e">
        <f>AND('UP133'!AV38,"AAAAAD33/7o=")</f>
        <v>#VALUE!</v>
      </c>
      <c r="GF76" t="e">
        <f>AND('UP133'!AW38,"AAAAAD33/7s=")</f>
        <v>#VALUE!</v>
      </c>
      <c r="GG76" t="e">
        <f>AND('UP133'!AX38,"AAAAAD33/7w=")</f>
        <v>#VALUE!</v>
      </c>
      <c r="GH76" t="e">
        <f>AND('UP133'!AY38,"AAAAAD33/70=")</f>
        <v>#VALUE!</v>
      </c>
      <c r="GI76" t="e">
        <f>AND('UP133'!AZ38,"AAAAAD33/74=")</f>
        <v>#VALUE!</v>
      </c>
      <c r="GJ76" t="e">
        <f>AND('UP133'!BA38,"AAAAAD33/78=")</f>
        <v>#VALUE!</v>
      </c>
      <c r="GK76" t="e">
        <f>AND('UP133'!BB38,"AAAAAD33/8A=")</f>
        <v>#VALUE!</v>
      </c>
      <c r="GL76" t="e">
        <f>AND('UP133'!BC38,"AAAAAD33/8E=")</f>
        <v>#VALUE!</v>
      </c>
      <c r="GM76" t="e">
        <f>AND('UP133'!BD38,"AAAAAD33/8I=")</f>
        <v>#VALUE!</v>
      </c>
      <c r="GN76" t="e">
        <f>AND('UP133'!BE38,"AAAAAD33/8M=")</f>
        <v>#VALUE!</v>
      </c>
      <c r="GO76" t="e">
        <f>AND('UP133'!BF38,"AAAAAD33/8Q=")</f>
        <v>#VALUE!</v>
      </c>
      <c r="GP76" t="e">
        <f>AND('UP133'!BG38,"AAAAAD33/8U=")</f>
        <v>#VALUE!</v>
      </c>
      <c r="GQ76" t="e">
        <f>AND('UP133'!BH38,"AAAAAD33/8Y=")</f>
        <v>#VALUE!</v>
      </c>
      <c r="GR76" t="e">
        <f>AND('UP133'!BI38,"AAAAAD33/8c=")</f>
        <v>#VALUE!</v>
      </c>
      <c r="GS76" t="e">
        <f>AND('UP133'!BJ38,"AAAAAD33/8g=")</f>
        <v>#VALUE!</v>
      </c>
      <c r="GT76" t="e">
        <f>AND('UP133'!BK38,"AAAAAD33/8k=")</f>
        <v>#VALUE!</v>
      </c>
      <c r="GU76" t="e">
        <f>AND('UP133'!BL38,"AAAAAD33/8o=")</f>
        <v>#VALUE!</v>
      </c>
      <c r="GV76" t="e">
        <f>AND('UP133'!BM38,"AAAAAD33/8s=")</f>
        <v>#VALUE!</v>
      </c>
      <c r="GW76" t="e">
        <f>AND('UP133'!BN38,"AAAAAD33/8w=")</f>
        <v>#VALUE!</v>
      </c>
      <c r="GX76" t="e">
        <f>AND('UP133'!BO38,"AAAAAD33/80=")</f>
        <v>#VALUE!</v>
      </c>
      <c r="GY76" t="e">
        <f>AND('UP133'!BP38,"AAAAAD33/84=")</f>
        <v>#VALUE!</v>
      </c>
      <c r="GZ76" t="e">
        <f>AND('UP133'!BQ38,"AAAAAD33/88=")</f>
        <v>#VALUE!</v>
      </c>
      <c r="HA76" t="e">
        <f>AND('UP133'!BR38,"AAAAAD33/9A=")</f>
        <v>#VALUE!</v>
      </c>
      <c r="HB76" t="e">
        <f>AND('UP133'!BS38,"AAAAAD33/9E=")</f>
        <v>#VALUE!</v>
      </c>
      <c r="HC76" t="e">
        <f>AND('UP133'!BT38,"AAAAAD33/9I=")</f>
        <v>#VALUE!</v>
      </c>
      <c r="HD76" t="e">
        <f>AND('UP133'!BU38,"AAAAAD33/9M=")</f>
        <v>#VALUE!</v>
      </c>
      <c r="HE76" t="e">
        <f>AND('UP133'!BV38,"AAAAAD33/9Q=")</f>
        <v>#VALUE!</v>
      </c>
      <c r="HF76" t="e">
        <f>AND('UP133'!BW38,"AAAAAD33/9U=")</f>
        <v>#VALUE!</v>
      </c>
      <c r="HG76" t="e">
        <f>AND('UP133'!BX38,"AAAAAD33/9Y=")</f>
        <v>#VALUE!</v>
      </c>
      <c r="HH76" t="e">
        <f>AND('UP133'!BY38,"AAAAAD33/9c=")</f>
        <v>#VALUE!</v>
      </c>
      <c r="HI76" t="e">
        <f>AND('UP133'!BZ38,"AAAAAD33/9g=")</f>
        <v>#VALUE!</v>
      </c>
      <c r="HJ76" t="e">
        <f>AND('UP133'!CA38,"AAAAAD33/9k=")</f>
        <v>#VALUE!</v>
      </c>
      <c r="HK76" t="e">
        <f>AND('UP133'!CB38,"AAAAAD33/9o=")</f>
        <v>#VALUE!</v>
      </c>
      <c r="HL76" t="e">
        <f>AND('UP133'!CC38,"AAAAAD33/9s=")</f>
        <v>#VALUE!</v>
      </c>
      <c r="HM76" t="e">
        <f>AND('UP133'!CD38,"AAAAAD33/9w=")</f>
        <v>#VALUE!</v>
      </c>
      <c r="HN76" t="e">
        <f>AND('UP133'!CE38,"AAAAAD33/90=")</f>
        <v>#VALUE!</v>
      </c>
      <c r="HO76" t="e">
        <f>AND('UP133'!CF38,"AAAAAD33/94=")</f>
        <v>#VALUE!</v>
      </c>
      <c r="HP76" t="e">
        <f>AND('UP133'!CG38,"AAAAAD33/98=")</f>
        <v>#VALUE!</v>
      </c>
      <c r="HQ76" t="e">
        <f>AND('UP133'!CH38,"AAAAAD33/+A=")</f>
        <v>#VALUE!</v>
      </c>
      <c r="HR76" t="e">
        <f>AND('UP133'!CI38,"AAAAAD33/+E=")</f>
        <v>#VALUE!</v>
      </c>
      <c r="HS76" t="e">
        <f>AND('UP133'!CJ38,"AAAAAD33/+I=")</f>
        <v>#VALUE!</v>
      </c>
      <c r="HT76" t="e">
        <f>AND('UP133'!CK38,"AAAAAD33/+M=")</f>
        <v>#VALUE!</v>
      </c>
      <c r="HU76" t="e">
        <f>AND('UP133'!CL38,"AAAAAD33/+Q=")</f>
        <v>#VALUE!</v>
      </c>
      <c r="HV76" t="e">
        <f>AND('UP133'!CM38,"AAAAAD33/+U=")</f>
        <v>#VALUE!</v>
      </c>
      <c r="HW76" t="e">
        <f>AND('UP133'!CN38,"AAAAAD33/+Y=")</f>
        <v>#VALUE!</v>
      </c>
      <c r="HX76" t="e">
        <f>AND('UP133'!CO38,"AAAAAD33/+c=")</f>
        <v>#VALUE!</v>
      </c>
      <c r="HY76" t="e">
        <f>AND('UP133'!CP38,"AAAAAD33/+g=")</f>
        <v>#VALUE!</v>
      </c>
      <c r="HZ76" t="e">
        <f>AND('UP133'!CQ38,"AAAAAD33/+k=")</f>
        <v>#VALUE!</v>
      </c>
      <c r="IA76" t="e">
        <f>AND('UP133'!CR38,"AAAAAD33/+o=")</f>
        <v>#VALUE!</v>
      </c>
      <c r="IB76" t="e">
        <f>AND('UP133'!CS38,"AAAAAD33/+s=")</f>
        <v>#VALUE!</v>
      </c>
      <c r="IC76" t="e">
        <f>AND('UP133'!CT38,"AAAAAD33/+w=")</f>
        <v>#VALUE!</v>
      </c>
      <c r="ID76" t="e">
        <f>AND('UP133'!CU38,"AAAAAD33/+0=")</f>
        <v>#VALUE!</v>
      </c>
      <c r="IE76" t="e">
        <f>AND('UP133'!CV38,"AAAAAD33/+4=")</f>
        <v>#VALUE!</v>
      </c>
      <c r="IF76" t="e">
        <f>AND('UP133'!CW38,"AAAAAD33/+8=")</f>
        <v>#VALUE!</v>
      </c>
      <c r="IG76" t="e">
        <f>AND('UP133'!CX38,"AAAAAD33//A=")</f>
        <v>#VALUE!</v>
      </c>
      <c r="IH76" t="e">
        <f>AND('UP133'!CY38,"AAAAAD33//E=")</f>
        <v>#VALUE!</v>
      </c>
      <c r="II76" t="e">
        <f>AND('UP133'!CZ38,"AAAAAD33//I=")</f>
        <v>#VALUE!</v>
      </c>
      <c r="IJ76" t="e">
        <f>AND('UP133'!DA38,"AAAAAD33//M=")</f>
        <v>#VALUE!</v>
      </c>
      <c r="IK76" t="e">
        <f>AND('UP133'!DB38,"AAAAAD33//Q=")</f>
        <v>#VALUE!</v>
      </c>
      <c r="IL76" t="e">
        <f>AND('UP133'!DC38,"AAAAAD33//U=")</f>
        <v>#VALUE!</v>
      </c>
      <c r="IM76" t="e">
        <f>AND('UP133'!DD38,"AAAAAD33//Y=")</f>
        <v>#VALUE!</v>
      </c>
      <c r="IN76" t="e">
        <f>AND('UP133'!DE38,"AAAAAD33//c=")</f>
        <v>#VALUE!</v>
      </c>
      <c r="IO76" t="e">
        <f>AND('UP133'!DF38,"AAAAAD33//g=")</f>
        <v>#VALUE!</v>
      </c>
      <c r="IP76" t="e">
        <f>AND('UP133'!DG38,"AAAAAD33//k=")</f>
        <v>#VALUE!</v>
      </c>
      <c r="IQ76" t="e">
        <f>AND('UP133'!DH38,"AAAAAD33//o=")</f>
        <v>#VALUE!</v>
      </c>
      <c r="IR76" t="e">
        <f>AND('UP133'!DI38,"AAAAAD33//s=")</f>
        <v>#VALUE!</v>
      </c>
      <c r="IS76" t="e">
        <f>AND('UP133'!DJ38,"AAAAAD33//w=")</f>
        <v>#VALUE!</v>
      </c>
      <c r="IT76" t="e">
        <f>AND('UP133'!DK38,"AAAAAD33//0=")</f>
        <v>#VALUE!</v>
      </c>
      <c r="IU76" t="e">
        <f>AND('UP133'!DL38,"AAAAAD33//4=")</f>
        <v>#VALUE!</v>
      </c>
      <c r="IV76" t="e">
        <f>AND('UP133'!DM38,"AAAAAD33//8=")</f>
        <v>#VALUE!</v>
      </c>
    </row>
    <row r="77" spans="1:256">
      <c r="A77" t="e">
        <f>AND('UP133'!DN38,"AAAAACns7wA=")</f>
        <v>#VALUE!</v>
      </c>
      <c r="B77" t="e">
        <f>AND('UP133'!DO38,"AAAAACns7wE=")</f>
        <v>#VALUE!</v>
      </c>
      <c r="C77" t="e">
        <f>AND('UP133'!DP38,"AAAAACns7wI=")</f>
        <v>#VALUE!</v>
      </c>
      <c r="D77" t="e">
        <f>AND('UP133'!DQ38,"AAAAACns7wM=")</f>
        <v>#VALUE!</v>
      </c>
      <c r="E77" t="e">
        <f>AND('UP133'!DR38,"AAAAACns7wQ=")</f>
        <v>#VALUE!</v>
      </c>
      <c r="F77" t="e">
        <f>AND('UP133'!DS38,"AAAAACns7wU=")</f>
        <v>#VALUE!</v>
      </c>
      <c r="G77" t="e">
        <f>AND('UP133'!DT38,"AAAAACns7wY=")</f>
        <v>#VALUE!</v>
      </c>
      <c r="H77" t="e">
        <f>AND('UP133'!DU38,"AAAAACns7wc=")</f>
        <v>#VALUE!</v>
      </c>
      <c r="I77" t="e">
        <f>AND('UP133'!DV38,"AAAAACns7wg=")</f>
        <v>#VALUE!</v>
      </c>
      <c r="J77" t="e">
        <f>AND('UP133'!DW38,"AAAAACns7wk=")</f>
        <v>#VALUE!</v>
      </c>
      <c r="K77" t="e">
        <f>AND('UP133'!DX38,"AAAAACns7wo=")</f>
        <v>#VALUE!</v>
      </c>
      <c r="L77" t="e">
        <f>AND('UP133'!DY38,"AAAAACns7ws=")</f>
        <v>#VALUE!</v>
      </c>
      <c r="M77" t="e">
        <f>AND('UP133'!DZ38,"AAAAACns7ww=")</f>
        <v>#VALUE!</v>
      </c>
      <c r="N77" t="e">
        <f>AND('UP133'!EA38,"AAAAACns7w0=")</f>
        <v>#VALUE!</v>
      </c>
      <c r="O77" t="e">
        <f>AND('UP133'!EB38,"AAAAACns7w4=")</f>
        <v>#VALUE!</v>
      </c>
      <c r="P77" t="e">
        <f>AND('UP133'!EC38,"AAAAACns7w8=")</f>
        <v>#VALUE!</v>
      </c>
      <c r="Q77" t="e">
        <f>AND('UP133'!ED38,"AAAAACns7xA=")</f>
        <v>#VALUE!</v>
      </c>
      <c r="R77" t="e">
        <f>AND('UP133'!EE38,"AAAAACns7xE=")</f>
        <v>#VALUE!</v>
      </c>
      <c r="S77" t="e">
        <f>AND('UP133'!EF38,"AAAAACns7xI=")</f>
        <v>#VALUE!</v>
      </c>
      <c r="T77" t="e">
        <f>AND('UP133'!EG38,"AAAAACns7xM=")</f>
        <v>#VALUE!</v>
      </c>
      <c r="U77" t="e">
        <f>AND('UP133'!EH38,"AAAAACns7xQ=")</f>
        <v>#VALUE!</v>
      </c>
      <c r="V77" t="e">
        <f>AND('UP133'!EI38,"AAAAACns7xU=")</f>
        <v>#VALUE!</v>
      </c>
      <c r="W77" t="e">
        <f>AND('UP133'!EJ38,"AAAAACns7xY=")</f>
        <v>#VALUE!</v>
      </c>
      <c r="X77" t="e">
        <f>AND('UP133'!EK38,"AAAAACns7xc=")</f>
        <v>#VALUE!</v>
      </c>
      <c r="Y77" t="e">
        <f>AND('UP133'!EL38,"AAAAACns7xg=")</f>
        <v>#VALUE!</v>
      </c>
      <c r="Z77" t="e">
        <f>AND('UP133'!EM38,"AAAAACns7xk=")</f>
        <v>#VALUE!</v>
      </c>
      <c r="AA77" t="e">
        <f>AND('UP133'!EN38,"AAAAACns7xo=")</f>
        <v>#VALUE!</v>
      </c>
      <c r="AB77" t="e">
        <f>AND('UP133'!EO38,"AAAAACns7xs=")</f>
        <v>#VALUE!</v>
      </c>
      <c r="AC77" t="e">
        <f>AND('UP133'!EP38,"AAAAACns7xw=")</f>
        <v>#VALUE!</v>
      </c>
      <c r="AD77" t="e">
        <f>AND('UP133'!EQ38,"AAAAACns7x0=")</f>
        <v>#VALUE!</v>
      </c>
      <c r="AE77" t="e">
        <f>AND('UP133'!ER38,"AAAAACns7x4=")</f>
        <v>#VALUE!</v>
      </c>
      <c r="AF77" t="e">
        <f>AND('UP133'!ES38,"AAAAACns7x8=")</f>
        <v>#VALUE!</v>
      </c>
      <c r="AG77" t="e">
        <f>AND('UP133'!ET38,"AAAAACns7yA=")</f>
        <v>#VALUE!</v>
      </c>
      <c r="AH77" t="e">
        <f>AND('UP133'!EU38,"AAAAACns7yE=")</f>
        <v>#VALUE!</v>
      </c>
      <c r="AI77" t="e">
        <f>AND('UP133'!EV38,"AAAAACns7yI=")</f>
        <v>#VALUE!</v>
      </c>
      <c r="AJ77" t="e">
        <f>AND('UP133'!EW38,"AAAAACns7yM=")</f>
        <v>#VALUE!</v>
      </c>
      <c r="AK77" t="e">
        <f>AND('UP133'!EX38,"AAAAACns7yQ=")</f>
        <v>#VALUE!</v>
      </c>
      <c r="AL77" t="e">
        <f>AND('UP133'!EY38,"AAAAACns7yU=")</f>
        <v>#VALUE!</v>
      </c>
      <c r="AM77" t="e">
        <f>AND('UP133'!EZ38,"AAAAACns7yY=")</f>
        <v>#VALUE!</v>
      </c>
      <c r="AN77" t="e">
        <f>AND('UP133'!FA38,"AAAAACns7yc=")</f>
        <v>#VALUE!</v>
      </c>
      <c r="AO77" t="e">
        <f>AND('UP133'!FB38,"AAAAACns7yg=")</f>
        <v>#VALUE!</v>
      </c>
      <c r="AP77" t="e">
        <f>AND('UP133'!FC38,"AAAAACns7yk=")</f>
        <v>#VALUE!</v>
      </c>
      <c r="AQ77" t="e">
        <f>AND('UP133'!FD38,"AAAAACns7yo=")</f>
        <v>#VALUE!</v>
      </c>
      <c r="AR77" t="e">
        <f>AND('UP133'!FE38,"AAAAACns7ys=")</f>
        <v>#VALUE!</v>
      </c>
      <c r="AS77" t="e">
        <f>AND('UP133'!FF38,"AAAAACns7yw=")</f>
        <v>#VALUE!</v>
      </c>
      <c r="AT77" t="e">
        <f>AND('UP133'!FG38,"AAAAACns7y0=")</f>
        <v>#VALUE!</v>
      </c>
      <c r="AU77" t="e">
        <f>AND('UP133'!FH38,"AAAAACns7y4=")</f>
        <v>#VALUE!</v>
      </c>
      <c r="AV77" t="e">
        <f>AND('UP133'!FI38,"AAAAACns7y8=")</f>
        <v>#VALUE!</v>
      </c>
      <c r="AW77" t="e">
        <f>AND('UP133'!FJ38,"AAAAACns7zA=")</f>
        <v>#VALUE!</v>
      </c>
      <c r="AX77" t="e">
        <f>AND('UP133'!FK38,"AAAAACns7zE=")</f>
        <v>#VALUE!</v>
      </c>
      <c r="AY77" t="e">
        <f>AND('UP133'!FL38,"AAAAACns7zI=")</f>
        <v>#VALUE!</v>
      </c>
      <c r="AZ77" t="e">
        <f>AND('UP133'!FM38,"AAAAACns7zM=")</f>
        <v>#VALUE!</v>
      </c>
      <c r="BA77" t="e">
        <f>AND('UP133'!FN38,"AAAAACns7zQ=")</f>
        <v>#VALUE!</v>
      </c>
      <c r="BB77" t="e">
        <f>AND('UP133'!FO38,"AAAAACns7zU=")</f>
        <v>#VALUE!</v>
      </c>
      <c r="BC77" t="e">
        <f>AND('UP133'!FP38,"AAAAACns7zY=")</f>
        <v>#VALUE!</v>
      </c>
      <c r="BD77" t="e">
        <f>AND('UP133'!FQ38,"AAAAACns7zc=")</f>
        <v>#VALUE!</v>
      </c>
      <c r="BE77" t="e">
        <f>AND('UP133'!FR38,"AAAAACns7zg=")</f>
        <v>#VALUE!</v>
      </c>
      <c r="BF77" t="e">
        <f>AND('UP133'!FS38,"AAAAACns7zk=")</f>
        <v>#VALUE!</v>
      </c>
      <c r="BG77" t="e">
        <f>AND('UP133'!FT38,"AAAAACns7zo=")</f>
        <v>#VALUE!</v>
      </c>
      <c r="BH77" t="e">
        <f>AND('UP133'!FU38,"AAAAACns7zs=")</f>
        <v>#VALUE!</v>
      </c>
      <c r="BI77" t="e">
        <f>AND('UP133'!FV38,"AAAAACns7zw=")</f>
        <v>#VALUE!</v>
      </c>
      <c r="BJ77" t="e">
        <f>AND('UP133'!FW38,"AAAAACns7z0=")</f>
        <v>#VALUE!</v>
      </c>
      <c r="BK77" t="e">
        <f>AND('UP133'!FX38,"AAAAACns7z4=")</f>
        <v>#VALUE!</v>
      </c>
      <c r="BL77" t="e">
        <f>AND('UP133'!FY38,"AAAAACns7z8=")</f>
        <v>#VALUE!</v>
      </c>
      <c r="BM77" t="e">
        <f>AND('UP133'!FZ38,"AAAAACns70A=")</f>
        <v>#VALUE!</v>
      </c>
      <c r="BN77" t="e">
        <f>AND('UP133'!GA38,"AAAAACns70E=")</f>
        <v>#VALUE!</v>
      </c>
      <c r="BO77" t="e">
        <f>AND('UP133'!GB38,"AAAAACns70I=")</f>
        <v>#VALUE!</v>
      </c>
      <c r="BP77" t="e">
        <f>AND('UP133'!GC38,"AAAAACns70M=")</f>
        <v>#VALUE!</v>
      </c>
      <c r="BQ77" t="e">
        <f>AND('UP133'!GD38,"AAAAACns70Q=")</f>
        <v>#VALUE!</v>
      </c>
      <c r="BR77" t="e">
        <f>AND('UP133'!GE38,"AAAAACns70U=")</f>
        <v>#VALUE!</v>
      </c>
      <c r="BS77" t="e">
        <f>AND('UP133'!GF38,"AAAAACns70Y=")</f>
        <v>#VALUE!</v>
      </c>
      <c r="BT77" t="e">
        <f>AND('UP133'!GG38,"AAAAACns70c=")</f>
        <v>#VALUE!</v>
      </c>
      <c r="BU77" t="e">
        <f>AND('UP133'!GH38,"AAAAACns70g=")</f>
        <v>#VALUE!</v>
      </c>
      <c r="BV77" t="e">
        <f>AND('UP133'!GI38,"AAAAACns70k=")</f>
        <v>#VALUE!</v>
      </c>
      <c r="BW77" t="e">
        <f>AND('UP133'!GJ38,"AAAAACns70o=")</f>
        <v>#VALUE!</v>
      </c>
      <c r="BX77" t="e">
        <f>AND('UP133'!GK38,"AAAAACns70s=")</f>
        <v>#VALUE!</v>
      </c>
      <c r="BY77" t="e">
        <f>AND('UP133'!GL38,"AAAAACns70w=")</f>
        <v>#VALUE!</v>
      </c>
      <c r="BZ77" t="e">
        <f>AND('UP133'!GM38,"AAAAACns700=")</f>
        <v>#VALUE!</v>
      </c>
      <c r="CA77" t="e">
        <f>AND('UP133'!GN38,"AAAAACns704=")</f>
        <v>#VALUE!</v>
      </c>
      <c r="CB77" t="e">
        <f>AND('UP133'!GO38,"AAAAACns708=")</f>
        <v>#VALUE!</v>
      </c>
      <c r="CC77" t="e">
        <f>AND('UP133'!GP38,"AAAAACns71A=")</f>
        <v>#VALUE!</v>
      </c>
      <c r="CD77" t="e">
        <f>AND('UP133'!GQ38,"AAAAACns71E=")</f>
        <v>#VALUE!</v>
      </c>
      <c r="CE77" t="e">
        <f>AND('UP133'!GR38,"AAAAACns71I=")</f>
        <v>#VALUE!</v>
      </c>
      <c r="CF77" t="e">
        <f>AND('UP133'!GS38,"AAAAACns71M=")</f>
        <v>#VALUE!</v>
      </c>
      <c r="CG77" t="e">
        <f>AND('UP133'!GT38,"AAAAACns71Q=")</f>
        <v>#VALUE!</v>
      </c>
      <c r="CH77" t="e">
        <f>AND('UP133'!GU38,"AAAAACns71U=")</f>
        <v>#VALUE!</v>
      </c>
      <c r="CI77" t="e">
        <f>AND('UP133'!GV38,"AAAAACns71Y=")</f>
        <v>#VALUE!</v>
      </c>
      <c r="CJ77" t="e">
        <f>AND('UP133'!GW38,"AAAAACns71c=")</f>
        <v>#VALUE!</v>
      </c>
      <c r="CK77" t="e">
        <f>AND('UP133'!GX38,"AAAAACns71g=")</f>
        <v>#VALUE!</v>
      </c>
      <c r="CL77" t="e">
        <f>AND('UP133'!GY38,"AAAAACns71k=")</f>
        <v>#VALUE!</v>
      </c>
      <c r="CM77" t="e">
        <f>AND('UP133'!GZ38,"AAAAACns71o=")</f>
        <v>#VALUE!</v>
      </c>
      <c r="CN77" t="e">
        <f>AND('UP133'!HA38,"AAAAACns71s=")</f>
        <v>#VALUE!</v>
      </c>
      <c r="CO77" t="e">
        <f>AND('UP133'!HB38,"AAAAACns71w=")</f>
        <v>#VALUE!</v>
      </c>
      <c r="CP77" t="e">
        <f>AND('UP133'!HC38,"AAAAACns710=")</f>
        <v>#VALUE!</v>
      </c>
      <c r="CQ77" t="e">
        <f>AND('UP133'!HD38,"AAAAACns714=")</f>
        <v>#VALUE!</v>
      </c>
      <c r="CR77" t="e">
        <f>AND('UP133'!HE38,"AAAAACns718=")</f>
        <v>#VALUE!</v>
      </c>
      <c r="CS77" t="e">
        <f>AND('UP133'!HF38,"AAAAACns72A=")</f>
        <v>#VALUE!</v>
      </c>
      <c r="CT77" t="e">
        <f>AND('UP133'!HG38,"AAAAACns72E=")</f>
        <v>#VALUE!</v>
      </c>
      <c r="CU77" t="e">
        <f>AND('UP133'!HH38,"AAAAACns72I=")</f>
        <v>#VALUE!</v>
      </c>
      <c r="CV77" t="e">
        <f>AND('UP133'!HI38,"AAAAACns72M=")</f>
        <v>#VALUE!</v>
      </c>
      <c r="CW77" t="e">
        <f>AND('UP133'!HJ38,"AAAAACns72Q=")</f>
        <v>#VALUE!</v>
      </c>
      <c r="CX77" t="e">
        <f>AND('UP133'!HK38,"AAAAACns72U=")</f>
        <v>#VALUE!</v>
      </c>
      <c r="CY77" t="e">
        <f>AND('UP133'!HL38,"AAAAACns72Y=")</f>
        <v>#VALUE!</v>
      </c>
      <c r="CZ77" t="e">
        <f>AND('UP133'!HM38,"AAAAACns72c=")</f>
        <v>#VALUE!</v>
      </c>
      <c r="DA77" t="e">
        <f>AND('UP133'!HN38,"AAAAACns72g=")</f>
        <v>#VALUE!</v>
      </c>
      <c r="DB77" t="e">
        <f>AND('UP133'!HO38,"AAAAACns72k=")</f>
        <v>#VALUE!</v>
      </c>
      <c r="DC77" t="e">
        <f>AND('UP133'!HP38,"AAAAACns72o=")</f>
        <v>#VALUE!</v>
      </c>
      <c r="DD77" t="e">
        <f>AND('UP133'!HQ38,"AAAAACns72s=")</f>
        <v>#VALUE!</v>
      </c>
      <c r="DE77" t="e">
        <f>AND('UP133'!HR38,"AAAAACns72w=")</f>
        <v>#VALUE!</v>
      </c>
      <c r="DF77" t="e">
        <f>AND('UP133'!HS38,"AAAAACns720=")</f>
        <v>#VALUE!</v>
      </c>
      <c r="DG77" t="e">
        <f>AND('UP133'!HT38,"AAAAACns724=")</f>
        <v>#VALUE!</v>
      </c>
      <c r="DH77" t="e">
        <f>AND('UP133'!HU38,"AAAAACns728=")</f>
        <v>#VALUE!</v>
      </c>
      <c r="DI77" t="e">
        <f>AND('UP133'!HV38,"AAAAACns73A=")</f>
        <v>#VALUE!</v>
      </c>
      <c r="DJ77" t="e">
        <f>AND('UP133'!HW38,"AAAAACns73E=")</f>
        <v>#VALUE!</v>
      </c>
      <c r="DK77" t="e">
        <f>AND('UP133'!HX38,"AAAAACns73I=")</f>
        <v>#VALUE!</v>
      </c>
      <c r="DL77" t="e">
        <f>AND('UP133'!HY38,"AAAAACns73M=")</f>
        <v>#VALUE!</v>
      </c>
      <c r="DM77" t="e">
        <f>AND('UP133'!HZ38,"AAAAACns73Q=")</f>
        <v>#VALUE!</v>
      </c>
      <c r="DN77" t="e">
        <f>AND('UP133'!IA38,"AAAAACns73U=")</f>
        <v>#VALUE!</v>
      </c>
      <c r="DO77" t="e">
        <f>AND('UP133'!IB38,"AAAAACns73Y=")</f>
        <v>#VALUE!</v>
      </c>
      <c r="DP77" t="e">
        <f>AND('UP133'!IC38,"AAAAACns73c=")</f>
        <v>#VALUE!</v>
      </c>
      <c r="DQ77" t="e">
        <f>AND('UP133'!ID38,"AAAAACns73g=")</f>
        <v>#VALUE!</v>
      </c>
      <c r="DR77" t="e">
        <f>AND('UP133'!IE38,"AAAAACns73k=")</f>
        <v>#VALUE!</v>
      </c>
      <c r="DS77" t="e">
        <f>AND('UP133'!IF38,"AAAAACns73o=")</f>
        <v>#VALUE!</v>
      </c>
      <c r="DT77" t="e">
        <f>AND('UP133'!IG38,"AAAAACns73s=")</f>
        <v>#VALUE!</v>
      </c>
      <c r="DU77" t="e">
        <f>AND('UP133'!IH38,"AAAAACns73w=")</f>
        <v>#VALUE!</v>
      </c>
      <c r="DV77" t="e">
        <f>AND('UP133'!II38,"AAAAACns730=")</f>
        <v>#VALUE!</v>
      </c>
      <c r="DW77" t="e">
        <f>AND('UP133'!IJ38,"AAAAACns734=")</f>
        <v>#VALUE!</v>
      </c>
      <c r="DX77" t="e">
        <f>AND('UP133'!IK38,"AAAAACns738=")</f>
        <v>#VALUE!</v>
      </c>
      <c r="DY77" t="e">
        <f>AND('UP133'!IL38,"AAAAACns74A=")</f>
        <v>#VALUE!</v>
      </c>
      <c r="DZ77" t="e">
        <f>AND('UP133'!IM38,"AAAAACns74E=")</f>
        <v>#VALUE!</v>
      </c>
      <c r="EA77" t="e">
        <f>AND('UP133'!IN38,"AAAAACns74I=")</f>
        <v>#VALUE!</v>
      </c>
      <c r="EB77" t="e">
        <f>AND('UP133'!IO38,"AAAAACns74M=")</f>
        <v>#VALUE!</v>
      </c>
      <c r="EC77" t="e">
        <f>AND('UP133'!IP38,"AAAAACns74Q=")</f>
        <v>#VALUE!</v>
      </c>
      <c r="ED77" t="e">
        <f>AND('UP133'!IQ38,"AAAAACns74U=")</f>
        <v>#VALUE!</v>
      </c>
      <c r="EE77">
        <f>IF('UP133'!39:39,"AAAAACns74Y=",0)</f>
        <v>0</v>
      </c>
      <c r="EF77" t="e">
        <f>AND('UP133'!A39,"AAAAACns74c=")</f>
        <v>#VALUE!</v>
      </c>
      <c r="EG77" t="e">
        <f>AND('UP133'!B39,"AAAAACns74g=")</f>
        <v>#VALUE!</v>
      </c>
      <c r="EH77" t="e">
        <f>AND('UP133'!C39,"AAAAACns74k=")</f>
        <v>#VALUE!</v>
      </c>
      <c r="EI77" t="e">
        <f>AND('UP133'!D39,"AAAAACns74o=")</f>
        <v>#VALUE!</v>
      </c>
      <c r="EJ77" t="e">
        <f>AND('UP133'!E39,"AAAAACns74s=")</f>
        <v>#VALUE!</v>
      </c>
      <c r="EK77" t="e">
        <f>AND('UP133'!F39,"AAAAACns74w=")</f>
        <v>#VALUE!</v>
      </c>
      <c r="EL77" t="e">
        <f>AND('UP133'!G39,"AAAAACns740=")</f>
        <v>#VALUE!</v>
      </c>
      <c r="EM77" t="e">
        <f>AND('UP133'!H39,"AAAAACns744=")</f>
        <v>#VALUE!</v>
      </c>
      <c r="EN77" t="e">
        <f>AND('UP133'!I39,"AAAAACns748=")</f>
        <v>#VALUE!</v>
      </c>
      <c r="EO77" t="e">
        <f>AND('UP133'!J39,"AAAAACns75A=")</f>
        <v>#VALUE!</v>
      </c>
      <c r="EP77" t="e">
        <f>AND('UP133'!K39,"AAAAACns75E=")</f>
        <v>#VALUE!</v>
      </c>
      <c r="EQ77" t="e">
        <f>AND('UP133'!L39,"AAAAACns75I=")</f>
        <v>#VALUE!</v>
      </c>
      <c r="ER77" t="e">
        <f>AND('UP133'!M39,"AAAAACns75M=")</f>
        <v>#VALUE!</v>
      </c>
      <c r="ES77" t="e">
        <f>AND('UP133'!N39,"AAAAACns75Q=")</f>
        <v>#VALUE!</v>
      </c>
      <c r="ET77" t="e">
        <f>AND('UP133'!O39,"AAAAACns75U=")</f>
        <v>#VALUE!</v>
      </c>
      <c r="EU77" t="e">
        <f>AND('UP133'!P39,"AAAAACns75Y=")</f>
        <v>#VALUE!</v>
      </c>
      <c r="EV77" t="e">
        <f>AND('UP133'!Q39,"AAAAACns75c=")</f>
        <v>#VALUE!</v>
      </c>
      <c r="EW77" t="e">
        <f>AND('UP133'!R39,"AAAAACns75g=")</f>
        <v>#VALUE!</v>
      </c>
      <c r="EX77" t="e">
        <f>AND('UP133'!S39,"AAAAACns75k=")</f>
        <v>#VALUE!</v>
      </c>
      <c r="EY77" t="e">
        <f>AND('UP133'!T39,"AAAAACns75o=")</f>
        <v>#VALUE!</v>
      </c>
      <c r="EZ77" t="e">
        <f>AND('UP133'!U39,"AAAAACns75s=")</f>
        <v>#VALUE!</v>
      </c>
      <c r="FA77" t="e">
        <f>AND('UP133'!V39,"AAAAACns75w=")</f>
        <v>#VALUE!</v>
      </c>
      <c r="FB77" t="e">
        <f>AND('UP133'!W39,"AAAAACns750=")</f>
        <v>#VALUE!</v>
      </c>
      <c r="FC77" t="e">
        <f>AND('UP133'!X39,"AAAAACns754=")</f>
        <v>#VALUE!</v>
      </c>
      <c r="FD77" t="e">
        <f>AND('UP133'!Y39,"AAAAACns758=")</f>
        <v>#VALUE!</v>
      </c>
      <c r="FE77" t="e">
        <f>AND('UP133'!Z39,"AAAAACns76A=")</f>
        <v>#VALUE!</v>
      </c>
      <c r="FF77" t="e">
        <f>AND('UP133'!AA39,"AAAAACns76E=")</f>
        <v>#VALUE!</v>
      </c>
      <c r="FG77" t="e">
        <f>AND('UP133'!AB39,"AAAAACns76I=")</f>
        <v>#VALUE!</v>
      </c>
      <c r="FH77" t="e">
        <f>AND('UP133'!AC39,"AAAAACns76M=")</f>
        <v>#VALUE!</v>
      </c>
      <c r="FI77" t="e">
        <f>AND('UP133'!AD39,"AAAAACns76Q=")</f>
        <v>#VALUE!</v>
      </c>
      <c r="FJ77" t="e">
        <f>AND('UP133'!AE39,"AAAAACns76U=")</f>
        <v>#VALUE!</v>
      </c>
      <c r="FK77" t="e">
        <f>AND('UP133'!AF39,"AAAAACns76Y=")</f>
        <v>#VALUE!</v>
      </c>
      <c r="FL77" t="e">
        <f>AND('UP133'!AG39,"AAAAACns76c=")</f>
        <v>#VALUE!</v>
      </c>
      <c r="FM77" t="e">
        <f>AND('UP133'!AH39,"AAAAACns76g=")</f>
        <v>#VALUE!</v>
      </c>
      <c r="FN77" t="e">
        <f>AND('UP133'!AI39,"AAAAACns76k=")</f>
        <v>#VALUE!</v>
      </c>
      <c r="FO77" t="e">
        <f>AND('UP133'!AJ39,"AAAAACns76o=")</f>
        <v>#VALUE!</v>
      </c>
      <c r="FP77" t="e">
        <f>AND('UP133'!AK39,"AAAAACns76s=")</f>
        <v>#VALUE!</v>
      </c>
      <c r="FQ77" t="e">
        <f>AND('UP133'!AL39,"AAAAACns76w=")</f>
        <v>#VALUE!</v>
      </c>
      <c r="FR77" t="e">
        <f>AND('UP133'!AM39,"AAAAACns760=")</f>
        <v>#VALUE!</v>
      </c>
      <c r="FS77" t="e">
        <f>AND('UP133'!AN39,"AAAAACns764=")</f>
        <v>#VALUE!</v>
      </c>
      <c r="FT77" t="e">
        <f>AND('UP133'!AO39,"AAAAACns768=")</f>
        <v>#VALUE!</v>
      </c>
      <c r="FU77" t="e">
        <f>AND('UP133'!AP39,"AAAAACns77A=")</f>
        <v>#VALUE!</v>
      </c>
      <c r="FV77" t="e">
        <f>AND('UP133'!AQ39,"AAAAACns77E=")</f>
        <v>#VALUE!</v>
      </c>
      <c r="FW77" t="e">
        <f>AND('UP133'!AR39,"AAAAACns77I=")</f>
        <v>#VALUE!</v>
      </c>
      <c r="FX77" t="e">
        <f>AND('UP133'!AS39,"AAAAACns77M=")</f>
        <v>#VALUE!</v>
      </c>
      <c r="FY77" t="e">
        <f>AND('UP133'!AT39,"AAAAACns77Q=")</f>
        <v>#VALUE!</v>
      </c>
      <c r="FZ77" t="e">
        <f>AND('UP133'!AU39,"AAAAACns77U=")</f>
        <v>#VALUE!</v>
      </c>
      <c r="GA77" t="e">
        <f>AND('UP133'!AV39,"AAAAACns77Y=")</f>
        <v>#VALUE!</v>
      </c>
      <c r="GB77" t="e">
        <f>AND('UP133'!AW39,"AAAAACns77c=")</f>
        <v>#VALUE!</v>
      </c>
      <c r="GC77" t="e">
        <f>AND('UP133'!AX39,"AAAAACns77g=")</f>
        <v>#VALUE!</v>
      </c>
      <c r="GD77" t="e">
        <f>AND('UP133'!AY39,"AAAAACns77k=")</f>
        <v>#VALUE!</v>
      </c>
      <c r="GE77" t="e">
        <f>AND('UP133'!AZ39,"AAAAACns77o=")</f>
        <v>#VALUE!</v>
      </c>
      <c r="GF77" t="e">
        <f>AND('UP133'!BA39,"AAAAACns77s=")</f>
        <v>#VALUE!</v>
      </c>
      <c r="GG77" t="e">
        <f>AND('UP133'!BB39,"AAAAACns77w=")</f>
        <v>#VALUE!</v>
      </c>
      <c r="GH77" t="e">
        <f>AND('UP133'!BC39,"AAAAACns770=")</f>
        <v>#VALUE!</v>
      </c>
      <c r="GI77" t="e">
        <f>AND('UP133'!BD39,"AAAAACns774=")</f>
        <v>#VALUE!</v>
      </c>
      <c r="GJ77" t="e">
        <f>AND('UP133'!BE39,"AAAAACns778=")</f>
        <v>#VALUE!</v>
      </c>
      <c r="GK77" t="e">
        <f>AND('UP133'!BF39,"AAAAACns78A=")</f>
        <v>#VALUE!</v>
      </c>
      <c r="GL77" t="e">
        <f>AND('UP133'!BG39,"AAAAACns78E=")</f>
        <v>#VALUE!</v>
      </c>
      <c r="GM77" t="e">
        <f>AND('UP133'!BH39,"AAAAACns78I=")</f>
        <v>#VALUE!</v>
      </c>
      <c r="GN77" t="e">
        <f>AND('UP133'!BI39,"AAAAACns78M=")</f>
        <v>#VALUE!</v>
      </c>
      <c r="GO77" t="e">
        <f>AND('UP133'!BJ39,"AAAAACns78Q=")</f>
        <v>#VALUE!</v>
      </c>
      <c r="GP77" t="e">
        <f>AND('UP133'!BK39,"AAAAACns78U=")</f>
        <v>#VALUE!</v>
      </c>
      <c r="GQ77" t="e">
        <f>AND('UP133'!BL39,"AAAAACns78Y=")</f>
        <v>#VALUE!</v>
      </c>
      <c r="GR77" t="e">
        <f>AND('UP133'!BM39,"AAAAACns78c=")</f>
        <v>#VALUE!</v>
      </c>
      <c r="GS77" t="e">
        <f>AND('UP133'!BN39,"AAAAACns78g=")</f>
        <v>#VALUE!</v>
      </c>
      <c r="GT77" t="e">
        <f>AND('UP133'!BO39,"AAAAACns78k=")</f>
        <v>#VALUE!</v>
      </c>
      <c r="GU77" t="e">
        <f>AND('UP133'!BP39,"AAAAACns78o=")</f>
        <v>#VALUE!</v>
      </c>
      <c r="GV77" t="e">
        <f>AND('UP133'!BQ39,"AAAAACns78s=")</f>
        <v>#VALUE!</v>
      </c>
      <c r="GW77" t="e">
        <f>AND('UP133'!BR39,"AAAAACns78w=")</f>
        <v>#VALUE!</v>
      </c>
      <c r="GX77" t="e">
        <f>AND('UP133'!BS39,"AAAAACns780=")</f>
        <v>#VALUE!</v>
      </c>
      <c r="GY77" t="e">
        <f>AND('UP133'!BT39,"AAAAACns784=")</f>
        <v>#VALUE!</v>
      </c>
      <c r="GZ77" t="e">
        <f>AND('UP133'!BU39,"AAAAACns788=")</f>
        <v>#VALUE!</v>
      </c>
      <c r="HA77" t="e">
        <f>AND('UP133'!BV39,"AAAAACns79A=")</f>
        <v>#VALUE!</v>
      </c>
      <c r="HB77" t="e">
        <f>AND('UP133'!BW39,"AAAAACns79E=")</f>
        <v>#VALUE!</v>
      </c>
      <c r="HC77" t="e">
        <f>AND('UP133'!BX39,"AAAAACns79I=")</f>
        <v>#VALUE!</v>
      </c>
      <c r="HD77" t="e">
        <f>AND('UP133'!BY39,"AAAAACns79M=")</f>
        <v>#VALUE!</v>
      </c>
      <c r="HE77" t="e">
        <f>AND('UP133'!BZ39,"AAAAACns79Q=")</f>
        <v>#VALUE!</v>
      </c>
      <c r="HF77" t="e">
        <f>AND('UP133'!CA39,"AAAAACns79U=")</f>
        <v>#VALUE!</v>
      </c>
      <c r="HG77" t="e">
        <f>AND('UP133'!CB39,"AAAAACns79Y=")</f>
        <v>#VALUE!</v>
      </c>
      <c r="HH77" t="e">
        <f>AND('UP133'!CC39,"AAAAACns79c=")</f>
        <v>#VALUE!</v>
      </c>
      <c r="HI77" t="e">
        <f>AND('UP133'!CD39,"AAAAACns79g=")</f>
        <v>#VALUE!</v>
      </c>
      <c r="HJ77" t="e">
        <f>AND('UP133'!CE39,"AAAAACns79k=")</f>
        <v>#VALUE!</v>
      </c>
      <c r="HK77" t="e">
        <f>AND('UP133'!CF39,"AAAAACns79o=")</f>
        <v>#VALUE!</v>
      </c>
      <c r="HL77" t="e">
        <f>AND('UP133'!CG39,"AAAAACns79s=")</f>
        <v>#VALUE!</v>
      </c>
      <c r="HM77" t="e">
        <f>AND('UP133'!CH39,"AAAAACns79w=")</f>
        <v>#VALUE!</v>
      </c>
      <c r="HN77" t="e">
        <f>AND('UP133'!CI39,"AAAAACns790=")</f>
        <v>#VALUE!</v>
      </c>
      <c r="HO77" t="e">
        <f>AND('UP133'!CJ39,"AAAAACns794=")</f>
        <v>#VALUE!</v>
      </c>
      <c r="HP77" t="e">
        <f>AND('UP133'!CK39,"AAAAACns798=")</f>
        <v>#VALUE!</v>
      </c>
      <c r="HQ77" t="e">
        <f>AND('UP133'!CL39,"AAAAACns7+A=")</f>
        <v>#VALUE!</v>
      </c>
      <c r="HR77" t="e">
        <f>AND('UP133'!CM39,"AAAAACns7+E=")</f>
        <v>#VALUE!</v>
      </c>
      <c r="HS77" t="e">
        <f>AND('UP133'!CN39,"AAAAACns7+I=")</f>
        <v>#VALUE!</v>
      </c>
      <c r="HT77" t="e">
        <f>AND('UP133'!CO39,"AAAAACns7+M=")</f>
        <v>#VALUE!</v>
      </c>
      <c r="HU77" t="e">
        <f>AND('UP133'!CP39,"AAAAACns7+Q=")</f>
        <v>#VALUE!</v>
      </c>
      <c r="HV77" t="e">
        <f>AND('UP133'!CQ39,"AAAAACns7+U=")</f>
        <v>#VALUE!</v>
      </c>
      <c r="HW77" t="e">
        <f>AND('UP133'!CR39,"AAAAACns7+Y=")</f>
        <v>#VALUE!</v>
      </c>
      <c r="HX77" t="e">
        <f>AND('UP133'!CS39,"AAAAACns7+c=")</f>
        <v>#VALUE!</v>
      </c>
      <c r="HY77" t="e">
        <f>AND('UP133'!CT39,"AAAAACns7+g=")</f>
        <v>#VALUE!</v>
      </c>
      <c r="HZ77" t="e">
        <f>AND('UP133'!CU39,"AAAAACns7+k=")</f>
        <v>#VALUE!</v>
      </c>
      <c r="IA77" t="e">
        <f>AND('UP133'!CV39,"AAAAACns7+o=")</f>
        <v>#VALUE!</v>
      </c>
      <c r="IB77" t="e">
        <f>AND('UP133'!CW39,"AAAAACns7+s=")</f>
        <v>#VALUE!</v>
      </c>
      <c r="IC77" t="e">
        <f>AND('UP133'!CX39,"AAAAACns7+w=")</f>
        <v>#VALUE!</v>
      </c>
      <c r="ID77" t="e">
        <f>AND('UP133'!CY39,"AAAAACns7+0=")</f>
        <v>#VALUE!</v>
      </c>
      <c r="IE77" t="e">
        <f>AND('UP133'!CZ39,"AAAAACns7+4=")</f>
        <v>#VALUE!</v>
      </c>
      <c r="IF77" t="e">
        <f>AND('UP133'!DA39,"AAAAACns7+8=")</f>
        <v>#VALUE!</v>
      </c>
      <c r="IG77" t="e">
        <f>AND('UP133'!DB39,"AAAAACns7/A=")</f>
        <v>#VALUE!</v>
      </c>
      <c r="IH77" t="e">
        <f>AND('UP133'!DC39,"AAAAACns7/E=")</f>
        <v>#VALUE!</v>
      </c>
      <c r="II77" t="e">
        <f>AND('UP133'!DD39,"AAAAACns7/I=")</f>
        <v>#VALUE!</v>
      </c>
      <c r="IJ77" t="e">
        <f>AND('UP133'!DE39,"AAAAACns7/M=")</f>
        <v>#VALUE!</v>
      </c>
      <c r="IK77" t="e">
        <f>AND('UP133'!DF39,"AAAAACns7/Q=")</f>
        <v>#VALUE!</v>
      </c>
      <c r="IL77" t="e">
        <f>AND('UP133'!DG39,"AAAAACns7/U=")</f>
        <v>#VALUE!</v>
      </c>
      <c r="IM77" t="e">
        <f>AND('UP133'!DH39,"AAAAACns7/Y=")</f>
        <v>#VALUE!</v>
      </c>
      <c r="IN77" t="e">
        <f>AND('UP133'!DI39,"AAAAACns7/c=")</f>
        <v>#VALUE!</v>
      </c>
      <c r="IO77" t="e">
        <f>AND('UP133'!DJ39,"AAAAACns7/g=")</f>
        <v>#VALUE!</v>
      </c>
      <c r="IP77" t="e">
        <f>AND('UP133'!DK39,"AAAAACns7/k=")</f>
        <v>#VALUE!</v>
      </c>
      <c r="IQ77" t="e">
        <f>AND('UP133'!DL39,"AAAAACns7/o=")</f>
        <v>#VALUE!</v>
      </c>
      <c r="IR77" t="e">
        <f>AND('UP133'!DM39,"AAAAACns7/s=")</f>
        <v>#VALUE!</v>
      </c>
      <c r="IS77" t="e">
        <f>AND('UP133'!DN39,"AAAAACns7/w=")</f>
        <v>#VALUE!</v>
      </c>
      <c r="IT77" t="e">
        <f>AND('UP133'!DO39,"AAAAACns7/0=")</f>
        <v>#VALUE!</v>
      </c>
      <c r="IU77" t="e">
        <f>AND('UP133'!DP39,"AAAAACns7/4=")</f>
        <v>#VALUE!</v>
      </c>
      <c r="IV77" t="e">
        <f>AND('UP133'!DQ39,"AAAAACns7/8=")</f>
        <v>#VALUE!</v>
      </c>
    </row>
    <row r="78" spans="1:256">
      <c r="A78" t="e">
        <f>AND('UP133'!DR39,"AAAAAG/3LQA=")</f>
        <v>#VALUE!</v>
      </c>
      <c r="B78" t="e">
        <f>AND('UP133'!DS39,"AAAAAG/3LQE=")</f>
        <v>#VALUE!</v>
      </c>
      <c r="C78" t="e">
        <f>AND('UP133'!DT39,"AAAAAG/3LQI=")</f>
        <v>#VALUE!</v>
      </c>
      <c r="D78" t="e">
        <f>AND('UP133'!DU39,"AAAAAG/3LQM=")</f>
        <v>#VALUE!</v>
      </c>
      <c r="E78" t="e">
        <f>AND('UP133'!DV39,"AAAAAG/3LQQ=")</f>
        <v>#VALUE!</v>
      </c>
      <c r="F78" t="e">
        <f>AND('UP133'!DW39,"AAAAAG/3LQU=")</f>
        <v>#VALUE!</v>
      </c>
      <c r="G78" t="e">
        <f>AND('UP133'!DX39,"AAAAAG/3LQY=")</f>
        <v>#VALUE!</v>
      </c>
      <c r="H78" t="e">
        <f>AND('UP133'!DY39,"AAAAAG/3LQc=")</f>
        <v>#VALUE!</v>
      </c>
      <c r="I78" t="e">
        <f>AND('UP133'!DZ39,"AAAAAG/3LQg=")</f>
        <v>#VALUE!</v>
      </c>
      <c r="J78" t="e">
        <f>AND('UP133'!EA39,"AAAAAG/3LQk=")</f>
        <v>#VALUE!</v>
      </c>
      <c r="K78" t="e">
        <f>AND('UP133'!EB39,"AAAAAG/3LQo=")</f>
        <v>#VALUE!</v>
      </c>
      <c r="L78" t="e">
        <f>AND('UP133'!EC39,"AAAAAG/3LQs=")</f>
        <v>#VALUE!</v>
      </c>
      <c r="M78" t="e">
        <f>AND('UP133'!ED39,"AAAAAG/3LQw=")</f>
        <v>#VALUE!</v>
      </c>
      <c r="N78" t="e">
        <f>AND('UP133'!EE39,"AAAAAG/3LQ0=")</f>
        <v>#VALUE!</v>
      </c>
      <c r="O78" t="e">
        <f>AND('UP133'!EF39,"AAAAAG/3LQ4=")</f>
        <v>#VALUE!</v>
      </c>
      <c r="P78" t="e">
        <f>AND('UP133'!EG39,"AAAAAG/3LQ8=")</f>
        <v>#VALUE!</v>
      </c>
      <c r="Q78" t="e">
        <f>AND('UP133'!EH39,"AAAAAG/3LRA=")</f>
        <v>#VALUE!</v>
      </c>
      <c r="R78" t="e">
        <f>AND('UP133'!EI39,"AAAAAG/3LRE=")</f>
        <v>#VALUE!</v>
      </c>
      <c r="S78" t="e">
        <f>AND('UP133'!EJ39,"AAAAAG/3LRI=")</f>
        <v>#VALUE!</v>
      </c>
      <c r="T78" t="e">
        <f>AND('UP133'!EK39,"AAAAAG/3LRM=")</f>
        <v>#VALUE!</v>
      </c>
      <c r="U78" t="e">
        <f>AND('UP133'!EL39,"AAAAAG/3LRQ=")</f>
        <v>#VALUE!</v>
      </c>
      <c r="V78" t="e">
        <f>AND('UP133'!EM39,"AAAAAG/3LRU=")</f>
        <v>#VALUE!</v>
      </c>
      <c r="W78" t="e">
        <f>AND('UP133'!EN39,"AAAAAG/3LRY=")</f>
        <v>#VALUE!</v>
      </c>
      <c r="X78" t="e">
        <f>AND('UP133'!EO39,"AAAAAG/3LRc=")</f>
        <v>#VALUE!</v>
      </c>
      <c r="Y78" t="e">
        <f>AND('UP133'!EP39,"AAAAAG/3LRg=")</f>
        <v>#VALUE!</v>
      </c>
      <c r="Z78" t="e">
        <f>AND('UP133'!EQ39,"AAAAAG/3LRk=")</f>
        <v>#VALUE!</v>
      </c>
      <c r="AA78" t="e">
        <f>AND('UP133'!ER39,"AAAAAG/3LRo=")</f>
        <v>#VALUE!</v>
      </c>
      <c r="AB78" t="e">
        <f>AND('UP133'!ES39,"AAAAAG/3LRs=")</f>
        <v>#VALUE!</v>
      </c>
      <c r="AC78" t="e">
        <f>AND('UP133'!ET39,"AAAAAG/3LRw=")</f>
        <v>#VALUE!</v>
      </c>
      <c r="AD78" t="e">
        <f>AND('UP133'!EU39,"AAAAAG/3LR0=")</f>
        <v>#VALUE!</v>
      </c>
      <c r="AE78" t="e">
        <f>AND('UP133'!EV39,"AAAAAG/3LR4=")</f>
        <v>#VALUE!</v>
      </c>
      <c r="AF78" t="e">
        <f>AND('UP133'!EW39,"AAAAAG/3LR8=")</f>
        <v>#VALUE!</v>
      </c>
      <c r="AG78" t="e">
        <f>AND('UP133'!EX39,"AAAAAG/3LSA=")</f>
        <v>#VALUE!</v>
      </c>
      <c r="AH78" t="e">
        <f>AND('UP133'!EY39,"AAAAAG/3LSE=")</f>
        <v>#VALUE!</v>
      </c>
      <c r="AI78" t="e">
        <f>AND('UP133'!EZ39,"AAAAAG/3LSI=")</f>
        <v>#VALUE!</v>
      </c>
      <c r="AJ78" t="e">
        <f>AND('UP133'!FA39,"AAAAAG/3LSM=")</f>
        <v>#VALUE!</v>
      </c>
      <c r="AK78" t="e">
        <f>AND('UP133'!FB39,"AAAAAG/3LSQ=")</f>
        <v>#VALUE!</v>
      </c>
      <c r="AL78" t="e">
        <f>AND('UP133'!FC39,"AAAAAG/3LSU=")</f>
        <v>#VALUE!</v>
      </c>
      <c r="AM78" t="e">
        <f>AND('UP133'!FD39,"AAAAAG/3LSY=")</f>
        <v>#VALUE!</v>
      </c>
      <c r="AN78" t="e">
        <f>AND('UP133'!FE39,"AAAAAG/3LSc=")</f>
        <v>#VALUE!</v>
      </c>
      <c r="AO78" t="e">
        <f>AND('UP133'!FF39,"AAAAAG/3LSg=")</f>
        <v>#VALUE!</v>
      </c>
      <c r="AP78" t="e">
        <f>AND('UP133'!FG39,"AAAAAG/3LSk=")</f>
        <v>#VALUE!</v>
      </c>
      <c r="AQ78" t="e">
        <f>AND('UP133'!FH39,"AAAAAG/3LSo=")</f>
        <v>#VALUE!</v>
      </c>
      <c r="AR78" t="e">
        <f>AND('UP133'!FI39,"AAAAAG/3LSs=")</f>
        <v>#VALUE!</v>
      </c>
      <c r="AS78" t="e">
        <f>AND('UP133'!FJ39,"AAAAAG/3LSw=")</f>
        <v>#VALUE!</v>
      </c>
      <c r="AT78" t="e">
        <f>AND('UP133'!FK39,"AAAAAG/3LS0=")</f>
        <v>#VALUE!</v>
      </c>
      <c r="AU78" t="e">
        <f>AND('UP133'!FL39,"AAAAAG/3LS4=")</f>
        <v>#VALUE!</v>
      </c>
      <c r="AV78" t="e">
        <f>AND('UP133'!FM39,"AAAAAG/3LS8=")</f>
        <v>#VALUE!</v>
      </c>
      <c r="AW78" t="e">
        <f>AND('UP133'!FN39,"AAAAAG/3LTA=")</f>
        <v>#VALUE!</v>
      </c>
      <c r="AX78" t="e">
        <f>AND('UP133'!FO39,"AAAAAG/3LTE=")</f>
        <v>#VALUE!</v>
      </c>
      <c r="AY78" t="e">
        <f>AND('UP133'!FP39,"AAAAAG/3LTI=")</f>
        <v>#VALUE!</v>
      </c>
      <c r="AZ78" t="e">
        <f>AND('UP133'!FQ39,"AAAAAG/3LTM=")</f>
        <v>#VALUE!</v>
      </c>
      <c r="BA78" t="e">
        <f>AND('UP133'!FR39,"AAAAAG/3LTQ=")</f>
        <v>#VALUE!</v>
      </c>
      <c r="BB78" t="e">
        <f>AND('UP133'!FS39,"AAAAAG/3LTU=")</f>
        <v>#VALUE!</v>
      </c>
      <c r="BC78" t="e">
        <f>AND('UP133'!FT39,"AAAAAG/3LTY=")</f>
        <v>#VALUE!</v>
      </c>
      <c r="BD78" t="e">
        <f>AND('UP133'!FU39,"AAAAAG/3LTc=")</f>
        <v>#VALUE!</v>
      </c>
      <c r="BE78" t="e">
        <f>AND('UP133'!FV39,"AAAAAG/3LTg=")</f>
        <v>#VALUE!</v>
      </c>
      <c r="BF78" t="e">
        <f>AND('UP133'!FW39,"AAAAAG/3LTk=")</f>
        <v>#VALUE!</v>
      </c>
      <c r="BG78" t="e">
        <f>AND('UP133'!FX39,"AAAAAG/3LTo=")</f>
        <v>#VALUE!</v>
      </c>
      <c r="BH78" t="e">
        <f>AND('UP133'!FY39,"AAAAAG/3LTs=")</f>
        <v>#VALUE!</v>
      </c>
      <c r="BI78" t="e">
        <f>AND('UP133'!FZ39,"AAAAAG/3LTw=")</f>
        <v>#VALUE!</v>
      </c>
      <c r="BJ78" t="e">
        <f>AND('UP133'!GA39,"AAAAAG/3LT0=")</f>
        <v>#VALUE!</v>
      </c>
      <c r="BK78" t="e">
        <f>AND('UP133'!GB39,"AAAAAG/3LT4=")</f>
        <v>#VALUE!</v>
      </c>
      <c r="BL78" t="e">
        <f>AND('UP133'!GC39,"AAAAAG/3LT8=")</f>
        <v>#VALUE!</v>
      </c>
      <c r="BM78" t="e">
        <f>AND('UP133'!GD39,"AAAAAG/3LUA=")</f>
        <v>#VALUE!</v>
      </c>
      <c r="BN78" t="e">
        <f>AND('UP133'!GE39,"AAAAAG/3LUE=")</f>
        <v>#VALUE!</v>
      </c>
      <c r="BO78" t="e">
        <f>AND('UP133'!GF39,"AAAAAG/3LUI=")</f>
        <v>#VALUE!</v>
      </c>
      <c r="BP78" t="e">
        <f>AND('UP133'!GG39,"AAAAAG/3LUM=")</f>
        <v>#VALUE!</v>
      </c>
      <c r="BQ78" t="e">
        <f>AND('UP133'!GH39,"AAAAAG/3LUQ=")</f>
        <v>#VALUE!</v>
      </c>
      <c r="BR78" t="e">
        <f>AND('UP133'!GI39,"AAAAAG/3LUU=")</f>
        <v>#VALUE!</v>
      </c>
      <c r="BS78" t="e">
        <f>AND('UP133'!GJ39,"AAAAAG/3LUY=")</f>
        <v>#VALUE!</v>
      </c>
      <c r="BT78" t="e">
        <f>AND('UP133'!GK39,"AAAAAG/3LUc=")</f>
        <v>#VALUE!</v>
      </c>
      <c r="BU78" t="e">
        <f>AND('UP133'!GL39,"AAAAAG/3LUg=")</f>
        <v>#VALUE!</v>
      </c>
      <c r="BV78" t="e">
        <f>AND('UP133'!GM39,"AAAAAG/3LUk=")</f>
        <v>#VALUE!</v>
      </c>
      <c r="BW78" t="e">
        <f>AND('UP133'!GN39,"AAAAAG/3LUo=")</f>
        <v>#VALUE!</v>
      </c>
      <c r="BX78" t="e">
        <f>AND('UP133'!GO39,"AAAAAG/3LUs=")</f>
        <v>#VALUE!</v>
      </c>
      <c r="BY78" t="e">
        <f>AND('UP133'!GP39,"AAAAAG/3LUw=")</f>
        <v>#VALUE!</v>
      </c>
      <c r="BZ78" t="e">
        <f>AND('UP133'!GQ39,"AAAAAG/3LU0=")</f>
        <v>#VALUE!</v>
      </c>
      <c r="CA78" t="e">
        <f>AND('UP133'!GR39,"AAAAAG/3LU4=")</f>
        <v>#VALUE!</v>
      </c>
      <c r="CB78" t="e">
        <f>AND('UP133'!GS39,"AAAAAG/3LU8=")</f>
        <v>#VALUE!</v>
      </c>
      <c r="CC78" t="e">
        <f>AND('UP133'!GT39,"AAAAAG/3LVA=")</f>
        <v>#VALUE!</v>
      </c>
      <c r="CD78" t="e">
        <f>AND('UP133'!GU39,"AAAAAG/3LVE=")</f>
        <v>#VALUE!</v>
      </c>
      <c r="CE78" t="e">
        <f>AND('UP133'!GV39,"AAAAAG/3LVI=")</f>
        <v>#VALUE!</v>
      </c>
      <c r="CF78" t="e">
        <f>AND('UP133'!GW39,"AAAAAG/3LVM=")</f>
        <v>#VALUE!</v>
      </c>
      <c r="CG78" t="e">
        <f>AND('UP133'!GX39,"AAAAAG/3LVQ=")</f>
        <v>#VALUE!</v>
      </c>
      <c r="CH78" t="e">
        <f>AND('UP133'!GY39,"AAAAAG/3LVU=")</f>
        <v>#VALUE!</v>
      </c>
      <c r="CI78" t="e">
        <f>AND('UP133'!GZ39,"AAAAAG/3LVY=")</f>
        <v>#VALUE!</v>
      </c>
      <c r="CJ78" t="e">
        <f>AND('UP133'!HA39,"AAAAAG/3LVc=")</f>
        <v>#VALUE!</v>
      </c>
      <c r="CK78" t="e">
        <f>AND('UP133'!HB39,"AAAAAG/3LVg=")</f>
        <v>#VALUE!</v>
      </c>
      <c r="CL78" t="e">
        <f>AND('UP133'!HC39,"AAAAAG/3LVk=")</f>
        <v>#VALUE!</v>
      </c>
      <c r="CM78" t="e">
        <f>AND('UP133'!HD39,"AAAAAG/3LVo=")</f>
        <v>#VALUE!</v>
      </c>
      <c r="CN78" t="e">
        <f>AND('UP133'!HE39,"AAAAAG/3LVs=")</f>
        <v>#VALUE!</v>
      </c>
      <c r="CO78" t="e">
        <f>AND('UP133'!HF39,"AAAAAG/3LVw=")</f>
        <v>#VALUE!</v>
      </c>
      <c r="CP78" t="e">
        <f>AND('UP133'!HG39,"AAAAAG/3LV0=")</f>
        <v>#VALUE!</v>
      </c>
      <c r="CQ78" t="e">
        <f>AND('UP133'!HH39,"AAAAAG/3LV4=")</f>
        <v>#VALUE!</v>
      </c>
      <c r="CR78" t="e">
        <f>AND('UP133'!HI39,"AAAAAG/3LV8=")</f>
        <v>#VALUE!</v>
      </c>
      <c r="CS78" t="e">
        <f>AND('UP133'!HJ39,"AAAAAG/3LWA=")</f>
        <v>#VALUE!</v>
      </c>
      <c r="CT78" t="e">
        <f>AND('UP133'!HK39,"AAAAAG/3LWE=")</f>
        <v>#VALUE!</v>
      </c>
      <c r="CU78" t="e">
        <f>AND('UP133'!HL39,"AAAAAG/3LWI=")</f>
        <v>#VALUE!</v>
      </c>
      <c r="CV78" t="e">
        <f>AND('UP133'!HM39,"AAAAAG/3LWM=")</f>
        <v>#VALUE!</v>
      </c>
      <c r="CW78" t="e">
        <f>AND('UP133'!HN39,"AAAAAG/3LWQ=")</f>
        <v>#VALUE!</v>
      </c>
      <c r="CX78" t="e">
        <f>AND('UP133'!HO39,"AAAAAG/3LWU=")</f>
        <v>#VALUE!</v>
      </c>
      <c r="CY78" t="e">
        <f>AND('UP133'!HP39,"AAAAAG/3LWY=")</f>
        <v>#VALUE!</v>
      </c>
      <c r="CZ78" t="e">
        <f>AND('UP133'!HQ39,"AAAAAG/3LWc=")</f>
        <v>#VALUE!</v>
      </c>
      <c r="DA78" t="e">
        <f>AND('UP133'!HR39,"AAAAAG/3LWg=")</f>
        <v>#VALUE!</v>
      </c>
      <c r="DB78" t="e">
        <f>AND('UP133'!HS39,"AAAAAG/3LWk=")</f>
        <v>#VALUE!</v>
      </c>
      <c r="DC78" t="e">
        <f>AND('UP133'!HT39,"AAAAAG/3LWo=")</f>
        <v>#VALUE!</v>
      </c>
      <c r="DD78" t="e">
        <f>AND('UP133'!HU39,"AAAAAG/3LWs=")</f>
        <v>#VALUE!</v>
      </c>
      <c r="DE78" t="e">
        <f>AND('UP133'!HV39,"AAAAAG/3LWw=")</f>
        <v>#VALUE!</v>
      </c>
      <c r="DF78" t="e">
        <f>AND('UP133'!HW39,"AAAAAG/3LW0=")</f>
        <v>#VALUE!</v>
      </c>
      <c r="DG78" t="e">
        <f>AND('UP133'!HX39,"AAAAAG/3LW4=")</f>
        <v>#VALUE!</v>
      </c>
      <c r="DH78" t="e">
        <f>AND('UP133'!HY39,"AAAAAG/3LW8=")</f>
        <v>#VALUE!</v>
      </c>
      <c r="DI78" t="e">
        <f>AND('UP133'!HZ39,"AAAAAG/3LXA=")</f>
        <v>#VALUE!</v>
      </c>
      <c r="DJ78" t="e">
        <f>AND('UP133'!IA39,"AAAAAG/3LXE=")</f>
        <v>#VALUE!</v>
      </c>
      <c r="DK78" t="e">
        <f>AND('UP133'!IB39,"AAAAAG/3LXI=")</f>
        <v>#VALUE!</v>
      </c>
      <c r="DL78" t="e">
        <f>AND('UP133'!IC39,"AAAAAG/3LXM=")</f>
        <v>#VALUE!</v>
      </c>
      <c r="DM78" t="e">
        <f>AND('UP133'!ID39,"AAAAAG/3LXQ=")</f>
        <v>#VALUE!</v>
      </c>
      <c r="DN78" t="e">
        <f>AND('UP133'!IE39,"AAAAAG/3LXU=")</f>
        <v>#VALUE!</v>
      </c>
      <c r="DO78" t="e">
        <f>AND('UP133'!IF39,"AAAAAG/3LXY=")</f>
        <v>#VALUE!</v>
      </c>
      <c r="DP78" t="e">
        <f>AND('UP133'!IG39,"AAAAAG/3LXc=")</f>
        <v>#VALUE!</v>
      </c>
      <c r="DQ78" t="e">
        <f>AND('UP133'!IH39,"AAAAAG/3LXg=")</f>
        <v>#VALUE!</v>
      </c>
      <c r="DR78" t="e">
        <f>AND('UP133'!II39,"AAAAAG/3LXk=")</f>
        <v>#VALUE!</v>
      </c>
      <c r="DS78" t="e">
        <f>AND('UP133'!IJ39,"AAAAAG/3LXo=")</f>
        <v>#VALUE!</v>
      </c>
      <c r="DT78" t="e">
        <f>AND('UP133'!IK39,"AAAAAG/3LXs=")</f>
        <v>#VALUE!</v>
      </c>
      <c r="DU78" t="e">
        <f>AND('UP133'!IL39,"AAAAAG/3LXw=")</f>
        <v>#VALUE!</v>
      </c>
      <c r="DV78" t="e">
        <f>AND('UP133'!IM39,"AAAAAG/3LX0=")</f>
        <v>#VALUE!</v>
      </c>
      <c r="DW78" t="e">
        <f>AND('UP133'!IN39,"AAAAAG/3LX4=")</f>
        <v>#VALUE!</v>
      </c>
      <c r="DX78" t="e">
        <f>AND('UP133'!IO39,"AAAAAG/3LX8=")</f>
        <v>#VALUE!</v>
      </c>
      <c r="DY78" t="e">
        <f>AND('UP133'!IP39,"AAAAAG/3LYA=")</f>
        <v>#VALUE!</v>
      </c>
      <c r="DZ78" t="e">
        <f>AND('UP133'!IQ39,"AAAAAG/3LYE=")</f>
        <v>#VALUE!</v>
      </c>
      <c r="EA78">
        <f>IF('UP133'!40:40,"AAAAAG/3LYI=",0)</f>
        <v>0</v>
      </c>
      <c r="EB78" t="e">
        <f>AND('UP133'!A40,"AAAAAG/3LYM=")</f>
        <v>#VALUE!</v>
      </c>
      <c r="EC78" t="e">
        <f>AND('UP133'!B40,"AAAAAG/3LYQ=")</f>
        <v>#VALUE!</v>
      </c>
      <c r="ED78" t="e">
        <f>AND('UP133'!C40,"AAAAAG/3LYU=")</f>
        <v>#VALUE!</v>
      </c>
      <c r="EE78" t="e">
        <f>AND('UP133'!D40,"AAAAAG/3LYY=")</f>
        <v>#VALUE!</v>
      </c>
      <c r="EF78" t="e">
        <f>AND('UP133'!E40,"AAAAAG/3LYc=")</f>
        <v>#VALUE!</v>
      </c>
      <c r="EG78" t="e">
        <f>AND('UP133'!F40,"AAAAAG/3LYg=")</f>
        <v>#VALUE!</v>
      </c>
      <c r="EH78" t="e">
        <f>AND('UP133'!G40,"AAAAAG/3LYk=")</f>
        <v>#VALUE!</v>
      </c>
      <c r="EI78" t="e">
        <f>AND('UP133'!H40,"AAAAAG/3LYo=")</f>
        <v>#VALUE!</v>
      </c>
      <c r="EJ78" t="e">
        <f>AND('UP133'!I40,"AAAAAG/3LYs=")</f>
        <v>#VALUE!</v>
      </c>
      <c r="EK78" t="e">
        <f>AND('UP133'!J40,"AAAAAG/3LYw=")</f>
        <v>#VALUE!</v>
      </c>
      <c r="EL78" t="e">
        <f>AND('UP133'!K40,"AAAAAG/3LY0=")</f>
        <v>#VALUE!</v>
      </c>
      <c r="EM78" t="e">
        <f>AND('UP133'!L40,"AAAAAG/3LY4=")</f>
        <v>#VALUE!</v>
      </c>
      <c r="EN78" t="e">
        <f>AND('UP133'!M40,"AAAAAG/3LY8=")</f>
        <v>#VALUE!</v>
      </c>
      <c r="EO78" t="e">
        <f>AND('UP133'!N40,"AAAAAG/3LZA=")</f>
        <v>#VALUE!</v>
      </c>
      <c r="EP78" t="e">
        <f>AND('UP133'!O40,"AAAAAG/3LZE=")</f>
        <v>#VALUE!</v>
      </c>
      <c r="EQ78" t="e">
        <f>AND('UP133'!P40,"AAAAAG/3LZI=")</f>
        <v>#VALUE!</v>
      </c>
      <c r="ER78" t="e">
        <f>AND('UP133'!Q40,"AAAAAG/3LZM=")</f>
        <v>#VALUE!</v>
      </c>
      <c r="ES78" t="e">
        <f>AND('UP133'!R40,"AAAAAG/3LZQ=")</f>
        <v>#VALUE!</v>
      </c>
      <c r="ET78" t="e">
        <f>AND('UP133'!S40,"AAAAAG/3LZU=")</f>
        <v>#VALUE!</v>
      </c>
      <c r="EU78" t="e">
        <f>AND('UP133'!T40,"AAAAAG/3LZY=")</f>
        <v>#VALUE!</v>
      </c>
      <c r="EV78" t="e">
        <f>AND('UP133'!U40,"AAAAAG/3LZc=")</f>
        <v>#VALUE!</v>
      </c>
      <c r="EW78" t="e">
        <f>AND('UP133'!V40,"AAAAAG/3LZg=")</f>
        <v>#VALUE!</v>
      </c>
      <c r="EX78" t="e">
        <f>AND('UP133'!W40,"AAAAAG/3LZk=")</f>
        <v>#VALUE!</v>
      </c>
      <c r="EY78" t="e">
        <f>AND('UP133'!X40,"AAAAAG/3LZo=")</f>
        <v>#VALUE!</v>
      </c>
      <c r="EZ78" t="e">
        <f>AND('UP133'!Y40,"AAAAAG/3LZs=")</f>
        <v>#VALUE!</v>
      </c>
      <c r="FA78" t="e">
        <f>AND('UP133'!Z40,"AAAAAG/3LZw=")</f>
        <v>#VALUE!</v>
      </c>
      <c r="FB78" t="e">
        <f>AND('UP133'!AA40,"AAAAAG/3LZ0=")</f>
        <v>#VALUE!</v>
      </c>
      <c r="FC78" t="e">
        <f>AND('UP133'!AB40,"AAAAAG/3LZ4=")</f>
        <v>#VALUE!</v>
      </c>
      <c r="FD78" t="e">
        <f>AND('UP133'!AC40,"AAAAAG/3LZ8=")</f>
        <v>#VALUE!</v>
      </c>
      <c r="FE78" t="e">
        <f>AND('UP133'!AD40,"AAAAAG/3LaA=")</f>
        <v>#VALUE!</v>
      </c>
      <c r="FF78" t="e">
        <f>AND('UP133'!AE40,"AAAAAG/3LaE=")</f>
        <v>#VALUE!</v>
      </c>
      <c r="FG78" t="e">
        <f>AND('UP133'!AF40,"AAAAAG/3LaI=")</f>
        <v>#VALUE!</v>
      </c>
      <c r="FH78" t="e">
        <f>AND('UP133'!AG40,"AAAAAG/3LaM=")</f>
        <v>#VALUE!</v>
      </c>
      <c r="FI78" t="e">
        <f>AND('UP133'!AH40,"AAAAAG/3LaQ=")</f>
        <v>#VALUE!</v>
      </c>
      <c r="FJ78" t="e">
        <f>AND('UP133'!AI40,"AAAAAG/3LaU=")</f>
        <v>#VALUE!</v>
      </c>
      <c r="FK78" t="e">
        <f>AND('UP133'!AJ40,"AAAAAG/3LaY=")</f>
        <v>#VALUE!</v>
      </c>
      <c r="FL78" t="e">
        <f>AND('UP133'!AK40,"AAAAAG/3Lac=")</f>
        <v>#VALUE!</v>
      </c>
      <c r="FM78" t="e">
        <f>AND('UP133'!AL40,"AAAAAG/3Lag=")</f>
        <v>#VALUE!</v>
      </c>
      <c r="FN78" t="e">
        <f>AND('UP133'!AM40,"AAAAAG/3Lak=")</f>
        <v>#VALUE!</v>
      </c>
      <c r="FO78" t="e">
        <f>AND('UP133'!AN40,"AAAAAG/3Lao=")</f>
        <v>#VALUE!</v>
      </c>
      <c r="FP78" t="e">
        <f>AND('UP133'!AO40,"AAAAAG/3Las=")</f>
        <v>#VALUE!</v>
      </c>
      <c r="FQ78" t="e">
        <f>AND('UP133'!AP40,"AAAAAG/3Law=")</f>
        <v>#VALUE!</v>
      </c>
      <c r="FR78" t="e">
        <f>AND('UP133'!AQ40,"AAAAAG/3La0=")</f>
        <v>#VALUE!</v>
      </c>
      <c r="FS78" t="e">
        <f>AND('UP133'!AR40,"AAAAAG/3La4=")</f>
        <v>#VALUE!</v>
      </c>
      <c r="FT78" t="e">
        <f>AND('UP133'!AS40,"AAAAAG/3La8=")</f>
        <v>#VALUE!</v>
      </c>
      <c r="FU78" t="e">
        <f>AND('UP133'!AT40,"AAAAAG/3LbA=")</f>
        <v>#VALUE!</v>
      </c>
      <c r="FV78" t="e">
        <f>AND('UP133'!AU40,"AAAAAG/3LbE=")</f>
        <v>#VALUE!</v>
      </c>
      <c r="FW78" t="e">
        <f>AND('UP133'!AV40,"AAAAAG/3LbI=")</f>
        <v>#VALUE!</v>
      </c>
      <c r="FX78" t="e">
        <f>AND('UP133'!AW40,"AAAAAG/3LbM=")</f>
        <v>#VALUE!</v>
      </c>
      <c r="FY78" t="e">
        <f>AND('UP133'!AX40,"AAAAAG/3LbQ=")</f>
        <v>#VALUE!</v>
      </c>
      <c r="FZ78" t="e">
        <f>AND('UP133'!AY40,"AAAAAG/3LbU=")</f>
        <v>#VALUE!</v>
      </c>
      <c r="GA78" t="e">
        <f>AND('UP133'!AZ40,"AAAAAG/3LbY=")</f>
        <v>#VALUE!</v>
      </c>
      <c r="GB78" t="e">
        <f>AND('UP133'!BA40,"AAAAAG/3Lbc=")</f>
        <v>#VALUE!</v>
      </c>
      <c r="GC78" t="e">
        <f>AND('UP133'!BB40,"AAAAAG/3Lbg=")</f>
        <v>#VALUE!</v>
      </c>
      <c r="GD78" t="e">
        <f>AND('UP133'!BC40,"AAAAAG/3Lbk=")</f>
        <v>#VALUE!</v>
      </c>
      <c r="GE78" t="e">
        <f>AND('UP133'!BD40,"AAAAAG/3Lbo=")</f>
        <v>#VALUE!</v>
      </c>
      <c r="GF78" t="e">
        <f>AND('UP133'!BE40,"AAAAAG/3Lbs=")</f>
        <v>#VALUE!</v>
      </c>
      <c r="GG78" t="e">
        <f>AND('UP133'!BF40,"AAAAAG/3Lbw=")</f>
        <v>#VALUE!</v>
      </c>
      <c r="GH78" t="e">
        <f>AND('UP133'!BG40,"AAAAAG/3Lb0=")</f>
        <v>#VALUE!</v>
      </c>
      <c r="GI78" t="e">
        <f>AND('UP133'!BH40,"AAAAAG/3Lb4=")</f>
        <v>#VALUE!</v>
      </c>
      <c r="GJ78" t="e">
        <f>AND('UP133'!BI40,"AAAAAG/3Lb8=")</f>
        <v>#VALUE!</v>
      </c>
      <c r="GK78" t="e">
        <f>AND('UP133'!BJ40,"AAAAAG/3LcA=")</f>
        <v>#VALUE!</v>
      </c>
      <c r="GL78" t="e">
        <f>AND('UP133'!BK40,"AAAAAG/3LcE=")</f>
        <v>#VALUE!</v>
      </c>
      <c r="GM78" t="e">
        <f>AND('UP133'!BL40,"AAAAAG/3LcI=")</f>
        <v>#VALUE!</v>
      </c>
      <c r="GN78" t="e">
        <f>AND('UP133'!BM40,"AAAAAG/3LcM=")</f>
        <v>#VALUE!</v>
      </c>
      <c r="GO78" t="e">
        <f>AND('UP133'!BN40,"AAAAAG/3LcQ=")</f>
        <v>#VALUE!</v>
      </c>
      <c r="GP78" t="e">
        <f>AND('UP133'!BO40,"AAAAAG/3LcU=")</f>
        <v>#VALUE!</v>
      </c>
      <c r="GQ78" t="e">
        <f>AND('UP133'!BP40,"AAAAAG/3LcY=")</f>
        <v>#VALUE!</v>
      </c>
      <c r="GR78" t="e">
        <f>AND('UP133'!BQ40,"AAAAAG/3Lcc=")</f>
        <v>#VALUE!</v>
      </c>
      <c r="GS78" t="e">
        <f>AND('UP133'!BR40,"AAAAAG/3Lcg=")</f>
        <v>#VALUE!</v>
      </c>
      <c r="GT78" t="e">
        <f>AND('UP133'!BS40,"AAAAAG/3Lck=")</f>
        <v>#VALUE!</v>
      </c>
      <c r="GU78" t="e">
        <f>AND('UP133'!BT40,"AAAAAG/3Lco=")</f>
        <v>#VALUE!</v>
      </c>
      <c r="GV78" t="e">
        <f>AND('UP133'!BU40,"AAAAAG/3Lcs=")</f>
        <v>#VALUE!</v>
      </c>
      <c r="GW78" t="e">
        <f>AND('UP133'!BV40,"AAAAAG/3Lcw=")</f>
        <v>#VALUE!</v>
      </c>
      <c r="GX78" t="e">
        <f>AND('UP133'!BW40,"AAAAAG/3Lc0=")</f>
        <v>#VALUE!</v>
      </c>
      <c r="GY78" t="e">
        <f>AND('UP133'!BX40,"AAAAAG/3Lc4=")</f>
        <v>#VALUE!</v>
      </c>
      <c r="GZ78" t="e">
        <f>AND('UP133'!BY40,"AAAAAG/3Lc8=")</f>
        <v>#VALUE!</v>
      </c>
      <c r="HA78" t="e">
        <f>AND('UP133'!BZ40,"AAAAAG/3LdA=")</f>
        <v>#VALUE!</v>
      </c>
      <c r="HB78" t="e">
        <f>AND('UP133'!CA40,"AAAAAG/3LdE=")</f>
        <v>#VALUE!</v>
      </c>
      <c r="HC78" t="e">
        <f>AND('UP133'!CB40,"AAAAAG/3LdI=")</f>
        <v>#VALUE!</v>
      </c>
      <c r="HD78" t="e">
        <f>AND('UP133'!CC40,"AAAAAG/3LdM=")</f>
        <v>#VALUE!</v>
      </c>
      <c r="HE78" t="e">
        <f>AND('UP133'!CD40,"AAAAAG/3LdQ=")</f>
        <v>#VALUE!</v>
      </c>
      <c r="HF78" t="e">
        <f>AND('UP133'!CE40,"AAAAAG/3LdU=")</f>
        <v>#VALUE!</v>
      </c>
      <c r="HG78" t="e">
        <f>AND('UP133'!CF40,"AAAAAG/3LdY=")</f>
        <v>#VALUE!</v>
      </c>
      <c r="HH78" t="e">
        <f>AND('UP133'!CG40,"AAAAAG/3Ldc=")</f>
        <v>#VALUE!</v>
      </c>
      <c r="HI78" t="e">
        <f>AND('UP133'!CH40,"AAAAAG/3Ldg=")</f>
        <v>#VALUE!</v>
      </c>
      <c r="HJ78" t="e">
        <f>AND('UP133'!CI40,"AAAAAG/3Ldk=")</f>
        <v>#VALUE!</v>
      </c>
      <c r="HK78" t="e">
        <f>AND('UP133'!CJ40,"AAAAAG/3Ldo=")</f>
        <v>#VALUE!</v>
      </c>
      <c r="HL78" t="e">
        <f>AND('UP133'!CK40,"AAAAAG/3Lds=")</f>
        <v>#VALUE!</v>
      </c>
      <c r="HM78" t="e">
        <f>AND('UP133'!CL40,"AAAAAG/3Ldw=")</f>
        <v>#VALUE!</v>
      </c>
      <c r="HN78" t="e">
        <f>AND('UP133'!CM40,"AAAAAG/3Ld0=")</f>
        <v>#VALUE!</v>
      </c>
      <c r="HO78" t="e">
        <f>AND('UP133'!CN40,"AAAAAG/3Ld4=")</f>
        <v>#VALUE!</v>
      </c>
      <c r="HP78" t="e">
        <f>AND('UP133'!CO40,"AAAAAG/3Ld8=")</f>
        <v>#VALUE!</v>
      </c>
      <c r="HQ78" t="e">
        <f>AND('UP133'!CP40,"AAAAAG/3LeA=")</f>
        <v>#VALUE!</v>
      </c>
      <c r="HR78" t="e">
        <f>AND('UP133'!CQ40,"AAAAAG/3LeE=")</f>
        <v>#VALUE!</v>
      </c>
      <c r="HS78" t="e">
        <f>AND('UP133'!CR40,"AAAAAG/3LeI=")</f>
        <v>#VALUE!</v>
      </c>
      <c r="HT78" t="e">
        <f>AND('UP133'!CS40,"AAAAAG/3LeM=")</f>
        <v>#VALUE!</v>
      </c>
      <c r="HU78" t="e">
        <f>AND('UP133'!CT40,"AAAAAG/3LeQ=")</f>
        <v>#VALUE!</v>
      </c>
      <c r="HV78" t="e">
        <f>AND('UP133'!CU40,"AAAAAG/3LeU=")</f>
        <v>#VALUE!</v>
      </c>
      <c r="HW78" t="e">
        <f>AND('UP133'!CV40,"AAAAAG/3LeY=")</f>
        <v>#VALUE!</v>
      </c>
      <c r="HX78" t="e">
        <f>AND('UP133'!CW40,"AAAAAG/3Lec=")</f>
        <v>#VALUE!</v>
      </c>
      <c r="HY78" t="e">
        <f>AND('UP133'!CX40,"AAAAAG/3Leg=")</f>
        <v>#VALUE!</v>
      </c>
      <c r="HZ78" t="e">
        <f>AND('UP133'!CY40,"AAAAAG/3Lek=")</f>
        <v>#VALUE!</v>
      </c>
      <c r="IA78" t="e">
        <f>AND('UP133'!CZ40,"AAAAAG/3Leo=")</f>
        <v>#VALUE!</v>
      </c>
      <c r="IB78" t="e">
        <f>AND('UP133'!DA40,"AAAAAG/3Les=")</f>
        <v>#VALUE!</v>
      </c>
      <c r="IC78" t="e">
        <f>AND('UP133'!DB40,"AAAAAG/3Lew=")</f>
        <v>#VALUE!</v>
      </c>
      <c r="ID78" t="e">
        <f>AND('UP133'!DC40,"AAAAAG/3Le0=")</f>
        <v>#VALUE!</v>
      </c>
      <c r="IE78" t="e">
        <f>AND('UP133'!DD40,"AAAAAG/3Le4=")</f>
        <v>#VALUE!</v>
      </c>
      <c r="IF78" t="e">
        <f>AND('UP133'!DE40,"AAAAAG/3Le8=")</f>
        <v>#VALUE!</v>
      </c>
      <c r="IG78" t="e">
        <f>AND('UP133'!DF40,"AAAAAG/3LfA=")</f>
        <v>#VALUE!</v>
      </c>
      <c r="IH78" t="e">
        <f>AND('UP133'!DG40,"AAAAAG/3LfE=")</f>
        <v>#VALUE!</v>
      </c>
      <c r="II78" t="e">
        <f>AND('UP133'!DH40,"AAAAAG/3LfI=")</f>
        <v>#VALUE!</v>
      </c>
      <c r="IJ78" t="e">
        <f>AND('UP133'!DI40,"AAAAAG/3LfM=")</f>
        <v>#VALUE!</v>
      </c>
      <c r="IK78" t="e">
        <f>AND('UP133'!DJ40,"AAAAAG/3LfQ=")</f>
        <v>#VALUE!</v>
      </c>
      <c r="IL78" t="e">
        <f>AND('UP133'!DK40,"AAAAAG/3LfU=")</f>
        <v>#VALUE!</v>
      </c>
      <c r="IM78" t="e">
        <f>AND('UP133'!DL40,"AAAAAG/3LfY=")</f>
        <v>#VALUE!</v>
      </c>
      <c r="IN78" t="e">
        <f>AND('UP133'!DM40,"AAAAAG/3Lfc=")</f>
        <v>#VALUE!</v>
      </c>
      <c r="IO78" t="e">
        <f>AND('UP133'!DN40,"AAAAAG/3Lfg=")</f>
        <v>#VALUE!</v>
      </c>
      <c r="IP78" t="e">
        <f>AND('UP133'!DO40,"AAAAAG/3Lfk=")</f>
        <v>#VALUE!</v>
      </c>
      <c r="IQ78" t="e">
        <f>AND('UP133'!DP40,"AAAAAG/3Lfo=")</f>
        <v>#VALUE!</v>
      </c>
      <c r="IR78" t="e">
        <f>AND('UP133'!DQ40,"AAAAAG/3Lfs=")</f>
        <v>#VALUE!</v>
      </c>
      <c r="IS78" t="e">
        <f>AND('UP133'!DR40,"AAAAAG/3Lfw=")</f>
        <v>#VALUE!</v>
      </c>
      <c r="IT78" t="e">
        <f>AND('UP133'!DS40,"AAAAAG/3Lf0=")</f>
        <v>#VALUE!</v>
      </c>
      <c r="IU78" t="e">
        <f>AND('UP133'!DT40,"AAAAAG/3Lf4=")</f>
        <v>#VALUE!</v>
      </c>
      <c r="IV78" t="e">
        <f>AND('UP133'!DU40,"AAAAAG/3Lf8=")</f>
        <v>#VALUE!</v>
      </c>
    </row>
    <row r="79" spans="1:256">
      <c r="A79" t="e">
        <f>AND('UP133'!DV40,"AAAAAH7f/gA=")</f>
        <v>#VALUE!</v>
      </c>
      <c r="B79" t="e">
        <f>AND('UP133'!DW40,"AAAAAH7f/gE=")</f>
        <v>#VALUE!</v>
      </c>
      <c r="C79" t="e">
        <f>AND('UP133'!DX40,"AAAAAH7f/gI=")</f>
        <v>#VALUE!</v>
      </c>
      <c r="D79" t="e">
        <f>AND('UP133'!DY40,"AAAAAH7f/gM=")</f>
        <v>#VALUE!</v>
      </c>
      <c r="E79" t="e">
        <f>AND('UP133'!DZ40,"AAAAAH7f/gQ=")</f>
        <v>#VALUE!</v>
      </c>
      <c r="F79" t="e">
        <f>AND('UP133'!EA40,"AAAAAH7f/gU=")</f>
        <v>#VALUE!</v>
      </c>
      <c r="G79" t="e">
        <f>AND('UP133'!EB40,"AAAAAH7f/gY=")</f>
        <v>#VALUE!</v>
      </c>
      <c r="H79" t="e">
        <f>AND('UP133'!EC40,"AAAAAH7f/gc=")</f>
        <v>#VALUE!</v>
      </c>
      <c r="I79" t="e">
        <f>AND('UP133'!ED40,"AAAAAH7f/gg=")</f>
        <v>#VALUE!</v>
      </c>
      <c r="J79" t="e">
        <f>AND('UP133'!EE40,"AAAAAH7f/gk=")</f>
        <v>#VALUE!</v>
      </c>
      <c r="K79" t="e">
        <f>AND('UP133'!EF40,"AAAAAH7f/go=")</f>
        <v>#VALUE!</v>
      </c>
      <c r="L79" t="e">
        <f>AND('UP133'!EG40,"AAAAAH7f/gs=")</f>
        <v>#VALUE!</v>
      </c>
      <c r="M79" t="e">
        <f>AND('UP133'!EH40,"AAAAAH7f/gw=")</f>
        <v>#VALUE!</v>
      </c>
      <c r="N79" t="e">
        <f>AND('UP133'!EI40,"AAAAAH7f/g0=")</f>
        <v>#VALUE!</v>
      </c>
      <c r="O79" t="e">
        <f>AND('UP133'!EJ40,"AAAAAH7f/g4=")</f>
        <v>#VALUE!</v>
      </c>
      <c r="P79" t="e">
        <f>AND('UP133'!EK40,"AAAAAH7f/g8=")</f>
        <v>#VALUE!</v>
      </c>
      <c r="Q79" t="e">
        <f>AND('UP133'!EL40,"AAAAAH7f/hA=")</f>
        <v>#VALUE!</v>
      </c>
      <c r="R79" t="e">
        <f>AND('UP133'!EM40,"AAAAAH7f/hE=")</f>
        <v>#VALUE!</v>
      </c>
      <c r="S79" t="e">
        <f>AND('UP133'!EN40,"AAAAAH7f/hI=")</f>
        <v>#VALUE!</v>
      </c>
      <c r="T79" t="e">
        <f>AND('UP133'!EO40,"AAAAAH7f/hM=")</f>
        <v>#VALUE!</v>
      </c>
      <c r="U79" t="e">
        <f>AND('UP133'!EP40,"AAAAAH7f/hQ=")</f>
        <v>#VALUE!</v>
      </c>
      <c r="V79" t="e">
        <f>AND('UP133'!EQ40,"AAAAAH7f/hU=")</f>
        <v>#VALUE!</v>
      </c>
      <c r="W79" t="e">
        <f>AND('UP133'!ER40,"AAAAAH7f/hY=")</f>
        <v>#VALUE!</v>
      </c>
      <c r="X79" t="e">
        <f>AND('UP133'!ES40,"AAAAAH7f/hc=")</f>
        <v>#VALUE!</v>
      </c>
      <c r="Y79" t="e">
        <f>AND('UP133'!ET40,"AAAAAH7f/hg=")</f>
        <v>#VALUE!</v>
      </c>
      <c r="Z79" t="e">
        <f>AND('UP133'!EU40,"AAAAAH7f/hk=")</f>
        <v>#VALUE!</v>
      </c>
      <c r="AA79" t="e">
        <f>AND('UP133'!EV40,"AAAAAH7f/ho=")</f>
        <v>#VALUE!</v>
      </c>
      <c r="AB79" t="e">
        <f>AND('UP133'!EW40,"AAAAAH7f/hs=")</f>
        <v>#VALUE!</v>
      </c>
      <c r="AC79" t="e">
        <f>AND('UP133'!EX40,"AAAAAH7f/hw=")</f>
        <v>#VALUE!</v>
      </c>
      <c r="AD79" t="e">
        <f>AND('UP133'!EY40,"AAAAAH7f/h0=")</f>
        <v>#VALUE!</v>
      </c>
      <c r="AE79" t="e">
        <f>AND('UP133'!EZ40,"AAAAAH7f/h4=")</f>
        <v>#VALUE!</v>
      </c>
      <c r="AF79" t="e">
        <f>AND('UP133'!FA40,"AAAAAH7f/h8=")</f>
        <v>#VALUE!</v>
      </c>
      <c r="AG79" t="e">
        <f>AND('UP133'!FB40,"AAAAAH7f/iA=")</f>
        <v>#VALUE!</v>
      </c>
      <c r="AH79" t="e">
        <f>AND('UP133'!FC40,"AAAAAH7f/iE=")</f>
        <v>#VALUE!</v>
      </c>
      <c r="AI79" t="e">
        <f>AND('UP133'!FD40,"AAAAAH7f/iI=")</f>
        <v>#VALUE!</v>
      </c>
      <c r="AJ79" t="e">
        <f>AND('UP133'!FE40,"AAAAAH7f/iM=")</f>
        <v>#VALUE!</v>
      </c>
      <c r="AK79" t="e">
        <f>AND('UP133'!FF40,"AAAAAH7f/iQ=")</f>
        <v>#VALUE!</v>
      </c>
      <c r="AL79" t="e">
        <f>AND('UP133'!FG40,"AAAAAH7f/iU=")</f>
        <v>#VALUE!</v>
      </c>
      <c r="AM79" t="e">
        <f>AND('UP133'!FH40,"AAAAAH7f/iY=")</f>
        <v>#VALUE!</v>
      </c>
      <c r="AN79" t="e">
        <f>AND('UP133'!FI40,"AAAAAH7f/ic=")</f>
        <v>#VALUE!</v>
      </c>
      <c r="AO79" t="e">
        <f>AND('UP133'!FJ40,"AAAAAH7f/ig=")</f>
        <v>#VALUE!</v>
      </c>
      <c r="AP79" t="e">
        <f>AND('UP133'!FK40,"AAAAAH7f/ik=")</f>
        <v>#VALUE!</v>
      </c>
      <c r="AQ79" t="e">
        <f>AND('UP133'!FL40,"AAAAAH7f/io=")</f>
        <v>#VALUE!</v>
      </c>
      <c r="AR79" t="e">
        <f>AND('UP133'!FM40,"AAAAAH7f/is=")</f>
        <v>#VALUE!</v>
      </c>
      <c r="AS79" t="e">
        <f>AND('UP133'!FN40,"AAAAAH7f/iw=")</f>
        <v>#VALUE!</v>
      </c>
      <c r="AT79" t="e">
        <f>AND('UP133'!FO40,"AAAAAH7f/i0=")</f>
        <v>#VALUE!</v>
      </c>
      <c r="AU79" t="e">
        <f>AND('UP133'!FP40,"AAAAAH7f/i4=")</f>
        <v>#VALUE!</v>
      </c>
      <c r="AV79" t="e">
        <f>AND('UP133'!FQ40,"AAAAAH7f/i8=")</f>
        <v>#VALUE!</v>
      </c>
      <c r="AW79" t="e">
        <f>AND('UP133'!FR40,"AAAAAH7f/jA=")</f>
        <v>#VALUE!</v>
      </c>
      <c r="AX79" t="e">
        <f>AND('UP133'!FS40,"AAAAAH7f/jE=")</f>
        <v>#VALUE!</v>
      </c>
      <c r="AY79" t="e">
        <f>AND('UP133'!FT40,"AAAAAH7f/jI=")</f>
        <v>#VALUE!</v>
      </c>
      <c r="AZ79" t="e">
        <f>AND('UP133'!FU40,"AAAAAH7f/jM=")</f>
        <v>#VALUE!</v>
      </c>
      <c r="BA79" t="e">
        <f>AND('UP133'!FV40,"AAAAAH7f/jQ=")</f>
        <v>#VALUE!</v>
      </c>
      <c r="BB79" t="e">
        <f>AND('UP133'!FW40,"AAAAAH7f/jU=")</f>
        <v>#VALUE!</v>
      </c>
      <c r="BC79" t="e">
        <f>AND('UP133'!FX40,"AAAAAH7f/jY=")</f>
        <v>#VALUE!</v>
      </c>
      <c r="BD79" t="e">
        <f>AND('UP133'!FY40,"AAAAAH7f/jc=")</f>
        <v>#VALUE!</v>
      </c>
      <c r="BE79" t="e">
        <f>AND('UP133'!FZ40,"AAAAAH7f/jg=")</f>
        <v>#VALUE!</v>
      </c>
      <c r="BF79" t="e">
        <f>AND('UP133'!GA40,"AAAAAH7f/jk=")</f>
        <v>#VALUE!</v>
      </c>
      <c r="BG79" t="e">
        <f>AND('UP133'!GB40,"AAAAAH7f/jo=")</f>
        <v>#VALUE!</v>
      </c>
      <c r="BH79" t="e">
        <f>AND('UP133'!GC40,"AAAAAH7f/js=")</f>
        <v>#VALUE!</v>
      </c>
      <c r="BI79" t="e">
        <f>AND('UP133'!GD40,"AAAAAH7f/jw=")</f>
        <v>#VALUE!</v>
      </c>
      <c r="BJ79" t="e">
        <f>AND('UP133'!GE40,"AAAAAH7f/j0=")</f>
        <v>#VALUE!</v>
      </c>
      <c r="BK79" t="e">
        <f>AND('UP133'!GF40,"AAAAAH7f/j4=")</f>
        <v>#VALUE!</v>
      </c>
      <c r="BL79" t="e">
        <f>AND('UP133'!GG40,"AAAAAH7f/j8=")</f>
        <v>#VALUE!</v>
      </c>
      <c r="BM79" t="e">
        <f>AND('UP133'!GH40,"AAAAAH7f/kA=")</f>
        <v>#VALUE!</v>
      </c>
      <c r="BN79" t="e">
        <f>AND('UP133'!GI40,"AAAAAH7f/kE=")</f>
        <v>#VALUE!</v>
      </c>
      <c r="BO79" t="e">
        <f>AND('UP133'!GJ40,"AAAAAH7f/kI=")</f>
        <v>#VALUE!</v>
      </c>
      <c r="BP79" t="e">
        <f>AND('UP133'!GK40,"AAAAAH7f/kM=")</f>
        <v>#VALUE!</v>
      </c>
      <c r="BQ79" t="e">
        <f>AND('UP133'!GL40,"AAAAAH7f/kQ=")</f>
        <v>#VALUE!</v>
      </c>
      <c r="BR79" t="e">
        <f>AND('UP133'!GM40,"AAAAAH7f/kU=")</f>
        <v>#VALUE!</v>
      </c>
      <c r="BS79" t="e">
        <f>AND('UP133'!GN40,"AAAAAH7f/kY=")</f>
        <v>#VALUE!</v>
      </c>
      <c r="BT79" t="e">
        <f>AND('UP133'!GO40,"AAAAAH7f/kc=")</f>
        <v>#VALUE!</v>
      </c>
      <c r="BU79" t="e">
        <f>AND('UP133'!GP40,"AAAAAH7f/kg=")</f>
        <v>#VALUE!</v>
      </c>
      <c r="BV79" t="e">
        <f>AND('UP133'!GQ40,"AAAAAH7f/kk=")</f>
        <v>#VALUE!</v>
      </c>
      <c r="BW79" t="e">
        <f>AND('UP133'!GR40,"AAAAAH7f/ko=")</f>
        <v>#VALUE!</v>
      </c>
      <c r="BX79" t="e">
        <f>AND('UP133'!GS40,"AAAAAH7f/ks=")</f>
        <v>#VALUE!</v>
      </c>
      <c r="BY79" t="e">
        <f>AND('UP133'!GT40,"AAAAAH7f/kw=")</f>
        <v>#VALUE!</v>
      </c>
      <c r="BZ79" t="e">
        <f>AND('UP133'!GU40,"AAAAAH7f/k0=")</f>
        <v>#VALUE!</v>
      </c>
      <c r="CA79" t="e">
        <f>AND('UP133'!GV40,"AAAAAH7f/k4=")</f>
        <v>#VALUE!</v>
      </c>
      <c r="CB79" t="e">
        <f>AND('UP133'!GW40,"AAAAAH7f/k8=")</f>
        <v>#VALUE!</v>
      </c>
      <c r="CC79" t="e">
        <f>AND('UP133'!GX40,"AAAAAH7f/lA=")</f>
        <v>#VALUE!</v>
      </c>
      <c r="CD79" t="e">
        <f>AND('UP133'!GY40,"AAAAAH7f/lE=")</f>
        <v>#VALUE!</v>
      </c>
      <c r="CE79" t="e">
        <f>AND('UP133'!GZ40,"AAAAAH7f/lI=")</f>
        <v>#VALUE!</v>
      </c>
      <c r="CF79" t="e">
        <f>AND('UP133'!HA40,"AAAAAH7f/lM=")</f>
        <v>#VALUE!</v>
      </c>
      <c r="CG79" t="e">
        <f>AND('UP133'!HB40,"AAAAAH7f/lQ=")</f>
        <v>#VALUE!</v>
      </c>
      <c r="CH79" t="e">
        <f>AND('UP133'!HC40,"AAAAAH7f/lU=")</f>
        <v>#VALUE!</v>
      </c>
      <c r="CI79" t="e">
        <f>AND('UP133'!HD40,"AAAAAH7f/lY=")</f>
        <v>#VALUE!</v>
      </c>
      <c r="CJ79" t="e">
        <f>AND('UP133'!HE40,"AAAAAH7f/lc=")</f>
        <v>#VALUE!</v>
      </c>
      <c r="CK79" t="e">
        <f>AND('UP133'!HF40,"AAAAAH7f/lg=")</f>
        <v>#VALUE!</v>
      </c>
      <c r="CL79" t="e">
        <f>AND('UP133'!HG40,"AAAAAH7f/lk=")</f>
        <v>#VALUE!</v>
      </c>
      <c r="CM79" t="e">
        <f>AND('UP133'!HH40,"AAAAAH7f/lo=")</f>
        <v>#VALUE!</v>
      </c>
      <c r="CN79" t="e">
        <f>AND('UP133'!HI40,"AAAAAH7f/ls=")</f>
        <v>#VALUE!</v>
      </c>
      <c r="CO79" t="e">
        <f>AND('UP133'!HJ40,"AAAAAH7f/lw=")</f>
        <v>#VALUE!</v>
      </c>
      <c r="CP79" t="e">
        <f>AND('UP133'!HK40,"AAAAAH7f/l0=")</f>
        <v>#VALUE!</v>
      </c>
      <c r="CQ79" t="e">
        <f>AND('UP133'!HL40,"AAAAAH7f/l4=")</f>
        <v>#VALUE!</v>
      </c>
      <c r="CR79" t="e">
        <f>AND('UP133'!HM40,"AAAAAH7f/l8=")</f>
        <v>#VALUE!</v>
      </c>
      <c r="CS79" t="e">
        <f>AND('UP133'!HN40,"AAAAAH7f/mA=")</f>
        <v>#VALUE!</v>
      </c>
      <c r="CT79" t="e">
        <f>AND('UP133'!HO40,"AAAAAH7f/mE=")</f>
        <v>#VALUE!</v>
      </c>
      <c r="CU79" t="e">
        <f>AND('UP133'!HP40,"AAAAAH7f/mI=")</f>
        <v>#VALUE!</v>
      </c>
      <c r="CV79" t="e">
        <f>AND('UP133'!HQ40,"AAAAAH7f/mM=")</f>
        <v>#VALUE!</v>
      </c>
      <c r="CW79" t="e">
        <f>AND('UP133'!HR40,"AAAAAH7f/mQ=")</f>
        <v>#VALUE!</v>
      </c>
      <c r="CX79" t="e">
        <f>AND('UP133'!HS40,"AAAAAH7f/mU=")</f>
        <v>#VALUE!</v>
      </c>
      <c r="CY79" t="e">
        <f>AND('UP133'!HT40,"AAAAAH7f/mY=")</f>
        <v>#VALUE!</v>
      </c>
      <c r="CZ79" t="e">
        <f>AND('UP133'!HU40,"AAAAAH7f/mc=")</f>
        <v>#VALUE!</v>
      </c>
      <c r="DA79" t="e">
        <f>AND('UP133'!HV40,"AAAAAH7f/mg=")</f>
        <v>#VALUE!</v>
      </c>
      <c r="DB79" t="e">
        <f>AND('UP133'!HW40,"AAAAAH7f/mk=")</f>
        <v>#VALUE!</v>
      </c>
      <c r="DC79" t="e">
        <f>AND('UP133'!HX40,"AAAAAH7f/mo=")</f>
        <v>#VALUE!</v>
      </c>
      <c r="DD79" t="e">
        <f>AND('UP133'!HY40,"AAAAAH7f/ms=")</f>
        <v>#VALUE!</v>
      </c>
      <c r="DE79" t="e">
        <f>AND('UP133'!HZ40,"AAAAAH7f/mw=")</f>
        <v>#VALUE!</v>
      </c>
      <c r="DF79" t="e">
        <f>AND('UP133'!IA40,"AAAAAH7f/m0=")</f>
        <v>#VALUE!</v>
      </c>
      <c r="DG79" t="e">
        <f>AND('UP133'!IB40,"AAAAAH7f/m4=")</f>
        <v>#VALUE!</v>
      </c>
      <c r="DH79" t="e">
        <f>AND('UP133'!IC40,"AAAAAH7f/m8=")</f>
        <v>#VALUE!</v>
      </c>
      <c r="DI79" t="e">
        <f>AND('UP133'!ID40,"AAAAAH7f/nA=")</f>
        <v>#VALUE!</v>
      </c>
      <c r="DJ79" t="e">
        <f>AND('UP133'!IE40,"AAAAAH7f/nE=")</f>
        <v>#VALUE!</v>
      </c>
      <c r="DK79" t="e">
        <f>AND('UP133'!IF40,"AAAAAH7f/nI=")</f>
        <v>#VALUE!</v>
      </c>
      <c r="DL79" t="e">
        <f>AND('UP133'!IG40,"AAAAAH7f/nM=")</f>
        <v>#VALUE!</v>
      </c>
      <c r="DM79" t="e">
        <f>AND('UP133'!IH40,"AAAAAH7f/nQ=")</f>
        <v>#VALUE!</v>
      </c>
      <c r="DN79" t="e">
        <f>AND('UP133'!II40,"AAAAAH7f/nU=")</f>
        <v>#VALUE!</v>
      </c>
      <c r="DO79" t="e">
        <f>AND('UP133'!IJ40,"AAAAAH7f/nY=")</f>
        <v>#VALUE!</v>
      </c>
      <c r="DP79" t="e">
        <f>AND('UP133'!IK40,"AAAAAH7f/nc=")</f>
        <v>#VALUE!</v>
      </c>
      <c r="DQ79" t="e">
        <f>AND('UP133'!IL40,"AAAAAH7f/ng=")</f>
        <v>#VALUE!</v>
      </c>
      <c r="DR79" t="e">
        <f>AND('UP133'!IM40,"AAAAAH7f/nk=")</f>
        <v>#VALUE!</v>
      </c>
      <c r="DS79" t="e">
        <f>AND('UP133'!IN40,"AAAAAH7f/no=")</f>
        <v>#VALUE!</v>
      </c>
      <c r="DT79" t="e">
        <f>AND('UP133'!IO40,"AAAAAH7f/ns=")</f>
        <v>#VALUE!</v>
      </c>
      <c r="DU79" t="e">
        <f>AND('UP133'!IP40,"AAAAAH7f/nw=")</f>
        <v>#VALUE!</v>
      </c>
      <c r="DV79" t="e">
        <f>AND('UP133'!IQ40,"AAAAAH7f/n0=")</f>
        <v>#VALUE!</v>
      </c>
      <c r="DW79">
        <f>IF('UP133'!41:41,"AAAAAH7f/n4=",0)</f>
        <v>0</v>
      </c>
      <c r="DX79" t="e">
        <f>AND('UP133'!A41,"AAAAAH7f/n8=")</f>
        <v>#VALUE!</v>
      </c>
      <c r="DY79" t="e">
        <f>AND('UP133'!B41,"AAAAAH7f/oA=")</f>
        <v>#VALUE!</v>
      </c>
      <c r="DZ79" t="e">
        <f>AND('UP133'!C41,"AAAAAH7f/oE=")</f>
        <v>#VALUE!</v>
      </c>
      <c r="EA79" t="e">
        <f>AND('UP133'!D41,"AAAAAH7f/oI=")</f>
        <v>#VALUE!</v>
      </c>
      <c r="EB79" t="e">
        <f>AND('UP133'!E41,"AAAAAH7f/oM=")</f>
        <v>#VALUE!</v>
      </c>
      <c r="EC79" t="e">
        <f>AND('UP133'!F41,"AAAAAH7f/oQ=")</f>
        <v>#VALUE!</v>
      </c>
      <c r="ED79" t="e">
        <f>AND('UP133'!G41,"AAAAAH7f/oU=")</f>
        <v>#VALUE!</v>
      </c>
      <c r="EE79" t="e">
        <f>AND('UP133'!H41,"AAAAAH7f/oY=")</f>
        <v>#VALUE!</v>
      </c>
      <c r="EF79" t="e">
        <f>AND('UP133'!I41,"AAAAAH7f/oc=")</f>
        <v>#VALUE!</v>
      </c>
      <c r="EG79" t="e">
        <f>AND('UP133'!J41,"AAAAAH7f/og=")</f>
        <v>#VALUE!</v>
      </c>
      <c r="EH79" t="e">
        <f>AND('UP133'!K41,"AAAAAH7f/ok=")</f>
        <v>#VALUE!</v>
      </c>
      <c r="EI79" t="e">
        <f>AND('UP133'!L41,"AAAAAH7f/oo=")</f>
        <v>#VALUE!</v>
      </c>
      <c r="EJ79" t="e">
        <f>AND('UP133'!M41,"AAAAAH7f/os=")</f>
        <v>#VALUE!</v>
      </c>
      <c r="EK79" t="e">
        <f>AND('UP133'!N41,"AAAAAH7f/ow=")</f>
        <v>#VALUE!</v>
      </c>
      <c r="EL79" t="e">
        <f>AND('UP133'!O41,"AAAAAH7f/o0=")</f>
        <v>#VALUE!</v>
      </c>
      <c r="EM79" t="e">
        <f>AND('UP133'!P41,"AAAAAH7f/o4=")</f>
        <v>#VALUE!</v>
      </c>
      <c r="EN79" t="e">
        <f>AND('UP133'!Q41,"AAAAAH7f/o8=")</f>
        <v>#VALUE!</v>
      </c>
      <c r="EO79" t="e">
        <f>AND('UP133'!R41,"AAAAAH7f/pA=")</f>
        <v>#VALUE!</v>
      </c>
      <c r="EP79" t="e">
        <f>AND('UP133'!S41,"AAAAAH7f/pE=")</f>
        <v>#VALUE!</v>
      </c>
      <c r="EQ79" t="e">
        <f>AND('UP133'!T41,"AAAAAH7f/pI=")</f>
        <v>#VALUE!</v>
      </c>
      <c r="ER79" t="e">
        <f>AND('UP133'!U41,"AAAAAH7f/pM=")</f>
        <v>#VALUE!</v>
      </c>
      <c r="ES79" t="e">
        <f>AND('UP133'!V41,"AAAAAH7f/pQ=")</f>
        <v>#VALUE!</v>
      </c>
      <c r="ET79" t="e">
        <f>AND('UP133'!W41,"AAAAAH7f/pU=")</f>
        <v>#VALUE!</v>
      </c>
      <c r="EU79" t="e">
        <f>AND('UP133'!X41,"AAAAAH7f/pY=")</f>
        <v>#VALUE!</v>
      </c>
      <c r="EV79" t="e">
        <f>AND('UP133'!Y41,"AAAAAH7f/pc=")</f>
        <v>#VALUE!</v>
      </c>
      <c r="EW79" t="e">
        <f>AND('UP133'!Z41,"AAAAAH7f/pg=")</f>
        <v>#VALUE!</v>
      </c>
      <c r="EX79" t="e">
        <f>AND('UP133'!AA41,"AAAAAH7f/pk=")</f>
        <v>#VALUE!</v>
      </c>
      <c r="EY79" t="e">
        <f>AND('UP133'!AB41,"AAAAAH7f/po=")</f>
        <v>#VALUE!</v>
      </c>
      <c r="EZ79" t="e">
        <f>AND('UP133'!AC41,"AAAAAH7f/ps=")</f>
        <v>#VALUE!</v>
      </c>
      <c r="FA79" t="e">
        <f>AND('UP133'!AD41,"AAAAAH7f/pw=")</f>
        <v>#VALUE!</v>
      </c>
      <c r="FB79" t="e">
        <f>AND('UP133'!AE41,"AAAAAH7f/p0=")</f>
        <v>#VALUE!</v>
      </c>
      <c r="FC79" t="e">
        <f>AND('UP133'!AF41,"AAAAAH7f/p4=")</f>
        <v>#VALUE!</v>
      </c>
      <c r="FD79" t="e">
        <f>AND('UP133'!AG41,"AAAAAH7f/p8=")</f>
        <v>#VALUE!</v>
      </c>
      <c r="FE79" t="e">
        <f>AND('UP133'!AH41,"AAAAAH7f/qA=")</f>
        <v>#VALUE!</v>
      </c>
      <c r="FF79" t="e">
        <f>AND('UP133'!AI41,"AAAAAH7f/qE=")</f>
        <v>#VALUE!</v>
      </c>
      <c r="FG79" t="e">
        <f>AND('UP133'!AJ41,"AAAAAH7f/qI=")</f>
        <v>#VALUE!</v>
      </c>
      <c r="FH79" t="e">
        <f>AND('UP133'!AK41,"AAAAAH7f/qM=")</f>
        <v>#VALUE!</v>
      </c>
      <c r="FI79" t="e">
        <f>AND('UP133'!AL41,"AAAAAH7f/qQ=")</f>
        <v>#VALUE!</v>
      </c>
      <c r="FJ79" t="e">
        <f>AND('UP133'!AM41,"AAAAAH7f/qU=")</f>
        <v>#VALUE!</v>
      </c>
      <c r="FK79" t="e">
        <f>AND('UP133'!AN41,"AAAAAH7f/qY=")</f>
        <v>#VALUE!</v>
      </c>
      <c r="FL79" t="e">
        <f>AND('UP133'!AO41,"AAAAAH7f/qc=")</f>
        <v>#VALUE!</v>
      </c>
      <c r="FM79" t="e">
        <f>AND('UP133'!AP41,"AAAAAH7f/qg=")</f>
        <v>#VALUE!</v>
      </c>
      <c r="FN79" t="e">
        <f>AND('UP133'!AQ41,"AAAAAH7f/qk=")</f>
        <v>#VALUE!</v>
      </c>
      <c r="FO79" t="e">
        <f>AND('UP133'!AR41,"AAAAAH7f/qo=")</f>
        <v>#VALUE!</v>
      </c>
      <c r="FP79" t="e">
        <f>AND('UP133'!AS41,"AAAAAH7f/qs=")</f>
        <v>#VALUE!</v>
      </c>
      <c r="FQ79" t="e">
        <f>AND('UP133'!AT41,"AAAAAH7f/qw=")</f>
        <v>#VALUE!</v>
      </c>
      <c r="FR79" t="e">
        <f>AND('UP133'!AU41,"AAAAAH7f/q0=")</f>
        <v>#VALUE!</v>
      </c>
      <c r="FS79" t="e">
        <f>AND('UP133'!AV41,"AAAAAH7f/q4=")</f>
        <v>#VALUE!</v>
      </c>
      <c r="FT79" t="e">
        <f>AND('UP133'!AW41,"AAAAAH7f/q8=")</f>
        <v>#VALUE!</v>
      </c>
      <c r="FU79" t="e">
        <f>AND('UP133'!AX41,"AAAAAH7f/rA=")</f>
        <v>#VALUE!</v>
      </c>
      <c r="FV79" t="e">
        <f>AND('UP133'!AY41,"AAAAAH7f/rE=")</f>
        <v>#VALUE!</v>
      </c>
      <c r="FW79" t="e">
        <f>AND('UP133'!AZ41,"AAAAAH7f/rI=")</f>
        <v>#VALUE!</v>
      </c>
      <c r="FX79" t="e">
        <f>AND('UP133'!BA41,"AAAAAH7f/rM=")</f>
        <v>#VALUE!</v>
      </c>
      <c r="FY79" t="e">
        <f>AND('UP133'!BB41,"AAAAAH7f/rQ=")</f>
        <v>#VALUE!</v>
      </c>
      <c r="FZ79" t="e">
        <f>AND('UP133'!BC41,"AAAAAH7f/rU=")</f>
        <v>#VALUE!</v>
      </c>
      <c r="GA79" t="e">
        <f>AND('UP133'!BD41,"AAAAAH7f/rY=")</f>
        <v>#VALUE!</v>
      </c>
      <c r="GB79" t="e">
        <f>AND('UP133'!BE41,"AAAAAH7f/rc=")</f>
        <v>#VALUE!</v>
      </c>
      <c r="GC79" t="e">
        <f>AND('UP133'!BF41,"AAAAAH7f/rg=")</f>
        <v>#VALUE!</v>
      </c>
      <c r="GD79" t="e">
        <f>AND('UP133'!BG41,"AAAAAH7f/rk=")</f>
        <v>#VALUE!</v>
      </c>
      <c r="GE79" t="e">
        <f>AND('UP133'!BH41,"AAAAAH7f/ro=")</f>
        <v>#VALUE!</v>
      </c>
      <c r="GF79" t="e">
        <f>AND('UP133'!BI41,"AAAAAH7f/rs=")</f>
        <v>#VALUE!</v>
      </c>
      <c r="GG79" t="e">
        <f>AND('UP133'!BJ41,"AAAAAH7f/rw=")</f>
        <v>#VALUE!</v>
      </c>
      <c r="GH79" t="e">
        <f>AND('UP133'!BK41,"AAAAAH7f/r0=")</f>
        <v>#VALUE!</v>
      </c>
      <c r="GI79" t="e">
        <f>AND('UP133'!BL41,"AAAAAH7f/r4=")</f>
        <v>#VALUE!</v>
      </c>
      <c r="GJ79" t="e">
        <f>AND('UP133'!BM41,"AAAAAH7f/r8=")</f>
        <v>#VALUE!</v>
      </c>
      <c r="GK79" t="e">
        <f>AND('UP133'!BN41,"AAAAAH7f/sA=")</f>
        <v>#VALUE!</v>
      </c>
      <c r="GL79" t="e">
        <f>AND('UP133'!BO41,"AAAAAH7f/sE=")</f>
        <v>#VALUE!</v>
      </c>
      <c r="GM79" t="e">
        <f>AND('UP133'!BP41,"AAAAAH7f/sI=")</f>
        <v>#VALUE!</v>
      </c>
      <c r="GN79" t="e">
        <f>AND('UP133'!BQ41,"AAAAAH7f/sM=")</f>
        <v>#VALUE!</v>
      </c>
      <c r="GO79" t="e">
        <f>AND('UP133'!BR41,"AAAAAH7f/sQ=")</f>
        <v>#VALUE!</v>
      </c>
      <c r="GP79" t="e">
        <f>AND('UP133'!BS41,"AAAAAH7f/sU=")</f>
        <v>#VALUE!</v>
      </c>
      <c r="GQ79" t="e">
        <f>AND('UP133'!BT41,"AAAAAH7f/sY=")</f>
        <v>#VALUE!</v>
      </c>
      <c r="GR79" t="e">
        <f>AND('UP133'!BU41,"AAAAAH7f/sc=")</f>
        <v>#VALUE!</v>
      </c>
      <c r="GS79" t="e">
        <f>AND('UP133'!BV41,"AAAAAH7f/sg=")</f>
        <v>#VALUE!</v>
      </c>
      <c r="GT79" t="e">
        <f>AND('UP133'!BW41,"AAAAAH7f/sk=")</f>
        <v>#VALUE!</v>
      </c>
      <c r="GU79" t="e">
        <f>AND('UP133'!BX41,"AAAAAH7f/so=")</f>
        <v>#VALUE!</v>
      </c>
      <c r="GV79" t="e">
        <f>AND('UP133'!BY41,"AAAAAH7f/ss=")</f>
        <v>#VALUE!</v>
      </c>
      <c r="GW79" t="e">
        <f>AND('UP133'!BZ41,"AAAAAH7f/sw=")</f>
        <v>#VALUE!</v>
      </c>
      <c r="GX79" t="e">
        <f>AND('UP133'!CA41,"AAAAAH7f/s0=")</f>
        <v>#VALUE!</v>
      </c>
      <c r="GY79" t="e">
        <f>AND('UP133'!CB41,"AAAAAH7f/s4=")</f>
        <v>#VALUE!</v>
      </c>
      <c r="GZ79" t="e">
        <f>AND('UP133'!CC41,"AAAAAH7f/s8=")</f>
        <v>#VALUE!</v>
      </c>
      <c r="HA79" t="e">
        <f>AND('UP133'!CD41,"AAAAAH7f/tA=")</f>
        <v>#VALUE!</v>
      </c>
      <c r="HB79" t="e">
        <f>AND('UP133'!CE41,"AAAAAH7f/tE=")</f>
        <v>#VALUE!</v>
      </c>
      <c r="HC79" t="e">
        <f>AND('UP133'!CF41,"AAAAAH7f/tI=")</f>
        <v>#VALUE!</v>
      </c>
      <c r="HD79" t="e">
        <f>AND('UP133'!CG41,"AAAAAH7f/tM=")</f>
        <v>#VALUE!</v>
      </c>
      <c r="HE79" t="e">
        <f>AND('UP133'!CH41,"AAAAAH7f/tQ=")</f>
        <v>#VALUE!</v>
      </c>
      <c r="HF79" t="e">
        <f>AND('UP133'!CI41,"AAAAAH7f/tU=")</f>
        <v>#VALUE!</v>
      </c>
      <c r="HG79" t="e">
        <f>AND('UP133'!CJ41,"AAAAAH7f/tY=")</f>
        <v>#VALUE!</v>
      </c>
      <c r="HH79" t="e">
        <f>AND('UP133'!CK41,"AAAAAH7f/tc=")</f>
        <v>#VALUE!</v>
      </c>
      <c r="HI79" t="e">
        <f>AND('UP133'!CL41,"AAAAAH7f/tg=")</f>
        <v>#VALUE!</v>
      </c>
      <c r="HJ79" t="e">
        <f>AND('UP133'!CM41,"AAAAAH7f/tk=")</f>
        <v>#VALUE!</v>
      </c>
      <c r="HK79" t="e">
        <f>AND('UP133'!CN41,"AAAAAH7f/to=")</f>
        <v>#VALUE!</v>
      </c>
      <c r="HL79" t="e">
        <f>AND('UP133'!CO41,"AAAAAH7f/ts=")</f>
        <v>#VALUE!</v>
      </c>
      <c r="HM79" t="e">
        <f>AND('UP133'!CP41,"AAAAAH7f/tw=")</f>
        <v>#VALUE!</v>
      </c>
      <c r="HN79" t="e">
        <f>AND('UP133'!CQ41,"AAAAAH7f/t0=")</f>
        <v>#VALUE!</v>
      </c>
      <c r="HO79" t="e">
        <f>AND('UP133'!CR41,"AAAAAH7f/t4=")</f>
        <v>#VALUE!</v>
      </c>
      <c r="HP79" t="e">
        <f>AND('UP133'!CS41,"AAAAAH7f/t8=")</f>
        <v>#VALUE!</v>
      </c>
      <c r="HQ79" t="e">
        <f>AND('UP133'!CT41,"AAAAAH7f/uA=")</f>
        <v>#VALUE!</v>
      </c>
      <c r="HR79" t="e">
        <f>AND('UP133'!CU41,"AAAAAH7f/uE=")</f>
        <v>#VALUE!</v>
      </c>
      <c r="HS79" t="e">
        <f>AND('UP133'!CV41,"AAAAAH7f/uI=")</f>
        <v>#VALUE!</v>
      </c>
      <c r="HT79" t="e">
        <f>AND('UP133'!CW41,"AAAAAH7f/uM=")</f>
        <v>#VALUE!</v>
      </c>
      <c r="HU79" t="e">
        <f>AND('UP133'!CX41,"AAAAAH7f/uQ=")</f>
        <v>#VALUE!</v>
      </c>
      <c r="HV79" t="e">
        <f>AND('UP133'!CY41,"AAAAAH7f/uU=")</f>
        <v>#VALUE!</v>
      </c>
      <c r="HW79" t="e">
        <f>AND('UP133'!CZ41,"AAAAAH7f/uY=")</f>
        <v>#VALUE!</v>
      </c>
      <c r="HX79" t="e">
        <f>AND('UP133'!DA41,"AAAAAH7f/uc=")</f>
        <v>#VALUE!</v>
      </c>
      <c r="HY79" t="e">
        <f>AND('UP133'!DB41,"AAAAAH7f/ug=")</f>
        <v>#VALUE!</v>
      </c>
      <c r="HZ79" t="e">
        <f>AND('UP133'!DC41,"AAAAAH7f/uk=")</f>
        <v>#VALUE!</v>
      </c>
      <c r="IA79" t="e">
        <f>AND('UP133'!DD41,"AAAAAH7f/uo=")</f>
        <v>#VALUE!</v>
      </c>
      <c r="IB79" t="e">
        <f>AND('UP133'!DE41,"AAAAAH7f/us=")</f>
        <v>#VALUE!</v>
      </c>
      <c r="IC79" t="e">
        <f>AND('UP133'!DF41,"AAAAAH7f/uw=")</f>
        <v>#VALUE!</v>
      </c>
      <c r="ID79" t="e">
        <f>AND('UP133'!DG41,"AAAAAH7f/u0=")</f>
        <v>#VALUE!</v>
      </c>
      <c r="IE79" t="e">
        <f>AND('UP133'!DH41,"AAAAAH7f/u4=")</f>
        <v>#VALUE!</v>
      </c>
      <c r="IF79" t="e">
        <f>AND('UP133'!DI41,"AAAAAH7f/u8=")</f>
        <v>#VALUE!</v>
      </c>
      <c r="IG79" t="e">
        <f>AND('UP133'!DJ41,"AAAAAH7f/vA=")</f>
        <v>#VALUE!</v>
      </c>
      <c r="IH79" t="e">
        <f>AND('UP133'!DK41,"AAAAAH7f/vE=")</f>
        <v>#VALUE!</v>
      </c>
      <c r="II79" t="e">
        <f>AND('UP133'!DL41,"AAAAAH7f/vI=")</f>
        <v>#VALUE!</v>
      </c>
      <c r="IJ79" t="e">
        <f>AND('UP133'!DM41,"AAAAAH7f/vM=")</f>
        <v>#VALUE!</v>
      </c>
      <c r="IK79" t="e">
        <f>AND('UP133'!DN41,"AAAAAH7f/vQ=")</f>
        <v>#VALUE!</v>
      </c>
      <c r="IL79" t="e">
        <f>AND('UP133'!DO41,"AAAAAH7f/vU=")</f>
        <v>#VALUE!</v>
      </c>
      <c r="IM79" t="e">
        <f>AND('UP133'!DP41,"AAAAAH7f/vY=")</f>
        <v>#VALUE!</v>
      </c>
      <c r="IN79" t="e">
        <f>AND('UP133'!DQ41,"AAAAAH7f/vc=")</f>
        <v>#VALUE!</v>
      </c>
      <c r="IO79" t="e">
        <f>AND('UP133'!DR41,"AAAAAH7f/vg=")</f>
        <v>#VALUE!</v>
      </c>
      <c r="IP79" t="e">
        <f>AND('UP133'!DS41,"AAAAAH7f/vk=")</f>
        <v>#VALUE!</v>
      </c>
      <c r="IQ79" t="e">
        <f>AND('UP133'!DT41,"AAAAAH7f/vo=")</f>
        <v>#VALUE!</v>
      </c>
      <c r="IR79" t="e">
        <f>AND('UP133'!DU41,"AAAAAH7f/vs=")</f>
        <v>#VALUE!</v>
      </c>
      <c r="IS79" t="e">
        <f>AND('UP133'!DV41,"AAAAAH7f/vw=")</f>
        <v>#VALUE!</v>
      </c>
      <c r="IT79" t="e">
        <f>AND('UP133'!DW41,"AAAAAH7f/v0=")</f>
        <v>#VALUE!</v>
      </c>
      <c r="IU79" t="e">
        <f>AND('UP133'!DX41,"AAAAAH7f/v4=")</f>
        <v>#VALUE!</v>
      </c>
      <c r="IV79" t="e">
        <f>AND('UP133'!DY41,"AAAAAH7f/v8=")</f>
        <v>#VALUE!</v>
      </c>
    </row>
    <row r="80" spans="1:256">
      <c r="A80" t="e">
        <f>AND('UP133'!DZ41,"AAAAAHcbrQA=")</f>
        <v>#VALUE!</v>
      </c>
      <c r="B80" t="e">
        <f>AND('UP133'!EA41,"AAAAAHcbrQE=")</f>
        <v>#VALUE!</v>
      </c>
      <c r="C80" t="e">
        <f>AND('UP133'!EB41,"AAAAAHcbrQI=")</f>
        <v>#VALUE!</v>
      </c>
      <c r="D80" t="e">
        <f>AND('UP133'!EC41,"AAAAAHcbrQM=")</f>
        <v>#VALUE!</v>
      </c>
      <c r="E80" t="e">
        <f>AND('UP133'!ED41,"AAAAAHcbrQQ=")</f>
        <v>#VALUE!</v>
      </c>
      <c r="F80" t="e">
        <f>AND('UP133'!EE41,"AAAAAHcbrQU=")</f>
        <v>#VALUE!</v>
      </c>
      <c r="G80" t="e">
        <f>AND('UP133'!EF41,"AAAAAHcbrQY=")</f>
        <v>#VALUE!</v>
      </c>
      <c r="H80" t="e">
        <f>AND('UP133'!EG41,"AAAAAHcbrQc=")</f>
        <v>#VALUE!</v>
      </c>
      <c r="I80" t="e">
        <f>AND('UP133'!EH41,"AAAAAHcbrQg=")</f>
        <v>#VALUE!</v>
      </c>
      <c r="J80" t="e">
        <f>AND('UP133'!EI41,"AAAAAHcbrQk=")</f>
        <v>#VALUE!</v>
      </c>
      <c r="K80" t="e">
        <f>AND('UP133'!EJ41,"AAAAAHcbrQo=")</f>
        <v>#VALUE!</v>
      </c>
      <c r="L80" t="e">
        <f>AND('UP133'!EK41,"AAAAAHcbrQs=")</f>
        <v>#VALUE!</v>
      </c>
      <c r="M80" t="e">
        <f>AND('UP133'!EL41,"AAAAAHcbrQw=")</f>
        <v>#VALUE!</v>
      </c>
      <c r="N80" t="e">
        <f>AND('UP133'!EM41,"AAAAAHcbrQ0=")</f>
        <v>#VALUE!</v>
      </c>
      <c r="O80" t="e">
        <f>AND('UP133'!EN41,"AAAAAHcbrQ4=")</f>
        <v>#VALUE!</v>
      </c>
      <c r="P80" t="e">
        <f>AND('UP133'!EO41,"AAAAAHcbrQ8=")</f>
        <v>#VALUE!</v>
      </c>
      <c r="Q80" t="e">
        <f>AND('UP133'!EP41,"AAAAAHcbrRA=")</f>
        <v>#VALUE!</v>
      </c>
      <c r="R80" t="e">
        <f>AND('UP133'!EQ41,"AAAAAHcbrRE=")</f>
        <v>#VALUE!</v>
      </c>
      <c r="S80" t="e">
        <f>AND('UP133'!ER41,"AAAAAHcbrRI=")</f>
        <v>#VALUE!</v>
      </c>
      <c r="T80" t="e">
        <f>AND('UP133'!ES41,"AAAAAHcbrRM=")</f>
        <v>#VALUE!</v>
      </c>
      <c r="U80" t="e">
        <f>AND('UP133'!ET41,"AAAAAHcbrRQ=")</f>
        <v>#VALUE!</v>
      </c>
      <c r="V80" t="e">
        <f>AND('UP133'!EU41,"AAAAAHcbrRU=")</f>
        <v>#VALUE!</v>
      </c>
      <c r="W80" t="e">
        <f>AND('UP133'!EV41,"AAAAAHcbrRY=")</f>
        <v>#VALUE!</v>
      </c>
      <c r="X80" t="e">
        <f>AND('UP133'!EW41,"AAAAAHcbrRc=")</f>
        <v>#VALUE!</v>
      </c>
      <c r="Y80" t="e">
        <f>AND('UP133'!EX41,"AAAAAHcbrRg=")</f>
        <v>#VALUE!</v>
      </c>
      <c r="Z80" t="e">
        <f>AND('UP133'!EY41,"AAAAAHcbrRk=")</f>
        <v>#VALUE!</v>
      </c>
      <c r="AA80" t="e">
        <f>AND('UP133'!EZ41,"AAAAAHcbrRo=")</f>
        <v>#VALUE!</v>
      </c>
      <c r="AB80" t="e">
        <f>AND('UP133'!FA41,"AAAAAHcbrRs=")</f>
        <v>#VALUE!</v>
      </c>
      <c r="AC80" t="e">
        <f>AND('UP133'!FB41,"AAAAAHcbrRw=")</f>
        <v>#VALUE!</v>
      </c>
      <c r="AD80" t="e">
        <f>AND('UP133'!FC41,"AAAAAHcbrR0=")</f>
        <v>#VALUE!</v>
      </c>
      <c r="AE80" t="e">
        <f>AND('UP133'!FD41,"AAAAAHcbrR4=")</f>
        <v>#VALUE!</v>
      </c>
      <c r="AF80" t="e">
        <f>AND('UP133'!FE41,"AAAAAHcbrR8=")</f>
        <v>#VALUE!</v>
      </c>
      <c r="AG80" t="e">
        <f>AND('UP133'!FF41,"AAAAAHcbrSA=")</f>
        <v>#VALUE!</v>
      </c>
      <c r="AH80" t="e">
        <f>AND('UP133'!FG41,"AAAAAHcbrSE=")</f>
        <v>#VALUE!</v>
      </c>
      <c r="AI80" t="e">
        <f>AND('UP133'!FH41,"AAAAAHcbrSI=")</f>
        <v>#VALUE!</v>
      </c>
      <c r="AJ80" t="e">
        <f>AND('UP133'!FI41,"AAAAAHcbrSM=")</f>
        <v>#VALUE!</v>
      </c>
      <c r="AK80" t="e">
        <f>AND('UP133'!FJ41,"AAAAAHcbrSQ=")</f>
        <v>#VALUE!</v>
      </c>
      <c r="AL80" t="e">
        <f>AND('UP133'!FK41,"AAAAAHcbrSU=")</f>
        <v>#VALUE!</v>
      </c>
      <c r="AM80" t="e">
        <f>AND('UP133'!FL41,"AAAAAHcbrSY=")</f>
        <v>#VALUE!</v>
      </c>
      <c r="AN80" t="e">
        <f>AND('UP133'!FM41,"AAAAAHcbrSc=")</f>
        <v>#VALUE!</v>
      </c>
      <c r="AO80" t="e">
        <f>AND('UP133'!FN41,"AAAAAHcbrSg=")</f>
        <v>#VALUE!</v>
      </c>
      <c r="AP80" t="e">
        <f>AND('UP133'!FO41,"AAAAAHcbrSk=")</f>
        <v>#VALUE!</v>
      </c>
      <c r="AQ80" t="e">
        <f>AND('UP133'!FP41,"AAAAAHcbrSo=")</f>
        <v>#VALUE!</v>
      </c>
      <c r="AR80" t="e">
        <f>AND('UP133'!FQ41,"AAAAAHcbrSs=")</f>
        <v>#VALUE!</v>
      </c>
      <c r="AS80" t="e">
        <f>AND('UP133'!FR41,"AAAAAHcbrSw=")</f>
        <v>#VALUE!</v>
      </c>
      <c r="AT80" t="e">
        <f>AND('UP133'!FS41,"AAAAAHcbrS0=")</f>
        <v>#VALUE!</v>
      </c>
      <c r="AU80" t="e">
        <f>AND('UP133'!FT41,"AAAAAHcbrS4=")</f>
        <v>#VALUE!</v>
      </c>
      <c r="AV80" t="e">
        <f>AND('UP133'!FU41,"AAAAAHcbrS8=")</f>
        <v>#VALUE!</v>
      </c>
      <c r="AW80" t="e">
        <f>AND('UP133'!FV41,"AAAAAHcbrTA=")</f>
        <v>#VALUE!</v>
      </c>
      <c r="AX80" t="e">
        <f>AND('UP133'!FW41,"AAAAAHcbrTE=")</f>
        <v>#VALUE!</v>
      </c>
      <c r="AY80" t="e">
        <f>AND('UP133'!FX41,"AAAAAHcbrTI=")</f>
        <v>#VALUE!</v>
      </c>
      <c r="AZ80" t="e">
        <f>AND('UP133'!FY41,"AAAAAHcbrTM=")</f>
        <v>#VALUE!</v>
      </c>
      <c r="BA80" t="e">
        <f>AND('UP133'!FZ41,"AAAAAHcbrTQ=")</f>
        <v>#VALUE!</v>
      </c>
      <c r="BB80" t="e">
        <f>AND('UP133'!GA41,"AAAAAHcbrTU=")</f>
        <v>#VALUE!</v>
      </c>
      <c r="BC80" t="e">
        <f>AND('UP133'!GB41,"AAAAAHcbrTY=")</f>
        <v>#VALUE!</v>
      </c>
      <c r="BD80" t="e">
        <f>AND('UP133'!GC41,"AAAAAHcbrTc=")</f>
        <v>#VALUE!</v>
      </c>
      <c r="BE80" t="e">
        <f>AND('UP133'!GD41,"AAAAAHcbrTg=")</f>
        <v>#VALUE!</v>
      </c>
      <c r="BF80" t="e">
        <f>AND('UP133'!GE41,"AAAAAHcbrTk=")</f>
        <v>#VALUE!</v>
      </c>
      <c r="BG80" t="e">
        <f>AND('UP133'!GF41,"AAAAAHcbrTo=")</f>
        <v>#VALUE!</v>
      </c>
      <c r="BH80" t="e">
        <f>AND('UP133'!GG41,"AAAAAHcbrTs=")</f>
        <v>#VALUE!</v>
      </c>
      <c r="BI80" t="e">
        <f>AND('UP133'!GH41,"AAAAAHcbrTw=")</f>
        <v>#VALUE!</v>
      </c>
      <c r="BJ80" t="e">
        <f>AND('UP133'!GI41,"AAAAAHcbrT0=")</f>
        <v>#VALUE!</v>
      </c>
      <c r="BK80" t="e">
        <f>AND('UP133'!GJ41,"AAAAAHcbrT4=")</f>
        <v>#VALUE!</v>
      </c>
      <c r="BL80" t="e">
        <f>AND('UP133'!GK41,"AAAAAHcbrT8=")</f>
        <v>#VALUE!</v>
      </c>
      <c r="BM80" t="e">
        <f>AND('UP133'!GL41,"AAAAAHcbrUA=")</f>
        <v>#VALUE!</v>
      </c>
      <c r="BN80" t="e">
        <f>AND('UP133'!GM41,"AAAAAHcbrUE=")</f>
        <v>#VALUE!</v>
      </c>
      <c r="BO80" t="e">
        <f>AND('UP133'!GN41,"AAAAAHcbrUI=")</f>
        <v>#VALUE!</v>
      </c>
      <c r="BP80" t="e">
        <f>AND('UP133'!GO41,"AAAAAHcbrUM=")</f>
        <v>#VALUE!</v>
      </c>
      <c r="BQ80" t="e">
        <f>AND('UP133'!GP41,"AAAAAHcbrUQ=")</f>
        <v>#VALUE!</v>
      </c>
      <c r="BR80" t="e">
        <f>AND('UP133'!GQ41,"AAAAAHcbrUU=")</f>
        <v>#VALUE!</v>
      </c>
      <c r="BS80" t="e">
        <f>AND('UP133'!GR41,"AAAAAHcbrUY=")</f>
        <v>#VALUE!</v>
      </c>
      <c r="BT80" t="e">
        <f>AND('UP133'!GS41,"AAAAAHcbrUc=")</f>
        <v>#VALUE!</v>
      </c>
      <c r="BU80" t="e">
        <f>AND('UP133'!GT41,"AAAAAHcbrUg=")</f>
        <v>#VALUE!</v>
      </c>
      <c r="BV80" t="e">
        <f>AND('UP133'!GU41,"AAAAAHcbrUk=")</f>
        <v>#VALUE!</v>
      </c>
      <c r="BW80" t="e">
        <f>AND('UP133'!GV41,"AAAAAHcbrUo=")</f>
        <v>#VALUE!</v>
      </c>
      <c r="BX80" t="e">
        <f>AND('UP133'!GW41,"AAAAAHcbrUs=")</f>
        <v>#VALUE!</v>
      </c>
      <c r="BY80" t="e">
        <f>AND('UP133'!GX41,"AAAAAHcbrUw=")</f>
        <v>#VALUE!</v>
      </c>
      <c r="BZ80" t="e">
        <f>AND('UP133'!GY41,"AAAAAHcbrU0=")</f>
        <v>#VALUE!</v>
      </c>
      <c r="CA80" t="e">
        <f>AND('UP133'!GZ41,"AAAAAHcbrU4=")</f>
        <v>#VALUE!</v>
      </c>
      <c r="CB80" t="e">
        <f>AND('UP133'!HA41,"AAAAAHcbrU8=")</f>
        <v>#VALUE!</v>
      </c>
      <c r="CC80" t="e">
        <f>AND('UP133'!HB41,"AAAAAHcbrVA=")</f>
        <v>#VALUE!</v>
      </c>
      <c r="CD80" t="e">
        <f>AND('UP133'!HC41,"AAAAAHcbrVE=")</f>
        <v>#VALUE!</v>
      </c>
      <c r="CE80" t="e">
        <f>AND('UP133'!HD41,"AAAAAHcbrVI=")</f>
        <v>#VALUE!</v>
      </c>
      <c r="CF80" t="e">
        <f>AND('UP133'!HE41,"AAAAAHcbrVM=")</f>
        <v>#VALUE!</v>
      </c>
      <c r="CG80" t="e">
        <f>AND('UP133'!HF41,"AAAAAHcbrVQ=")</f>
        <v>#VALUE!</v>
      </c>
      <c r="CH80" t="e">
        <f>AND('UP133'!HG41,"AAAAAHcbrVU=")</f>
        <v>#VALUE!</v>
      </c>
      <c r="CI80" t="e">
        <f>AND('UP133'!HH41,"AAAAAHcbrVY=")</f>
        <v>#VALUE!</v>
      </c>
      <c r="CJ80" t="e">
        <f>AND('UP133'!HI41,"AAAAAHcbrVc=")</f>
        <v>#VALUE!</v>
      </c>
      <c r="CK80" t="e">
        <f>AND('UP133'!HJ41,"AAAAAHcbrVg=")</f>
        <v>#VALUE!</v>
      </c>
      <c r="CL80" t="e">
        <f>AND('UP133'!HK41,"AAAAAHcbrVk=")</f>
        <v>#VALUE!</v>
      </c>
      <c r="CM80" t="e">
        <f>AND('UP133'!HL41,"AAAAAHcbrVo=")</f>
        <v>#VALUE!</v>
      </c>
      <c r="CN80" t="e">
        <f>AND('UP133'!HM41,"AAAAAHcbrVs=")</f>
        <v>#VALUE!</v>
      </c>
      <c r="CO80" t="e">
        <f>AND('UP133'!HN41,"AAAAAHcbrVw=")</f>
        <v>#VALUE!</v>
      </c>
      <c r="CP80" t="e">
        <f>AND('UP133'!HO41,"AAAAAHcbrV0=")</f>
        <v>#VALUE!</v>
      </c>
      <c r="CQ80" t="e">
        <f>AND('UP133'!HP41,"AAAAAHcbrV4=")</f>
        <v>#VALUE!</v>
      </c>
      <c r="CR80" t="e">
        <f>AND('UP133'!HQ41,"AAAAAHcbrV8=")</f>
        <v>#VALUE!</v>
      </c>
      <c r="CS80" t="e">
        <f>AND('UP133'!HR41,"AAAAAHcbrWA=")</f>
        <v>#VALUE!</v>
      </c>
      <c r="CT80" t="e">
        <f>AND('UP133'!HS41,"AAAAAHcbrWE=")</f>
        <v>#VALUE!</v>
      </c>
      <c r="CU80" t="e">
        <f>AND('UP133'!HT41,"AAAAAHcbrWI=")</f>
        <v>#VALUE!</v>
      </c>
      <c r="CV80" t="e">
        <f>AND('UP133'!HU41,"AAAAAHcbrWM=")</f>
        <v>#VALUE!</v>
      </c>
      <c r="CW80" t="e">
        <f>AND('UP133'!HV41,"AAAAAHcbrWQ=")</f>
        <v>#VALUE!</v>
      </c>
      <c r="CX80" t="e">
        <f>AND('UP133'!HW41,"AAAAAHcbrWU=")</f>
        <v>#VALUE!</v>
      </c>
      <c r="CY80" t="e">
        <f>AND('UP133'!HX41,"AAAAAHcbrWY=")</f>
        <v>#VALUE!</v>
      </c>
      <c r="CZ80" t="e">
        <f>AND('UP133'!HY41,"AAAAAHcbrWc=")</f>
        <v>#VALUE!</v>
      </c>
      <c r="DA80" t="e">
        <f>AND('UP133'!HZ41,"AAAAAHcbrWg=")</f>
        <v>#VALUE!</v>
      </c>
      <c r="DB80" t="e">
        <f>AND('UP133'!IA41,"AAAAAHcbrWk=")</f>
        <v>#VALUE!</v>
      </c>
      <c r="DC80" t="e">
        <f>AND('UP133'!IB41,"AAAAAHcbrWo=")</f>
        <v>#VALUE!</v>
      </c>
      <c r="DD80" t="e">
        <f>AND('UP133'!IC41,"AAAAAHcbrWs=")</f>
        <v>#VALUE!</v>
      </c>
      <c r="DE80" t="e">
        <f>AND('UP133'!ID41,"AAAAAHcbrWw=")</f>
        <v>#VALUE!</v>
      </c>
      <c r="DF80" t="e">
        <f>AND('UP133'!IE41,"AAAAAHcbrW0=")</f>
        <v>#VALUE!</v>
      </c>
      <c r="DG80" t="e">
        <f>AND('UP133'!IF41,"AAAAAHcbrW4=")</f>
        <v>#VALUE!</v>
      </c>
      <c r="DH80" t="e">
        <f>AND('UP133'!IG41,"AAAAAHcbrW8=")</f>
        <v>#VALUE!</v>
      </c>
      <c r="DI80" t="e">
        <f>AND('UP133'!IH41,"AAAAAHcbrXA=")</f>
        <v>#VALUE!</v>
      </c>
      <c r="DJ80" t="e">
        <f>AND('UP133'!II41,"AAAAAHcbrXE=")</f>
        <v>#VALUE!</v>
      </c>
      <c r="DK80" t="e">
        <f>AND('UP133'!IJ41,"AAAAAHcbrXI=")</f>
        <v>#VALUE!</v>
      </c>
      <c r="DL80" t="e">
        <f>AND('UP133'!IK41,"AAAAAHcbrXM=")</f>
        <v>#VALUE!</v>
      </c>
      <c r="DM80" t="e">
        <f>AND('UP133'!IL41,"AAAAAHcbrXQ=")</f>
        <v>#VALUE!</v>
      </c>
      <c r="DN80" t="e">
        <f>AND('UP133'!IM41,"AAAAAHcbrXU=")</f>
        <v>#VALUE!</v>
      </c>
      <c r="DO80" t="e">
        <f>AND('UP133'!IN41,"AAAAAHcbrXY=")</f>
        <v>#VALUE!</v>
      </c>
      <c r="DP80" t="e">
        <f>AND('UP133'!IO41,"AAAAAHcbrXc=")</f>
        <v>#VALUE!</v>
      </c>
      <c r="DQ80" t="e">
        <f>AND('UP133'!IP41,"AAAAAHcbrXg=")</f>
        <v>#VALUE!</v>
      </c>
      <c r="DR80" t="e">
        <f>AND('UP133'!IQ41,"AAAAAHcbrXk=")</f>
        <v>#VALUE!</v>
      </c>
      <c r="DS80">
        <f>IF('UP133'!42:42,"AAAAAHcbrXo=",0)</f>
        <v>0</v>
      </c>
      <c r="DT80" t="e">
        <f>AND('UP133'!A42,"AAAAAHcbrXs=")</f>
        <v>#VALUE!</v>
      </c>
      <c r="DU80" t="e">
        <f>AND('UP133'!B42,"AAAAAHcbrXw=")</f>
        <v>#VALUE!</v>
      </c>
      <c r="DV80" t="e">
        <f>AND('UP133'!C42,"AAAAAHcbrX0=")</f>
        <v>#VALUE!</v>
      </c>
      <c r="DW80" t="e">
        <f>AND('UP133'!D42,"AAAAAHcbrX4=")</f>
        <v>#VALUE!</v>
      </c>
      <c r="DX80" t="e">
        <f>AND('UP133'!E42,"AAAAAHcbrX8=")</f>
        <v>#VALUE!</v>
      </c>
      <c r="DY80" t="e">
        <f>AND('UP133'!F42,"AAAAAHcbrYA=")</f>
        <v>#VALUE!</v>
      </c>
      <c r="DZ80" t="e">
        <f>AND('UP133'!G42,"AAAAAHcbrYE=")</f>
        <v>#VALUE!</v>
      </c>
      <c r="EA80" t="e">
        <f>AND('UP133'!H42,"AAAAAHcbrYI=")</f>
        <v>#VALUE!</v>
      </c>
      <c r="EB80" t="e">
        <f>AND('UP133'!I42,"AAAAAHcbrYM=")</f>
        <v>#VALUE!</v>
      </c>
      <c r="EC80" t="e">
        <f>AND('UP133'!J42,"AAAAAHcbrYQ=")</f>
        <v>#VALUE!</v>
      </c>
      <c r="ED80" t="e">
        <f>AND('UP133'!K42,"AAAAAHcbrYU=")</f>
        <v>#VALUE!</v>
      </c>
      <c r="EE80" t="e">
        <f>AND('UP133'!L42,"AAAAAHcbrYY=")</f>
        <v>#VALUE!</v>
      </c>
      <c r="EF80" t="e">
        <f>AND('UP133'!M42,"AAAAAHcbrYc=")</f>
        <v>#VALUE!</v>
      </c>
      <c r="EG80" t="e">
        <f>AND('UP133'!N42,"AAAAAHcbrYg=")</f>
        <v>#VALUE!</v>
      </c>
      <c r="EH80" t="e">
        <f>AND('UP133'!O42,"AAAAAHcbrYk=")</f>
        <v>#VALUE!</v>
      </c>
      <c r="EI80" t="e">
        <f>AND('UP133'!P42,"AAAAAHcbrYo=")</f>
        <v>#VALUE!</v>
      </c>
      <c r="EJ80" t="e">
        <f>AND('UP133'!Q42,"AAAAAHcbrYs=")</f>
        <v>#VALUE!</v>
      </c>
      <c r="EK80" t="e">
        <f>AND('UP133'!R42,"AAAAAHcbrYw=")</f>
        <v>#VALUE!</v>
      </c>
      <c r="EL80" t="e">
        <f>AND('UP133'!S42,"AAAAAHcbrY0=")</f>
        <v>#VALUE!</v>
      </c>
      <c r="EM80" t="e">
        <f>AND('UP133'!T42,"AAAAAHcbrY4=")</f>
        <v>#VALUE!</v>
      </c>
      <c r="EN80" t="e">
        <f>AND('UP133'!U42,"AAAAAHcbrY8=")</f>
        <v>#VALUE!</v>
      </c>
      <c r="EO80" t="e">
        <f>AND('UP133'!V42,"AAAAAHcbrZA=")</f>
        <v>#VALUE!</v>
      </c>
      <c r="EP80" t="e">
        <f>AND('UP133'!W42,"AAAAAHcbrZE=")</f>
        <v>#VALUE!</v>
      </c>
      <c r="EQ80" t="e">
        <f>AND('UP133'!X42,"AAAAAHcbrZI=")</f>
        <v>#VALUE!</v>
      </c>
      <c r="ER80" t="e">
        <f>AND('UP133'!Y42,"AAAAAHcbrZM=")</f>
        <v>#VALUE!</v>
      </c>
      <c r="ES80" t="e">
        <f>AND('UP133'!Z42,"AAAAAHcbrZQ=")</f>
        <v>#VALUE!</v>
      </c>
      <c r="ET80" t="e">
        <f>AND('UP133'!AA42,"AAAAAHcbrZU=")</f>
        <v>#VALUE!</v>
      </c>
      <c r="EU80" t="e">
        <f>AND('UP133'!AB42,"AAAAAHcbrZY=")</f>
        <v>#VALUE!</v>
      </c>
      <c r="EV80" t="e">
        <f>AND('UP133'!AC42,"AAAAAHcbrZc=")</f>
        <v>#VALUE!</v>
      </c>
      <c r="EW80" t="e">
        <f>AND('UP133'!AD42,"AAAAAHcbrZg=")</f>
        <v>#VALUE!</v>
      </c>
      <c r="EX80" t="e">
        <f>AND('UP133'!AE42,"AAAAAHcbrZk=")</f>
        <v>#VALUE!</v>
      </c>
      <c r="EY80" t="e">
        <f>AND('UP133'!AF42,"AAAAAHcbrZo=")</f>
        <v>#VALUE!</v>
      </c>
      <c r="EZ80" t="e">
        <f>AND('UP133'!AG42,"AAAAAHcbrZs=")</f>
        <v>#VALUE!</v>
      </c>
      <c r="FA80" t="e">
        <f>AND('UP133'!AH42,"AAAAAHcbrZw=")</f>
        <v>#VALUE!</v>
      </c>
      <c r="FB80" t="e">
        <f>AND('UP133'!AI42,"AAAAAHcbrZ0=")</f>
        <v>#VALUE!</v>
      </c>
      <c r="FC80" t="e">
        <f>AND('UP133'!AJ42,"AAAAAHcbrZ4=")</f>
        <v>#VALUE!</v>
      </c>
      <c r="FD80" t="e">
        <f>AND('UP133'!AK42,"AAAAAHcbrZ8=")</f>
        <v>#VALUE!</v>
      </c>
      <c r="FE80" t="e">
        <f>AND('UP133'!AL42,"AAAAAHcbraA=")</f>
        <v>#VALUE!</v>
      </c>
      <c r="FF80" t="e">
        <f>AND('UP133'!AM42,"AAAAAHcbraE=")</f>
        <v>#VALUE!</v>
      </c>
      <c r="FG80" t="e">
        <f>AND('UP133'!AN42,"AAAAAHcbraI=")</f>
        <v>#VALUE!</v>
      </c>
      <c r="FH80" t="e">
        <f>AND('UP133'!AO42,"AAAAAHcbraM=")</f>
        <v>#VALUE!</v>
      </c>
      <c r="FI80" t="e">
        <f>AND('UP133'!AP42,"AAAAAHcbraQ=")</f>
        <v>#VALUE!</v>
      </c>
      <c r="FJ80" t="e">
        <f>AND('UP133'!AQ42,"AAAAAHcbraU=")</f>
        <v>#VALUE!</v>
      </c>
      <c r="FK80" t="e">
        <f>AND('UP133'!AR42,"AAAAAHcbraY=")</f>
        <v>#VALUE!</v>
      </c>
      <c r="FL80" t="e">
        <f>AND('UP133'!AS42,"AAAAAHcbrac=")</f>
        <v>#VALUE!</v>
      </c>
      <c r="FM80" t="e">
        <f>AND('UP133'!AT42,"AAAAAHcbrag=")</f>
        <v>#VALUE!</v>
      </c>
      <c r="FN80" t="e">
        <f>AND('UP133'!AU42,"AAAAAHcbrak=")</f>
        <v>#VALUE!</v>
      </c>
      <c r="FO80" t="e">
        <f>AND('UP133'!AV42,"AAAAAHcbrao=")</f>
        <v>#VALUE!</v>
      </c>
      <c r="FP80" t="e">
        <f>AND('UP133'!AW42,"AAAAAHcbras=")</f>
        <v>#VALUE!</v>
      </c>
      <c r="FQ80" t="e">
        <f>AND('UP133'!AX42,"AAAAAHcbraw=")</f>
        <v>#VALUE!</v>
      </c>
      <c r="FR80" t="e">
        <f>AND('UP133'!AY42,"AAAAAHcbra0=")</f>
        <v>#VALUE!</v>
      </c>
      <c r="FS80" t="e">
        <f>AND('UP133'!AZ42,"AAAAAHcbra4=")</f>
        <v>#VALUE!</v>
      </c>
      <c r="FT80" t="e">
        <f>AND('UP133'!BA42,"AAAAAHcbra8=")</f>
        <v>#VALUE!</v>
      </c>
      <c r="FU80" t="e">
        <f>AND('UP133'!BB42,"AAAAAHcbrbA=")</f>
        <v>#VALUE!</v>
      </c>
      <c r="FV80" t="e">
        <f>AND('UP133'!BC42,"AAAAAHcbrbE=")</f>
        <v>#VALUE!</v>
      </c>
      <c r="FW80" t="e">
        <f>AND('UP133'!BD42,"AAAAAHcbrbI=")</f>
        <v>#VALUE!</v>
      </c>
      <c r="FX80" t="e">
        <f>AND('UP133'!BE42,"AAAAAHcbrbM=")</f>
        <v>#VALUE!</v>
      </c>
      <c r="FY80" t="e">
        <f>AND('UP133'!BF42,"AAAAAHcbrbQ=")</f>
        <v>#VALUE!</v>
      </c>
      <c r="FZ80" t="e">
        <f>AND('UP133'!BG42,"AAAAAHcbrbU=")</f>
        <v>#VALUE!</v>
      </c>
      <c r="GA80" t="e">
        <f>AND('UP133'!BH42,"AAAAAHcbrbY=")</f>
        <v>#VALUE!</v>
      </c>
      <c r="GB80" t="e">
        <f>AND('UP133'!BI42,"AAAAAHcbrbc=")</f>
        <v>#VALUE!</v>
      </c>
      <c r="GC80" t="e">
        <f>AND('UP133'!BJ42,"AAAAAHcbrbg=")</f>
        <v>#VALUE!</v>
      </c>
      <c r="GD80" t="e">
        <f>AND('UP133'!BK42,"AAAAAHcbrbk=")</f>
        <v>#VALUE!</v>
      </c>
      <c r="GE80" t="e">
        <f>AND('UP133'!BL42,"AAAAAHcbrbo=")</f>
        <v>#VALUE!</v>
      </c>
      <c r="GF80" t="e">
        <f>AND('UP133'!BM42,"AAAAAHcbrbs=")</f>
        <v>#VALUE!</v>
      </c>
      <c r="GG80" t="e">
        <f>AND('UP133'!BN42,"AAAAAHcbrbw=")</f>
        <v>#VALUE!</v>
      </c>
      <c r="GH80" t="e">
        <f>AND('UP133'!BO42,"AAAAAHcbrb0=")</f>
        <v>#VALUE!</v>
      </c>
      <c r="GI80" t="e">
        <f>AND('UP133'!BP42,"AAAAAHcbrb4=")</f>
        <v>#VALUE!</v>
      </c>
      <c r="GJ80" t="e">
        <f>AND('UP133'!BQ42,"AAAAAHcbrb8=")</f>
        <v>#VALUE!</v>
      </c>
      <c r="GK80" t="e">
        <f>AND('UP133'!BR42,"AAAAAHcbrcA=")</f>
        <v>#VALUE!</v>
      </c>
      <c r="GL80" t="e">
        <f>AND('UP133'!BS42,"AAAAAHcbrcE=")</f>
        <v>#VALUE!</v>
      </c>
      <c r="GM80" t="e">
        <f>AND('UP133'!BT42,"AAAAAHcbrcI=")</f>
        <v>#VALUE!</v>
      </c>
      <c r="GN80" t="e">
        <f>AND('UP133'!BU42,"AAAAAHcbrcM=")</f>
        <v>#VALUE!</v>
      </c>
      <c r="GO80" t="e">
        <f>AND('UP133'!BV42,"AAAAAHcbrcQ=")</f>
        <v>#VALUE!</v>
      </c>
      <c r="GP80" t="e">
        <f>AND('UP133'!BW42,"AAAAAHcbrcU=")</f>
        <v>#VALUE!</v>
      </c>
      <c r="GQ80" t="e">
        <f>AND('UP133'!BX42,"AAAAAHcbrcY=")</f>
        <v>#VALUE!</v>
      </c>
      <c r="GR80" t="e">
        <f>AND('UP133'!BY42,"AAAAAHcbrcc=")</f>
        <v>#VALUE!</v>
      </c>
      <c r="GS80" t="e">
        <f>AND('UP133'!BZ42,"AAAAAHcbrcg=")</f>
        <v>#VALUE!</v>
      </c>
      <c r="GT80" t="e">
        <f>AND('UP133'!CA42,"AAAAAHcbrck=")</f>
        <v>#VALUE!</v>
      </c>
      <c r="GU80" t="e">
        <f>AND('UP133'!CB42,"AAAAAHcbrco=")</f>
        <v>#VALUE!</v>
      </c>
      <c r="GV80" t="e">
        <f>AND('UP133'!CC42,"AAAAAHcbrcs=")</f>
        <v>#VALUE!</v>
      </c>
      <c r="GW80" t="e">
        <f>AND('UP133'!CD42,"AAAAAHcbrcw=")</f>
        <v>#VALUE!</v>
      </c>
      <c r="GX80" t="e">
        <f>AND('UP133'!CE42,"AAAAAHcbrc0=")</f>
        <v>#VALUE!</v>
      </c>
      <c r="GY80" t="e">
        <f>AND('UP133'!CF42,"AAAAAHcbrc4=")</f>
        <v>#VALUE!</v>
      </c>
      <c r="GZ80" t="e">
        <f>AND('UP133'!CG42,"AAAAAHcbrc8=")</f>
        <v>#VALUE!</v>
      </c>
      <c r="HA80" t="e">
        <f>AND('UP133'!CH42,"AAAAAHcbrdA=")</f>
        <v>#VALUE!</v>
      </c>
      <c r="HB80" t="e">
        <f>AND('UP133'!CI42,"AAAAAHcbrdE=")</f>
        <v>#VALUE!</v>
      </c>
      <c r="HC80" t="e">
        <f>AND('UP133'!CJ42,"AAAAAHcbrdI=")</f>
        <v>#VALUE!</v>
      </c>
      <c r="HD80" t="e">
        <f>AND('UP133'!CK42,"AAAAAHcbrdM=")</f>
        <v>#VALUE!</v>
      </c>
      <c r="HE80" t="e">
        <f>AND('UP133'!CL42,"AAAAAHcbrdQ=")</f>
        <v>#VALUE!</v>
      </c>
      <c r="HF80" t="e">
        <f>AND('UP133'!CM42,"AAAAAHcbrdU=")</f>
        <v>#VALUE!</v>
      </c>
      <c r="HG80" t="e">
        <f>AND('UP133'!CN42,"AAAAAHcbrdY=")</f>
        <v>#VALUE!</v>
      </c>
      <c r="HH80" t="e">
        <f>AND('UP133'!CO42,"AAAAAHcbrdc=")</f>
        <v>#VALUE!</v>
      </c>
      <c r="HI80" t="e">
        <f>AND('UP133'!CP42,"AAAAAHcbrdg=")</f>
        <v>#VALUE!</v>
      </c>
      <c r="HJ80" t="e">
        <f>AND('UP133'!CQ42,"AAAAAHcbrdk=")</f>
        <v>#VALUE!</v>
      </c>
      <c r="HK80" t="e">
        <f>AND('UP133'!CR42,"AAAAAHcbrdo=")</f>
        <v>#VALUE!</v>
      </c>
      <c r="HL80" t="e">
        <f>AND('UP133'!CS42,"AAAAAHcbrds=")</f>
        <v>#VALUE!</v>
      </c>
      <c r="HM80" t="e">
        <f>AND('UP133'!CT42,"AAAAAHcbrdw=")</f>
        <v>#VALUE!</v>
      </c>
      <c r="HN80" t="e">
        <f>AND('UP133'!CU42,"AAAAAHcbrd0=")</f>
        <v>#VALUE!</v>
      </c>
      <c r="HO80" t="e">
        <f>AND('UP133'!CV42,"AAAAAHcbrd4=")</f>
        <v>#VALUE!</v>
      </c>
      <c r="HP80" t="e">
        <f>AND('UP133'!CW42,"AAAAAHcbrd8=")</f>
        <v>#VALUE!</v>
      </c>
      <c r="HQ80" t="e">
        <f>AND('UP133'!CX42,"AAAAAHcbreA=")</f>
        <v>#VALUE!</v>
      </c>
      <c r="HR80" t="e">
        <f>AND('UP133'!CY42,"AAAAAHcbreE=")</f>
        <v>#VALUE!</v>
      </c>
      <c r="HS80" t="e">
        <f>AND('UP133'!CZ42,"AAAAAHcbreI=")</f>
        <v>#VALUE!</v>
      </c>
      <c r="HT80" t="e">
        <f>AND('UP133'!DA42,"AAAAAHcbreM=")</f>
        <v>#VALUE!</v>
      </c>
      <c r="HU80" t="e">
        <f>AND('UP133'!DB42,"AAAAAHcbreQ=")</f>
        <v>#VALUE!</v>
      </c>
      <c r="HV80" t="e">
        <f>AND('UP133'!DC42,"AAAAAHcbreU=")</f>
        <v>#VALUE!</v>
      </c>
      <c r="HW80" t="e">
        <f>AND('UP133'!DD42,"AAAAAHcbreY=")</f>
        <v>#VALUE!</v>
      </c>
      <c r="HX80" t="e">
        <f>AND('UP133'!DE42,"AAAAAHcbrec=")</f>
        <v>#VALUE!</v>
      </c>
      <c r="HY80" t="e">
        <f>AND('UP133'!DF42,"AAAAAHcbreg=")</f>
        <v>#VALUE!</v>
      </c>
      <c r="HZ80" t="e">
        <f>AND('UP133'!DG42,"AAAAAHcbrek=")</f>
        <v>#VALUE!</v>
      </c>
      <c r="IA80" t="e">
        <f>AND('UP133'!DH42,"AAAAAHcbreo=")</f>
        <v>#VALUE!</v>
      </c>
      <c r="IB80" t="e">
        <f>AND('UP133'!DI42,"AAAAAHcbres=")</f>
        <v>#VALUE!</v>
      </c>
      <c r="IC80" t="e">
        <f>AND('UP133'!DJ42,"AAAAAHcbrew=")</f>
        <v>#VALUE!</v>
      </c>
      <c r="ID80" t="e">
        <f>AND('UP133'!DK42,"AAAAAHcbre0=")</f>
        <v>#VALUE!</v>
      </c>
      <c r="IE80" t="e">
        <f>AND('UP133'!DL42,"AAAAAHcbre4=")</f>
        <v>#VALUE!</v>
      </c>
      <c r="IF80" t="e">
        <f>AND('UP133'!DM42,"AAAAAHcbre8=")</f>
        <v>#VALUE!</v>
      </c>
      <c r="IG80" t="e">
        <f>AND('UP133'!DN42,"AAAAAHcbrfA=")</f>
        <v>#VALUE!</v>
      </c>
      <c r="IH80" t="e">
        <f>AND('UP133'!DO42,"AAAAAHcbrfE=")</f>
        <v>#VALUE!</v>
      </c>
      <c r="II80" t="e">
        <f>AND('UP133'!DP42,"AAAAAHcbrfI=")</f>
        <v>#VALUE!</v>
      </c>
      <c r="IJ80" t="e">
        <f>AND('UP133'!DQ42,"AAAAAHcbrfM=")</f>
        <v>#VALUE!</v>
      </c>
      <c r="IK80" t="e">
        <f>AND('UP133'!DR42,"AAAAAHcbrfQ=")</f>
        <v>#VALUE!</v>
      </c>
      <c r="IL80" t="e">
        <f>AND('UP133'!DS42,"AAAAAHcbrfU=")</f>
        <v>#VALUE!</v>
      </c>
      <c r="IM80" t="e">
        <f>AND('UP133'!DT42,"AAAAAHcbrfY=")</f>
        <v>#VALUE!</v>
      </c>
      <c r="IN80" t="e">
        <f>AND('UP133'!DU42,"AAAAAHcbrfc=")</f>
        <v>#VALUE!</v>
      </c>
      <c r="IO80" t="e">
        <f>AND('UP133'!DV42,"AAAAAHcbrfg=")</f>
        <v>#VALUE!</v>
      </c>
      <c r="IP80" t="e">
        <f>AND('UP133'!DW42,"AAAAAHcbrfk=")</f>
        <v>#VALUE!</v>
      </c>
      <c r="IQ80" t="e">
        <f>AND('UP133'!DX42,"AAAAAHcbrfo=")</f>
        <v>#VALUE!</v>
      </c>
      <c r="IR80" t="e">
        <f>AND('UP133'!DY42,"AAAAAHcbrfs=")</f>
        <v>#VALUE!</v>
      </c>
      <c r="IS80" t="e">
        <f>AND('UP133'!DZ42,"AAAAAHcbrfw=")</f>
        <v>#VALUE!</v>
      </c>
      <c r="IT80" t="e">
        <f>AND('UP133'!EA42,"AAAAAHcbrf0=")</f>
        <v>#VALUE!</v>
      </c>
      <c r="IU80" t="e">
        <f>AND('UP133'!EB42,"AAAAAHcbrf4=")</f>
        <v>#VALUE!</v>
      </c>
      <c r="IV80" t="e">
        <f>AND('UP133'!EC42,"AAAAAHcbrf8=")</f>
        <v>#VALUE!</v>
      </c>
    </row>
    <row r="81" spans="1:256">
      <c r="A81" t="e">
        <f>AND('UP133'!ED42,"AAAAAFn/rgA=")</f>
        <v>#VALUE!</v>
      </c>
      <c r="B81" t="e">
        <f>AND('UP133'!EE42,"AAAAAFn/rgE=")</f>
        <v>#VALUE!</v>
      </c>
      <c r="C81" t="e">
        <f>AND('UP133'!EF42,"AAAAAFn/rgI=")</f>
        <v>#VALUE!</v>
      </c>
      <c r="D81" t="e">
        <f>AND('UP133'!EG42,"AAAAAFn/rgM=")</f>
        <v>#VALUE!</v>
      </c>
      <c r="E81" t="e">
        <f>AND('UP133'!EH42,"AAAAAFn/rgQ=")</f>
        <v>#VALUE!</v>
      </c>
      <c r="F81" t="e">
        <f>AND('UP133'!EI42,"AAAAAFn/rgU=")</f>
        <v>#VALUE!</v>
      </c>
      <c r="G81" t="e">
        <f>AND('UP133'!EJ42,"AAAAAFn/rgY=")</f>
        <v>#VALUE!</v>
      </c>
      <c r="H81" t="e">
        <f>AND('UP133'!EK42,"AAAAAFn/rgc=")</f>
        <v>#VALUE!</v>
      </c>
      <c r="I81" t="e">
        <f>AND('UP133'!EL42,"AAAAAFn/rgg=")</f>
        <v>#VALUE!</v>
      </c>
      <c r="J81" t="e">
        <f>AND('UP133'!EM42,"AAAAAFn/rgk=")</f>
        <v>#VALUE!</v>
      </c>
      <c r="K81" t="e">
        <f>AND('UP133'!EN42,"AAAAAFn/rgo=")</f>
        <v>#VALUE!</v>
      </c>
      <c r="L81" t="e">
        <f>AND('UP133'!EO42,"AAAAAFn/rgs=")</f>
        <v>#VALUE!</v>
      </c>
      <c r="M81" t="e">
        <f>AND('UP133'!EP42,"AAAAAFn/rgw=")</f>
        <v>#VALUE!</v>
      </c>
      <c r="N81" t="e">
        <f>AND('UP133'!EQ42,"AAAAAFn/rg0=")</f>
        <v>#VALUE!</v>
      </c>
      <c r="O81" t="e">
        <f>AND('UP133'!ER42,"AAAAAFn/rg4=")</f>
        <v>#VALUE!</v>
      </c>
      <c r="P81" t="e">
        <f>AND('UP133'!ES42,"AAAAAFn/rg8=")</f>
        <v>#VALUE!</v>
      </c>
      <c r="Q81" t="e">
        <f>AND('UP133'!ET42,"AAAAAFn/rhA=")</f>
        <v>#VALUE!</v>
      </c>
      <c r="R81" t="e">
        <f>AND('UP133'!EU42,"AAAAAFn/rhE=")</f>
        <v>#VALUE!</v>
      </c>
      <c r="S81" t="e">
        <f>AND('UP133'!EV42,"AAAAAFn/rhI=")</f>
        <v>#VALUE!</v>
      </c>
      <c r="T81" t="e">
        <f>AND('UP133'!EW42,"AAAAAFn/rhM=")</f>
        <v>#VALUE!</v>
      </c>
      <c r="U81" t="e">
        <f>AND('UP133'!EX42,"AAAAAFn/rhQ=")</f>
        <v>#VALUE!</v>
      </c>
      <c r="V81" t="e">
        <f>AND('UP133'!EY42,"AAAAAFn/rhU=")</f>
        <v>#VALUE!</v>
      </c>
      <c r="W81" t="e">
        <f>AND('UP133'!EZ42,"AAAAAFn/rhY=")</f>
        <v>#VALUE!</v>
      </c>
      <c r="X81" t="e">
        <f>AND('UP133'!FA42,"AAAAAFn/rhc=")</f>
        <v>#VALUE!</v>
      </c>
      <c r="Y81" t="e">
        <f>AND('UP133'!FB42,"AAAAAFn/rhg=")</f>
        <v>#VALUE!</v>
      </c>
      <c r="Z81" t="e">
        <f>AND('UP133'!FC42,"AAAAAFn/rhk=")</f>
        <v>#VALUE!</v>
      </c>
      <c r="AA81" t="e">
        <f>AND('UP133'!FD42,"AAAAAFn/rho=")</f>
        <v>#VALUE!</v>
      </c>
      <c r="AB81" t="e">
        <f>AND('UP133'!FE42,"AAAAAFn/rhs=")</f>
        <v>#VALUE!</v>
      </c>
      <c r="AC81" t="e">
        <f>AND('UP133'!FF42,"AAAAAFn/rhw=")</f>
        <v>#VALUE!</v>
      </c>
      <c r="AD81" t="e">
        <f>AND('UP133'!FG42,"AAAAAFn/rh0=")</f>
        <v>#VALUE!</v>
      </c>
      <c r="AE81" t="e">
        <f>AND('UP133'!FH42,"AAAAAFn/rh4=")</f>
        <v>#VALUE!</v>
      </c>
      <c r="AF81" t="e">
        <f>AND('UP133'!FI42,"AAAAAFn/rh8=")</f>
        <v>#VALUE!</v>
      </c>
      <c r="AG81" t="e">
        <f>AND('UP133'!FJ42,"AAAAAFn/riA=")</f>
        <v>#VALUE!</v>
      </c>
      <c r="AH81" t="e">
        <f>AND('UP133'!FK42,"AAAAAFn/riE=")</f>
        <v>#VALUE!</v>
      </c>
      <c r="AI81" t="e">
        <f>AND('UP133'!FL42,"AAAAAFn/riI=")</f>
        <v>#VALUE!</v>
      </c>
      <c r="AJ81" t="e">
        <f>AND('UP133'!FM42,"AAAAAFn/riM=")</f>
        <v>#VALUE!</v>
      </c>
      <c r="AK81" t="e">
        <f>AND('UP133'!FN42,"AAAAAFn/riQ=")</f>
        <v>#VALUE!</v>
      </c>
      <c r="AL81" t="e">
        <f>AND('UP133'!FO42,"AAAAAFn/riU=")</f>
        <v>#VALUE!</v>
      </c>
      <c r="AM81" t="e">
        <f>AND('UP133'!FP42,"AAAAAFn/riY=")</f>
        <v>#VALUE!</v>
      </c>
      <c r="AN81" t="e">
        <f>AND('UP133'!FQ42,"AAAAAFn/ric=")</f>
        <v>#VALUE!</v>
      </c>
      <c r="AO81" t="e">
        <f>AND('UP133'!FR42,"AAAAAFn/rig=")</f>
        <v>#VALUE!</v>
      </c>
      <c r="AP81" t="e">
        <f>AND('UP133'!FS42,"AAAAAFn/rik=")</f>
        <v>#VALUE!</v>
      </c>
      <c r="AQ81" t="e">
        <f>AND('UP133'!FT42,"AAAAAFn/rio=")</f>
        <v>#VALUE!</v>
      </c>
      <c r="AR81" t="e">
        <f>AND('UP133'!FU42,"AAAAAFn/ris=")</f>
        <v>#VALUE!</v>
      </c>
      <c r="AS81" t="e">
        <f>AND('UP133'!FV42,"AAAAAFn/riw=")</f>
        <v>#VALUE!</v>
      </c>
      <c r="AT81" t="e">
        <f>AND('UP133'!FW42,"AAAAAFn/ri0=")</f>
        <v>#VALUE!</v>
      </c>
      <c r="AU81" t="e">
        <f>AND('UP133'!FX42,"AAAAAFn/ri4=")</f>
        <v>#VALUE!</v>
      </c>
      <c r="AV81" t="e">
        <f>AND('UP133'!FY42,"AAAAAFn/ri8=")</f>
        <v>#VALUE!</v>
      </c>
      <c r="AW81" t="e">
        <f>AND('UP133'!FZ42,"AAAAAFn/rjA=")</f>
        <v>#VALUE!</v>
      </c>
      <c r="AX81" t="e">
        <f>AND('UP133'!GA42,"AAAAAFn/rjE=")</f>
        <v>#VALUE!</v>
      </c>
      <c r="AY81" t="e">
        <f>AND('UP133'!GB42,"AAAAAFn/rjI=")</f>
        <v>#VALUE!</v>
      </c>
      <c r="AZ81" t="e">
        <f>AND('UP133'!GC42,"AAAAAFn/rjM=")</f>
        <v>#VALUE!</v>
      </c>
      <c r="BA81" t="e">
        <f>AND('UP133'!GD42,"AAAAAFn/rjQ=")</f>
        <v>#VALUE!</v>
      </c>
      <c r="BB81" t="e">
        <f>AND('UP133'!GE42,"AAAAAFn/rjU=")</f>
        <v>#VALUE!</v>
      </c>
      <c r="BC81" t="e">
        <f>AND('UP133'!GF42,"AAAAAFn/rjY=")</f>
        <v>#VALUE!</v>
      </c>
      <c r="BD81" t="e">
        <f>AND('UP133'!GG42,"AAAAAFn/rjc=")</f>
        <v>#VALUE!</v>
      </c>
      <c r="BE81" t="e">
        <f>AND('UP133'!GH42,"AAAAAFn/rjg=")</f>
        <v>#VALUE!</v>
      </c>
      <c r="BF81" t="e">
        <f>AND('UP133'!GI42,"AAAAAFn/rjk=")</f>
        <v>#VALUE!</v>
      </c>
      <c r="BG81" t="e">
        <f>AND('UP133'!GJ42,"AAAAAFn/rjo=")</f>
        <v>#VALUE!</v>
      </c>
      <c r="BH81" t="e">
        <f>AND('UP133'!GK42,"AAAAAFn/rjs=")</f>
        <v>#VALUE!</v>
      </c>
      <c r="BI81" t="e">
        <f>AND('UP133'!GL42,"AAAAAFn/rjw=")</f>
        <v>#VALUE!</v>
      </c>
      <c r="BJ81" t="e">
        <f>AND('UP133'!GM42,"AAAAAFn/rj0=")</f>
        <v>#VALUE!</v>
      </c>
      <c r="BK81" t="e">
        <f>AND('UP133'!GN42,"AAAAAFn/rj4=")</f>
        <v>#VALUE!</v>
      </c>
      <c r="BL81" t="e">
        <f>AND('UP133'!GO42,"AAAAAFn/rj8=")</f>
        <v>#VALUE!</v>
      </c>
      <c r="BM81" t="e">
        <f>AND('UP133'!GP42,"AAAAAFn/rkA=")</f>
        <v>#VALUE!</v>
      </c>
      <c r="BN81" t="e">
        <f>AND('UP133'!GQ42,"AAAAAFn/rkE=")</f>
        <v>#VALUE!</v>
      </c>
      <c r="BO81" t="e">
        <f>AND('UP133'!GR42,"AAAAAFn/rkI=")</f>
        <v>#VALUE!</v>
      </c>
      <c r="BP81" t="e">
        <f>AND('UP133'!GS42,"AAAAAFn/rkM=")</f>
        <v>#VALUE!</v>
      </c>
      <c r="BQ81" t="e">
        <f>AND('UP133'!GT42,"AAAAAFn/rkQ=")</f>
        <v>#VALUE!</v>
      </c>
      <c r="BR81" t="e">
        <f>AND('UP133'!GU42,"AAAAAFn/rkU=")</f>
        <v>#VALUE!</v>
      </c>
      <c r="BS81" t="e">
        <f>AND('UP133'!GV42,"AAAAAFn/rkY=")</f>
        <v>#VALUE!</v>
      </c>
      <c r="BT81" t="e">
        <f>AND('UP133'!GW42,"AAAAAFn/rkc=")</f>
        <v>#VALUE!</v>
      </c>
      <c r="BU81" t="e">
        <f>AND('UP133'!GX42,"AAAAAFn/rkg=")</f>
        <v>#VALUE!</v>
      </c>
      <c r="BV81" t="e">
        <f>AND('UP133'!GY42,"AAAAAFn/rkk=")</f>
        <v>#VALUE!</v>
      </c>
      <c r="BW81" t="e">
        <f>AND('UP133'!GZ42,"AAAAAFn/rko=")</f>
        <v>#VALUE!</v>
      </c>
      <c r="BX81" t="e">
        <f>AND('UP133'!HA42,"AAAAAFn/rks=")</f>
        <v>#VALUE!</v>
      </c>
      <c r="BY81" t="e">
        <f>AND('UP133'!HB42,"AAAAAFn/rkw=")</f>
        <v>#VALUE!</v>
      </c>
      <c r="BZ81" t="e">
        <f>AND('UP133'!HC42,"AAAAAFn/rk0=")</f>
        <v>#VALUE!</v>
      </c>
      <c r="CA81" t="e">
        <f>AND('UP133'!HD42,"AAAAAFn/rk4=")</f>
        <v>#VALUE!</v>
      </c>
      <c r="CB81" t="e">
        <f>AND('UP133'!HE42,"AAAAAFn/rk8=")</f>
        <v>#VALUE!</v>
      </c>
      <c r="CC81" t="e">
        <f>AND('UP133'!HF42,"AAAAAFn/rlA=")</f>
        <v>#VALUE!</v>
      </c>
      <c r="CD81" t="e">
        <f>AND('UP133'!HG42,"AAAAAFn/rlE=")</f>
        <v>#VALUE!</v>
      </c>
      <c r="CE81" t="e">
        <f>AND('UP133'!HH42,"AAAAAFn/rlI=")</f>
        <v>#VALUE!</v>
      </c>
      <c r="CF81" t="e">
        <f>AND('UP133'!HI42,"AAAAAFn/rlM=")</f>
        <v>#VALUE!</v>
      </c>
      <c r="CG81" t="e">
        <f>AND('UP133'!HJ42,"AAAAAFn/rlQ=")</f>
        <v>#VALUE!</v>
      </c>
      <c r="CH81" t="e">
        <f>AND('UP133'!HK42,"AAAAAFn/rlU=")</f>
        <v>#VALUE!</v>
      </c>
      <c r="CI81" t="e">
        <f>AND('UP133'!HL42,"AAAAAFn/rlY=")</f>
        <v>#VALUE!</v>
      </c>
      <c r="CJ81" t="e">
        <f>AND('UP133'!HM42,"AAAAAFn/rlc=")</f>
        <v>#VALUE!</v>
      </c>
      <c r="CK81" t="e">
        <f>AND('UP133'!HN42,"AAAAAFn/rlg=")</f>
        <v>#VALUE!</v>
      </c>
      <c r="CL81" t="e">
        <f>AND('UP133'!HO42,"AAAAAFn/rlk=")</f>
        <v>#VALUE!</v>
      </c>
      <c r="CM81" t="e">
        <f>AND('UP133'!HP42,"AAAAAFn/rlo=")</f>
        <v>#VALUE!</v>
      </c>
      <c r="CN81" t="e">
        <f>AND('UP133'!HQ42,"AAAAAFn/rls=")</f>
        <v>#VALUE!</v>
      </c>
      <c r="CO81" t="e">
        <f>AND('UP133'!HR42,"AAAAAFn/rlw=")</f>
        <v>#VALUE!</v>
      </c>
      <c r="CP81" t="e">
        <f>AND('UP133'!HS42,"AAAAAFn/rl0=")</f>
        <v>#VALUE!</v>
      </c>
      <c r="CQ81" t="e">
        <f>AND('UP133'!HT42,"AAAAAFn/rl4=")</f>
        <v>#VALUE!</v>
      </c>
      <c r="CR81" t="e">
        <f>AND('UP133'!HU42,"AAAAAFn/rl8=")</f>
        <v>#VALUE!</v>
      </c>
      <c r="CS81" t="e">
        <f>AND('UP133'!HV42,"AAAAAFn/rmA=")</f>
        <v>#VALUE!</v>
      </c>
      <c r="CT81" t="e">
        <f>AND('UP133'!HW42,"AAAAAFn/rmE=")</f>
        <v>#VALUE!</v>
      </c>
      <c r="CU81" t="e">
        <f>AND('UP133'!HX42,"AAAAAFn/rmI=")</f>
        <v>#VALUE!</v>
      </c>
      <c r="CV81" t="e">
        <f>AND('UP133'!HY42,"AAAAAFn/rmM=")</f>
        <v>#VALUE!</v>
      </c>
      <c r="CW81" t="e">
        <f>AND('UP133'!HZ42,"AAAAAFn/rmQ=")</f>
        <v>#VALUE!</v>
      </c>
      <c r="CX81" t="e">
        <f>AND('UP133'!IA42,"AAAAAFn/rmU=")</f>
        <v>#VALUE!</v>
      </c>
      <c r="CY81" t="e">
        <f>AND('UP133'!IB42,"AAAAAFn/rmY=")</f>
        <v>#VALUE!</v>
      </c>
      <c r="CZ81" t="e">
        <f>AND('UP133'!IC42,"AAAAAFn/rmc=")</f>
        <v>#VALUE!</v>
      </c>
      <c r="DA81" t="e">
        <f>AND('UP133'!ID42,"AAAAAFn/rmg=")</f>
        <v>#VALUE!</v>
      </c>
      <c r="DB81" t="e">
        <f>AND('UP133'!IE42,"AAAAAFn/rmk=")</f>
        <v>#VALUE!</v>
      </c>
      <c r="DC81" t="e">
        <f>AND('UP133'!IF42,"AAAAAFn/rmo=")</f>
        <v>#VALUE!</v>
      </c>
      <c r="DD81" t="e">
        <f>AND('UP133'!IG42,"AAAAAFn/rms=")</f>
        <v>#VALUE!</v>
      </c>
      <c r="DE81" t="e">
        <f>AND('UP133'!IH42,"AAAAAFn/rmw=")</f>
        <v>#VALUE!</v>
      </c>
      <c r="DF81" t="e">
        <f>AND('UP133'!II42,"AAAAAFn/rm0=")</f>
        <v>#VALUE!</v>
      </c>
      <c r="DG81" t="e">
        <f>AND('UP133'!IJ42,"AAAAAFn/rm4=")</f>
        <v>#VALUE!</v>
      </c>
      <c r="DH81" t="e">
        <f>AND('UP133'!IK42,"AAAAAFn/rm8=")</f>
        <v>#VALUE!</v>
      </c>
      <c r="DI81" t="e">
        <f>AND('UP133'!IL42,"AAAAAFn/rnA=")</f>
        <v>#VALUE!</v>
      </c>
      <c r="DJ81" t="e">
        <f>AND('UP133'!IM42,"AAAAAFn/rnE=")</f>
        <v>#VALUE!</v>
      </c>
      <c r="DK81" t="e">
        <f>AND('UP133'!IN42,"AAAAAFn/rnI=")</f>
        <v>#VALUE!</v>
      </c>
      <c r="DL81" t="e">
        <f>AND('UP133'!IO42,"AAAAAFn/rnM=")</f>
        <v>#VALUE!</v>
      </c>
      <c r="DM81" t="e">
        <f>AND('UP133'!IP42,"AAAAAFn/rnQ=")</f>
        <v>#VALUE!</v>
      </c>
      <c r="DN81" t="e">
        <f>AND('UP133'!IQ42,"AAAAAFn/rnU=")</f>
        <v>#VALUE!</v>
      </c>
      <c r="DO81">
        <f>IF('UP133'!43:43,"AAAAAFn/rnY=",0)</f>
        <v>0</v>
      </c>
      <c r="DP81" t="e">
        <f>AND('UP133'!A43,"AAAAAFn/rnc=")</f>
        <v>#VALUE!</v>
      </c>
      <c r="DQ81" t="e">
        <f>AND('UP133'!B43,"AAAAAFn/rng=")</f>
        <v>#VALUE!</v>
      </c>
      <c r="DR81" t="e">
        <f>AND('UP133'!C43,"AAAAAFn/rnk=")</f>
        <v>#VALUE!</v>
      </c>
      <c r="DS81" t="e">
        <f>AND('UP133'!D43,"AAAAAFn/rno=")</f>
        <v>#VALUE!</v>
      </c>
      <c r="DT81" t="e">
        <f>AND('UP133'!E43,"AAAAAFn/rns=")</f>
        <v>#VALUE!</v>
      </c>
      <c r="DU81" t="e">
        <f>AND('UP133'!F43,"AAAAAFn/rnw=")</f>
        <v>#VALUE!</v>
      </c>
      <c r="DV81" t="e">
        <f>AND('UP133'!G43,"AAAAAFn/rn0=")</f>
        <v>#VALUE!</v>
      </c>
      <c r="DW81" t="e">
        <f>AND('UP133'!H43,"AAAAAFn/rn4=")</f>
        <v>#VALUE!</v>
      </c>
      <c r="DX81" t="e">
        <f>AND('UP133'!I43,"AAAAAFn/rn8=")</f>
        <v>#VALUE!</v>
      </c>
      <c r="DY81" t="e">
        <f>AND('UP133'!J43,"AAAAAFn/roA=")</f>
        <v>#VALUE!</v>
      </c>
      <c r="DZ81" t="e">
        <f>AND('UP133'!K43,"AAAAAFn/roE=")</f>
        <v>#VALUE!</v>
      </c>
      <c r="EA81" t="e">
        <f>AND('UP133'!L43,"AAAAAFn/roI=")</f>
        <v>#VALUE!</v>
      </c>
      <c r="EB81" t="e">
        <f>AND('UP133'!M43,"AAAAAFn/roM=")</f>
        <v>#VALUE!</v>
      </c>
      <c r="EC81" t="e">
        <f>AND('UP133'!N43,"AAAAAFn/roQ=")</f>
        <v>#VALUE!</v>
      </c>
      <c r="ED81" t="e">
        <f>AND('UP133'!O43,"AAAAAFn/roU=")</f>
        <v>#VALUE!</v>
      </c>
      <c r="EE81" t="e">
        <f>AND('UP133'!P43,"AAAAAFn/roY=")</f>
        <v>#VALUE!</v>
      </c>
      <c r="EF81" t="e">
        <f>AND('UP133'!Q43,"AAAAAFn/roc=")</f>
        <v>#VALUE!</v>
      </c>
      <c r="EG81" t="e">
        <f>AND('UP133'!R43,"AAAAAFn/rog=")</f>
        <v>#VALUE!</v>
      </c>
      <c r="EH81" t="e">
        <f>AND('UP133'!S43,"AAAAAFn/rok=")</f>
        <v>#VALUE!</v>
      </c>
      <c r="EI81" t="e">
        <f>AND('UP133'!T43,"AAAAAFn/roo=")</f>
        <v>#VALUE!</v>
      </c>
      <c r="EJ81" t="e">
        <f>AND('UP133'!U43,"AAAAAFn/ros=")</f>
        <v>#VALUE!</v>
      </c>
      <c r="EK81" t="e">
        <f>AND('UP133'!V43,"AAAAAFn/row=")</f>
        <v>#VALUE!</v>
      </c>
      <c r="EL81" t="e">
        <f>AND('UP133'!W43,"AAAAAFn/ro0=")</f>
        <v>#VALUE!</v>
      </c>
      <c r="EM81" t="e">
        <f>AND('UP133'!X43,"AAAAAFn/ro4=")</f>
        <v>#VALUE!</v>
      </c>
      <c r="EN81" t="e">
        <f>AND('UP133'!Y43,"AAAAAFn/ro8=")</f>
        <v>#VALUE!</v>
      </c>
      <c r="EO81" t="e">
        <f>AND('UP133'!Z43,"AAAAAFn/rpA=")</f>
        <v>#VALUE!</v>
      </c>
      <c r="EP81" t="e">
        <f>AND('UP133'!AA43,"AAAAAFn/rpE=")</f>
        <v>#VALUE!</v>
      </c>
      <c r="EQ81" t="e">
        <f>AND('UP133'!AB43,"AAAAAFn/rpI=")</f>
        <v>#VALUE!</v>
      </c>
      <c r="ER81" t="e">
        <f>AND('UP133'!AC43,"AAAAAFn/rpM=")</f>
        <v>#VALUE!</v>
      </c>
      <c r="ES81" t="e">
        <f>AND('UP133'!AD43,"AAAAAFn/rpQ=")</f>
        <v>#VALUE!</v>
      </c>
      <c r="ET81" t="e">
        <f>AND('UP133'!AE43,"AAAAAFn/rpU=")</f>
        <v>#VALUE!</v>
      </c>
      <c r="EU81" t="e">
        <f>AND('UP133'!AF43,"AAAAAFn/rpY=")</f>
        <v>#VALUE!</v>
      </c>
      <c r="EV81" t="e">
        <f>AND('UP133'!AG43,"AAAAAFn/rpc=")</f>
        <v>#VALUE!</v>
      </c>
      <c r="EW81" t="e">
        <f>AND('UP133'!AH43,"AAAAAFn/rpg=")</f>
        <v>#VALUE!</v>
      </c>
      <c r="EX81" t="e">
        <f>AND('UP133'!AI43,"AAAAAFn/rpk=")</f>
        <v>#VALUE!</v>
      </c>
      <c r="EY81" t="e">
        <f>AND('UP133'!AJ43,"AAAAAFn/rpo=")</f>
        <v>#VALUE!</v>
      </c>
      <c r="EZ81" t="e">
        <f>AND('UP133'!AK43,"AAAAAFn/rps=")</f>
        <v>#VALUE!</v>
      </c>
      <c r="FA81" t="e">
        <f>AND('UP133'!AL43,"AAAAAFn/rpw=")</f>
        <v>#VALUE!</v>
      </c>
      <c r="FB81" t="e">
        <f>AND('UP133'!AM43,"AAAAAFn/rp0=")</f>
        <v>#VALUE!</v>
      </c>
      <c r="FC81" t="e">
        <f>AND('UP133'!AN43,"AAAAAFn/rp4=")</f>
        <v>#VALUE!</v>
      </c>
      <c r="FD81" t="e">
        <f>AND('UP133'!AO43,"AAAAAFn/rp8=")</f>
        <v>#VALUE!</v>
      </c>
      <c r="FE81" t="e">
        <f>AND('UP133'!AP43,"AAAAAFn/rqA=")</f>
        <v>#VALUE!</v>
      </c>
      <c r="FF81" t="e">
        <f>AND('UP133'!AQ43,"AAAAAFn/rqE=")</f>
        <v>#VALUE!</v>
      </c>
      <c r="FG81" t="e">
        <f>AND('UP133'!AR43,"AAAAAFn/rqI=")</f>
        <v>#VALUE!</v>
      </c>
      <c r="FH81" t="e">
        <f>AND('UP133'!AS43,"AAAAAFn/rqM=")</f>
        <v>#VALUE!</v>
      </c>
      <c r="FI81" t="e">
        <f>AND('UP133'!AT43,"AAAAAFn/rqQ=")</f>
        <v>#VALUE!</v>
      </c>
      <c r="FJ81" t="e">
        <f>AND('UP133'!AU43,"AAAAAFn/rqU=")</f>
        <v>#VALUE!</v>
      </c>
      <c r="FK81" t="e">
        <f>AND('UP133'!AV43,"AAAAAFn/rqY=")</f>
        <v>#VALUE!</v>
      </c>
      <c r="FL81" t="e">
        <f>AND('UP133'!AW43,"AAAAAFn/rqc=")</f>
        <v>#VALUE!</v>
      </c>
      <c r="FM81" t="e">
        <f>AND('UP133'!AX43,"AAAAAFn/rqg=")</f>
        <v>#VALUE!</v>
      </c>
      <c r="FN81" t="e">
        <f>AND('UP133'!AY43,"AAAAAFn/rqk=")</f>
        <v>#VALUE!</v>
      </c>
      <c r="FO81" t="e">
        <f>AND('UP133'!AZ43,"AAAAAFn/rqo=")</f>
        <v>#VALUE!</v>
      </c>
      <c r="FP81" t="e">
        <f>AND('UP133'!BA43,"AAAAAFn/rqs=")</f>
        <v>#VALUE!</v>
      </c>
      <c r="FQ81" t="e">
        <f>AND('UP133'!BB43,"AAAAAFn/rqw=")</f>
        <v>#VALUE!</v>
      </c>
      <c r="FR81" t="e">
        <f>AND('UP133'!BC43,"AAAAAFn/rq0=")</f>
        <v>#VALUE!</v>
      </c>
      <c r="FS81" t="e">
        <f>AND('UP133'!BD43,"AAAAAFn/rq4=")</f>
        <v>#VALUE!</v>
      </c>
      <c r="FT81" t="e">
        <f>AND('UP133'!BE43,"AAAAAFn/rq8=")</f>
        <v>#VALUE!</v>
      </c>
      <c r="FU81" t="e">
        <f>AND('UP133'!BF43,"AAAAAFn/rrA=")</f>
        <v>#VALUE!</v>
      </c>
      <c r="FV81" t="e">
        <f>AND('UP133'!BG43,"AAAAAFn/rrE=")</f>
        <v>#VALUE!</v>
      </c>
      <c r="FW81" t="e">
        <f>AND('UP133'!BH43,"AAAAAFn/rrI=")</f>
        <v>#VALUE!</v>
      </c>
      <c r="FX81" t="e">
        <f>AND('UP133'!BI43,"AAAAAFn/rrM=")</f>
        <v>#VALUE!</v>
      </c>
      <c r="FY81" t="e">
        <f>AND('UP133'!BJ43,"AAAAAFn/rrQ=")</f>
        <v>#VALUE!</v>
      </c>
      <c r="FZ81" t="e">
        <f>AND('UP133'!BK43,"AAAAAFn/rrU=")</f>
        <v>#VALUE!</v>
      </c>
      <c r="GA81" t="e">
        <f>AND('UP133'!BL43,"AAAAAFn/rrY=")</f>
        <v>#VALUE!</v>
      </c>
      <c r="GB81" t="e">
        <f>AND('UP133'!BM43,"AAAAAFn/rrc=")</f>
        <v>#VALUE!</v>
      </c>
      <c r="GC81" t="e">
        <f>AND('UP133'!BN43,"AAAAAFn/rrg=")</f>
        <v>#VALUE!</v>
      </c>
      <c r="GD81" t="e">
        <f>AND('UP133'!BO43,"AAAAAFn/rrk=")</f>
        <v>#VALUE!</v>
      </c>
      <c r="GE81" t="e">
        <f>AND('UP133'!BP43,"AAAAAFn/rro=")</f>
        <v>#VALUE!</v>
      </c>
      <c r="GF81" t="e">
        <f>AND('UP133'!BQ43,"AAAAAFn/rrs=")</f>
        <v>#VALUE!</v>
      </c>
      <c r="GG81" t="e">
        <f>AND('UP133'!BR43,"AAAAAFn/rrw=")</f>
        <v>#VALUE!</v>
      </c>
      <c r="GH81" t="e">
        <f>AND('UP133'!BS43,"AAAAAFn/rr0=")</f>
        <v>#VALUE!</v>
      </c>
      <c r="GI81" t="e">
        <f>AND('UP133'!BT43,"AAAAAFn/rr4=")</f>
        <v>#VALUE!</v>
      </c>
      <c r="GJ81" t="e">
        <f>AND('UP133'!BU43,"AAAAAFn/rr8=")</f>
        <v>#VALUE!</v>
      </c>
      <c r="GK81" t="e">
        <f>AND('UP133'!BV43,"AAAAAFn/rsA=")</f>
        <v>#VALUE!</v>
      </c>
      <c r="GL81" t="e">
        <f>AND('UP133'!BW43,"AAAAAFn/rsE=")</f>
        <v>#VALUE!</v>
      </c>
      <c r="GM81" t="e">
        <f>AND('UP133'!BX43,"AAAAAFn/rsI=")</f>
        <v>#VALUE!</v>
      </c>
      <c r="GN81" t="e">
        <f>AND('UP133'!BY43,"AAAAAFn/rsM=")</f>
        <v>#VALUE!</v>
      </c>
      <c r="GO81" t="e">
        <f>AND('UP133'!BZ43,"AAAAAFn/rsQ=")</f>
        <v>#VALUE!</v>
      </c>
      <c r="GP81" t="e">
        <f>AND('UP133'!CA43,"AAAAAFn/rsU=")</f>
        <v>#VALUE!</v>
      </c>
      <c r="GQ81" t="e">
        <f>AND('UP133'!CB43,"AAAAAFn/rsY=")</f>
        <v>#VALUE!</v>
      </c>
      <c r="GR81" t="e">
        <f>AND('UP133'!CC43,"AAAAAFn/rsc=")</f>
        <v>#VALUE!</v>
      </c>
      <c r="GS81" t="e">
        <f>AND('UP133'!CD43,"AAAAAFn/rsg=")</f>
        <v>#VALUE!</v>
      </c>
      <c r="GT81" t="e">
        <f>AND('UP133'!CE43,"AAAAAFn/rsk=")</f>
        <v>#VALUE!</v>
      </c>
      <c r="GU81" t="e">
        <f>AND('UP133'!CF43,"AAAAAFn/rso=")</f>
        <v>#VALUE!</v>
      </c>
      <c r="GV81" t="e">
        <f>AND('UP133'!CG43,"AAAAAFn/rss=")</f>
        <v>#VALUE!</v>
      </c>
      <c r="GW81" t="e">
        <f>AND('UP133'!CH43,"AAAAAFn/rsw=")</f>
        <v>#VALUE!</v>
      </c>
      <c r="GX81" t="e">
        <f>AND('UP133'!CI43,"AAAAAFn/rs0=")</f>
        <v>#VALUE!</v>
      </c>
      <c r="GY81" t="e">
        <f>AND('UP133'!CJ43,"AAAAAFn/rs4=")</f>
        <v>#VALUE!</v>
      </c>
      <c r="GZ81" t="e">
        <f>AND('UP133'!CK43,"AAAAAFn/rs8=")</f>
        <v>#VALUE!</v>
      </c>
      <c r="HA81" t="e">
        <f>AND('UP133'!CL43,"AAAAAFn/rtA=")</f>
        <v>#VALUE!</v>
      </c>
      <c r="HB81" t="e">
        <f>AND('UP133'!CM43,"AAAAAFn/rtE=")</f>
        <v>#VALUE!</v>
      </c>
      <c r="HC81" t="e">
        <f>AND('UP133'!CN43,"AAAAAFn/rtI=")</f>
        <v>#VALUE!</v>
      </c>
      <c r="HD81" t="e">
        <f>AND('UP133'!CO43,"AAAAAFn/rtM=")</f>
        <v>#VALUE!</v>
      </c>
      <c r="HE81" t="e">
        <f>AND('UP133'!CP43,"AAAAAFn/rtQ=")</f>
        <v>#VALUE!</v>
      </c>
      <c r="HF81" t="e">
        <f>AND('UP133'!CQ43,"AAAAAFn/rtU=")</f>
        <v>#VALUE!</v>
      </c>
      <c r="HG81" t="e">
        <f>AND('UP133'!CR43,"AAAAAFn/rtY=")</f>
        <v>#VALUE!</v>
      </c>
      <c r="HH81" t="e">
        <f>AND('UP133'!CS43,"AAAAAFn/rtc=")</f>
        <v>#VALUE!</v>
      </c>
      <c r="HI81" t="e">
        <f>AND('UP133'!CT43,"AAAAAFn/rtg=")</f>
        <v>#VALUE!</v>
      </c>
      <c r="HJ81" t="e">
        <f>AND('UP133'!CU43,"AAAAAFn/rtk=")</f>
        <v>#VALUE!</v>
      </c>
      <c r="HK81" t="e">
        <f>AND('UP133'!CV43,"AAAAAFn/rto=")</f>
        <v>#VALUE!</v>
      </c>
      <c r="HL81" t="e">
        <f>AND('UP133'!CW43,"AAAAAFn/rts=")</f>
        <v>#VALUE!</v>
      </c>
      <c r="HM81" t="e">
        <f>AND('UP133'!CX43,"AAAAAFn/rtw=")</f>
        <v>#VALUE!</v>
      </c>
      <c r="HN81" t="e">
        <f>AND('UP133'!CY43,"AAAAAFn/rt0=")</f>
        <v>#VALUE!</v>
      </c>
      <c r="HO81" t="e">
        <f>AND('UP133'!CZ43,"AAAAAFn/rt4=")</f>
        <v>#VALUE!</v>
      </c>
      <c r="HP81" t="e">
        <f>AND('UP133'!DA43,"AAAAAFn/rt8=")</f>
        <v>#VALUE!</v>
      </c>
      <c r="HQ81" t="e">
        <f>AND('UP133'!DB43,"AAAAAFn/ruA=")</f>
        <v>#VALUE!</v>
      </c>
      <c r="HR81" t="e">
        <f>AND('UP133'!DC43,"AAAAAFn/ruE=")</f>
        <v>#VALUE!</v>
      </c>
      <c r="HS81" t="e">
        <f>AND('UP133'!DD43,"AAAAAFn/ruI=")</f>
        <v>#VALUE!</v>
      </c>
      <c r="HT81" t="e">
        <f>AND('UP133'!DE43,"AAAAAFn/ruM=")</f>
        <v>#VALUE!</v>
      </c>
      <c r="HU81" t="e">
        <f>AND('UP133'!DF43,"AAAAAFn/ruQ=")</f>
        <v>#VALUE!</v>
      </c>
      <c r="HV81" t="e">
        <f>AND('UP133'!DG43,"AAAAAFn/ruU=")</f>
        <v>#VALUE!</v>
      </c>
      <c r="HW81" t="e">
        <f>AND('UP133'!DH43,"AAAAAFn/ruY=")</f>
        <v>#VALUE!</v>
      </c>
      <c r="HX81" t="e">
        <f>AND('UP133'!DI43,"AAAAAFn/ruc=")</f>
        <v>#VALUE!</v>
      </c>
      <c r="HY81" t="e">
        <f>AND('UP133'!DJ43,"AAAAAFn/rug=")</f>
        <v>#VALUE!</v>
      </c>
      <c r="HZ81" t="e">
        <f>AND('UP133'!DK43,"AAAAAFn/ruk=")</f>
        <v>#VALUE!</v>
      </c>
      <c r="IA81" t="e">
        <f>AND('UP133'!DL43,"AAAAAFn/ruo=")</f>
        <v>#VALUE!</v>
      </c>
      <c r="IB81" t="e">
        <f>AND('UP133'!DM43,"AAAAAFn/rus=")</f>
        <v>#VALUE!</v>
      </c>
      <c r="IC81" t="e">
        <f>AND('UP133'!DN43,"AAAAAFn/ruw=")</f>
        <v>#VALUE!</v>
      </c>
      <c r="ID81" t="e">
        <f>AND('UP133'!DO43,"AAAAAFn/ru0=")</f>
        <v>#VALUE!</v>
      </c>
      <c r="IE81" t="e">
        <f>AND('UP133'!DP43,"AAAAAFn/ru4=")</f>
        <v>#VALUE!</v>
      </c>
      <c r="IF81" t="e">
        <f>AND('UP133'!DQ43,"AAAAAFn/ru8=")</f>
        <v>#VALUE!</v>
      </c>
      <c r="IG81" t="e">
        <f>AND('UP133'!DR43,"AAAAAFn/rvA=")</f>
        <v>#VALUE!</v>
      </c>
      <c r="IH81" t="e">
        <f>AND('UP133'!DS43,"AAAAAFn/rvE=")</f>
        <v>#VALUE!</v>
      </c>
      <c r="II81" t="e">
        <f>AND('UP133'!DT43,"AAAAAFn/rvI=")</f>
        <v>#VALUE!</v>
      </c>
      <c r="IJ81" t="e">
        <f>AND('UP133'!DU43,"AAAAAFn/rvM=")</f>
        <v>#VALUE!</v>
      </c>
      <c r="IK81" t="e">
        <f>AND('UP133'!DV43,"AAAAAFn/rvQ=")</f>
        <v>#VALUE!</v>
      </c>
      <c r="IL81" t="e">
        <f>AND('UP133'!DW43,"AAAAAFn/rvU=")</f>
        <v>#VALUE!</v>
      </c>
      <c r="IM81" t="e">
        <f>AND('UP133'!DX43,"AAAAAFn/rvY=")</f>
        <v>#VALUE!</v>
      </c>
      <c r="IN81" t="e">
        <f>AND('UP133'!DY43,"AAAAAFn/rvc=")</f>
        <v>#VALUE!</v>
      </c>
      <c r="IO81" t="e">
        <f>AND('UP133'!DZ43,"AAAAAFn/rvg=")</f>
        <v>#VALUE!</v>
      </c>
      <c r="IP81" t="e">
        <f>AND('UP133'!EA43,"AAAAAFn/rvk=")</f>
        <v>#VALUE!</v>
      </c>
      <c r="IQ81" t="e">
        <f>AND('UP133'!EB43,"AAAAAFn/rvo=")</f>
        <v>#VALUE!</v>
      </c>
      <c r="IR81" t="e">
        <f>AND('UP133'!EC43,"AAAAAFn/rvs=")</f>
        <v>#VALUE!</v>
      </c>
      <c r="IS81" t="e">
        <f>AND('UP133'!ED43,"AAAAAFn/rvw=")</f>
        <v>#VALUE!</v>
      </c>
      <c r="IT81" t="e">
        <f>AND('UP133'!EE43,"AAAAAFn/rv0=")</f>
        <v>#VALUE!</v>
      </c>
      <c r="IU81" t="e">
        <f>AND('UP133'!EF43,"AAAAAFn/rv4=")</f>
        <v>#VALUE!</v>
      </c>
      <c r="IV81" t="e">
        <f>AND('UP133'!EG43,"AAAAAFn/rv8=")</f>
        <v>#VALUE!</v>
      </c>
    </row>
    <row r="82" spans="1:256">
      <c r="A82" t="e">
        <f>AND('UP133'!EH43,"AAAAAH3vfwA=")</f>
        <v>#VALUE!</v>
      </c>
      <c r="B82" t="e">
        <f>AND('UP133'!EI43,"AAAAAH3vfwE=")</f>
        <v>#VALUE!</v>
      </c>
      <c r="C82" t="e">
        <f>AND('UP133'!EJ43,"AAAAAH3vfwI=")</f>
        <v>#VALUE!</v>
      </c>
      <c r="D82" t="e">
        <f>AND('UP133'!EK43,"AAAAAH3vfwM=")</f>
        <v>#VALUE!</v>
      </c>
      <c r="E82" t="e">
        <f>AND('UP133'!EL43,"AAAAAH3vfwQ=")</f>
        <v>#VALUE!</v>
      </c>
      <c r="F82" t="e">
        <f>AND('UP133'!EM43,"AAAAAH3vfwU=")</f>
        <v>#VALUE!</v>
      </c>
      <c r="G82" t="e">
        <f>AND('UP133'!EN43,"AAAAAH3vfwY=")</f>
        <v>#VALUE!</v>
      </c>
      <c r="H82" t="e">
        <f>AND('UP133'!EO43,"AAAAAH3vfwc=")</f>
        <v>#VALUE!</v>
      </c>
      <c r="I82" t="e">
        <f>AND('UP133'!EP43,"AAAAAH3vfwg=")</f>
        <v>#VALUE!</v>
      </c>
      <c r="J82" t="e">
        <f>AND('UP133'!EQ43,"AAAAAH3vfwk=")</f>
        <v>#VALUE!</v>
      </c>
      <c r="K82" t="e">
        <f>AND('UP133'!ER43,"AAAAAH3vfwo=")</f>
        <v>#VALUE!</v>
      </c>
      <c r="L82" t="e">
        <f>AND('UP133'!ES43,"AAAAAH3vfws=")</f>
        <v>#VALUE!</v>
      </c>
      <c r="M82" t="e">
        <f>AND('UP133'!ET43,"AAAAAH3vfww=")</f>
        <v>#VALUE!</v>
      </c>
      <c r="N82" t="e">
        <f>AND('UP133'!EU43,"AAAAAH3vfw0=")</f>
        <v>#VALUE!</v>
      </c>
      <c r="O82" t="e">
        <f>AND('UP133'!EV43,"AAAAAH3vfw4=")</f>
        <v>#VALUE!</v>
      </c>
      <c r="P82" t="e">
        <f>AND('UP133'!EW43,"AAAAAH3vfw8=")</f>
        <v>#VALUE!</v>
      </c>
      <c r="Q82" t="e">
        <f>AND('UP133'!EX43,"AAAAAH3vfxA=")</f>
        <v>#VALUE!</v>
      </c>
      <c r="R82" t="e">
        <f>AND('UP133'!EY43,"AAAAAH3vfxE=")</f>
        <v>#VALUE!</v>
      </c>
      <c r="S82" t="e">
        <f>AND('UP133'!EZ43,"AAAAAH3vfxI=")</f>
        <v>#VALUE!</v>
      </c>
      <c r="T82" t="e">
        <f>AND('UP133'!FA43,"AAAAAH3vfxM=")</f>
        <v>#VALUE!</v>
      </c>
      <c r="U82" t="e">
        <f>AND('UP133'!FB43,"AAAAAH3vfxQ=")</f>
        <v>#VALUE!</v>
      </c>
      <c r="V82" t="e">
        <f>AND('UP133'!FC43,"AAAAAH3vfxU=")</f>
        <v>#VALUE!</v>
      </c>
      <c r="W82" t="e">
        <f>AND('UP133'!FD43,"AAAAAH3vfxY=")</f>
        <v>#VALUE!</v>
      </c>
      <c r="X82" t="e">
        <f>AND('UP133'!FE43,"AAAAAH3vfxc=")</f>
        <v>#VALUE!</v>
      </c>
      <c r="Y82" t="e">
        <f>AND('UP133'!FF43,"AAAAAH3vfxg=")</f>
        <v>#VALUE!</v>
      </c>
      <c r="Z82" t="e">
        <f>AND('UP133'!FG43,"AAAAAH3vfxk=")</f>
        <v>#VALUE!</v>
      </c>
      <c r="AA82" t="e">
        <f>AND('UP133'!FH43,"AAAAAH3vfxo=")</f>
        <v>#VALUE!</v>
      </c>
      <c r="AB82" t="e">
        <f>AND('UP133'!FI43,"AAAAAH3vfxs=")</f>
        <v>#VALUE!</v>
      </c>
      <c r="AC82" t="e">
        <f>AND('UP133'!FJ43,"AAAAAH3vfxw=")</f>
        <v>#VALUE!</v>
      </c>
      <c r="AD82" t="e">
        <f>AND('UP133'!FK43,"AAAAAH3vfx0=")</f>
        <v>#VALUE!</v>
      </c>
      <c r="AE82" t="e">
        <f>AND('UP133'!FL43,"AAAAAH3vfx4=")</f>
        <v>#VALUE!</v>
      </c>
      <c r="AF82" t="e">
        <f>AND('UP133'!FM43,"AAAAAH3vfx8=")</f>
        <v>#VALUE!</v>
      </c>
      <c r="AG82" t="e">
        <f>AND('UP133'!FN43,"AAAAAH3vfyA=")</f>
        <v>#VALUE!</v>
      </c>
      <c r="AH82" t="e">
        <f>AND('UP133'!FO43,"AAAAAH3vfyE=")</f>
        <v>#VALUE!</v>
      </c>
      <c r="AI82" t="e">
        <f>AND('UP133'!FP43,"AAAAAH3vfyI=")</f>
        <v>#VALUE!</v>
      </c>
      <c r="AJ82" t="e">
        <f>AND('UP133'!FQ43,"AAAAAH3vfyM=")</f>
        <v>#VALUE!</v>
      </c>
      <c r="AK82" t="e">
        <f>AND('UP133'!FR43,"AAAAAH3vfyQ=")</f>
        <v>#VALUE!</v>
      </c>
      <c r="AL82" t="e">
        <f>AND('UP133'!FS43,"AAAAAH3vfyU=")</f>
        <v>#VALUE!</v>
      </c>
      <c r="AM82" t="e">
        <f>AND('UP133'!FT43,"AAAAAH3vfyY=")</f>
        <v>#VALUE!</v>
      </c>
      <c r="AN82" t="e">
        <f>AND('UP133'!FU43,"AAAAAH3vfyc=")</f>
        <v>#VALUE!</v>
      </c>
      <c r="AO82" t="e">
        <f>AND('UP133'!FV43,"AAAAAH3vfyg=")</f>
        <v>#VALUE!</v>
      </c>
      <c r="AP82" t="e">
        <f>AND('UP133'!FW43,"AAAAAH3vfyk=")</f>
        <v>#VALUE!</v>
      </c>
      <c r="AQ82" t="e">
        <f>AND('UP133'!FX43,"AAAAAH3vfyo=")</f>
        <v>#VALUE!</v>
      </c>
      <c r="AR82" t="e">
        <f>AND('UP133'!FY43,"AAAAAH3vfys=")</f>
        <v>#VALUE!</v>
      </c>
      <c r="AS82" t="e">
        <f>AND('UP133'!FZ43,"AAAAAH3vfyw=")</f>
        <v>#VALUE!</v>
      </c>
      <c r="AT82" t="e">
        <f>AND('UP133'!GA43,"AAAAAH3vfy0=")</f>
        <v>#VALUE!</v>
      </c>
      <c r="AU82" t="e">
        <f>AND('UP133'!GB43,"AAAAAH3vfy4=")</f>
        <v>#VALUE!</v>
      </c>
      <c r="AV82" t="e">
        <f>AND('UP133'!GC43,"AAAAAH3vfy8=")</f>
        <v>#VALUE!</v>
      </c>
      <c r="AW82" t="e">
        <f>AND('UP133'!GD43,"AAAAAH3vfzA=")</f>
        <v>#VALUE!</v>
      </c>
      <c r="AX82" t="e">
        <f>AND('UP133'!GE43,"AAAAAH3vfzE=")</f>
        <v>#VALUE!</v>
      </c>
      <c r="AY82" t="e">
        <f>AND('UP133'!GF43,"AAAAAH3vfzI=")</f>
        <v>#VALUE!</v>
      </c>
      <c r="AZ82" t="e">
        <f>AND('UP133'!GG43,"AAAAAH3vfzM=")</f>
        <v>#VALUE!</v>
      </c>
      <c r="BA82" t="e">
        <f>AND('UP133'!GH43,"AAAAAH3vfzQ=")</f>
        <v>#VALUE!</v>
      </c>
      <c r="BB82" t="e">
        <f>AND('UP133'!GI43,"AAAAAH3vfzU=")</f>
        <v>#VALUE!</v>
      </c>
      <c r="BC82" t="e">
        <f>AND('UP133'!GJ43,"AAAAAH3vfzY=")</f>
        <v>#VALUE!</v>
      </c>
      <c r="BD82" t="e">
        <f>AND('UP133'!GK43,"AAAAAH3vfzc=")</f>
        <v>#VALUE!</v>
      </c>
      <c r="BE82" t="e">
        <f>AND('UP133'!GL43,"AAAAAH3vfzg=")</f>
        <v>#VALUE!</v>
      </c>
      <c r="BF82" t="e">
        <f>AND('UP133'!GM43,"AAAAAH3vfzk=")</f>
        <v>#VALUE!</v>
      </c>
      <c r="BG82" t="e">
        <f>AND('UP133'!GN43,"AAAAAH3vfzo=")</f>
        <v>#VALUE!</v>
      </c>
      <c r="BH82" t="e">
        <f>AND('UP133'!GO43,"AAAAAH3vfzs=")</f>
        <v>#VALUE!</v>
      </c>
      <c r="BI82" t="e">
        <f>AND('UP133'!GP43,"AAAAAH3vfzw=")</f>
        <v>#VALUE!</v>
      </c>
      <c r="BJ82" t="e">
        <f>AND('UP133'!GQ43,"AAAAAH3vfz0=")</f>
        <v>#VALUE!</v>
      </c>
      <c r="BK82" t="e">
        <f>AND('UP133'!GR43,"AAAAAH3vfz4=")</f>
        <v>#VALUE!</v>
      </c>
      <c r="BL82" t="e">
        <f>AND('UP133'!GS43,"AAAAAH3vfz8=")</f>
        <v>#VALUE!</v>
      </c>
      <c r="BM82" t="e">
        <f>AND('UP133'!GT43,"AAAAAH3vf0A=")</f>
        <v>#VALUE!</v>
      </c>
      <c r="BN82" t="e">
        <f>AND('UP133'!GU43,"AAAAAH3vf0E=")</f>
        <v>#VALUE!</v>
      </c>
      <c r="BO82" t="e">
        <f>AND('UP133'!GV43,"AAAAAH3vf0I=")</f>
        <v>#VALUE!</v>
      </c>
      <c r="BP82" t="e">
        <f>AND('UP133'!GW43,"AAAAAH3vf0M=")</f>
        <v>#VALUE!</v>
      </c>
      <c r="BQ82" t="e">
        <f>AND('UP133'!GX43,"AAAAAH3vf0Q=")</f>
        <v>#VALUE!</v>
      </c>
      <c r="BR82" t="e">
        <f>AND('UP133'!GY43,"AAAAAH3vf0U=")</f>
        <v>#VALUE!</v>
      </c>
      <c r="BS82" t="e">
        <f>AND('UP133'!GZ43,"AAAAAH3vf0Y=")</f>
        <v>#VALUE!</v>
      </c>
      <c r="BT82" t="e">
        <f>AND('UP133'!HA43,"AAAAAH3vf0c=")</f>
        <v>#VALUE!</v>
      </c>
      <c r="BU82" t="e">
        <f>AND('UP133'!HB43,"AAAAAH3vf0g=")</f>
        <v>#VALUE!</v>
      </c>
      <c r="BV82" t="e">
        <f>AND('UP133'!HC43,"AAAAAH3vf0k=")</f>
        <v>#VALUE!</v>
      </c>
      <c r="BW82" t="e">
        <f>AND('UP133'!HD43,"AAAAAH3vf0o=")</f>
        <v>#VALUE!</v>
      </c>
      <c r="BX82" t="e">
        <f>AND('UP133'!HE43,"AAAAAH3vf0s=")</f>
        <v>#VALUE!</v>
      </c>
      <c r="BY82" t="e">
        <f>AND('UP133'!HF43,"AAAAAH3vf0w=")</f>
        <v>#VALUE!</v>
      </c>
      <c r="BZ82" t="e">
        <f>AND('UP133'!HG43,"AAAAAH3vf00=")</f>
        <v>#VALUE!</v>
      </c>
      <c r="CA82" t="e">
        <f>AND('UP133'!HH43,"AAAAAH3vf04=")</f>
        <v>#VALUE!</v>
      </c>
      <c r="CB82" t="e">
        <f>AND('UP133'!HI43,"AAAAAH3vf08=")</f>
        <v>#VALUE!</v>
      </c>
      <c r="CC82" t="e">
        <f>AND('UP133'!HJ43,"AAAAAH3vf1A=")</f>
        <v>#VALUE!</v>
      </c>
      <c r="CD82" t="e">
        <f>AND('UP133'!HK43,"AAAAAH3vf1E=")</f>
        <v>#VALUE!</v>
      </c>
      <c r="CE82" t="e">
        <f>AND('UP133'!HL43,"AAAAAH3vf1I=")</f>
        <v>#VALUE!</v>
      </c>
      <c r="CF82" t="e">
        <f>AND('UP133'!HM43,"AAAAAH3vf1M=")</f>
        <v>#VALUE!</v>
      </c>
      <c r="CG82" t="e">
        <f>AND('UP133'!HN43,"AAAAAH3vf1Q=")</f>
        <v>#VALUE!</v>
      </c>
      <c r="CH82" t="e">
        <f>AND('UP133'!HO43,"AAAAAH3vf1U=")</f>
        <v>#VALUE!</v>
      </c>
      <c r="CI82" t="e">
        <f>AND('UP133'!HP43,"AAAAAH3vf1Y=")</f>
        <v>#VALUE!</v>
      </c>
      <c r="CJ82" t="e">
        <f>AND('UP133'!HQ43,"AAAAAH3vf1c=")</f>
        <v>#VALUE!</v>
      </c>
      <c r="CK82" t="e">
        <f>AND('UP133'!HR43,"AAAAAH3vf1g=")</f>
        <v>#VALUE!</v>
      </c>
      <c r="CL82" t="e">
        <f>AND('UP133'!HS43,"AAAAAH3vf1k=")</f>
        <v>#VALUE!</v>
      </c>
      <c r="CM82" t="e">
        <f>AND('UP133'!HT43,"AAAAAH3vf1o=")</f>
        <v>#VALUE!</v>
      </c>
      <c r="CN82" t="e">
        <f>AND('UP133'!HU43,"AAAAAH3vf1s=")</f>
        <v>#VALUE!</v>
      </c>
      <c r="CO82" t="e">
        <f>AND('UP133'!HV43,"AAAAAH3vf1w=")</f>
        <v>#VALUE!</v>
      </c>
      <c r="CP82" t="e">
        <f>AND('UP133'!HW43,"AAAAAH3vf10=")</f>
        <v>#VALUE!</v>
      </c>
      <c r="CQ82" t="e">
        <f>AND('UP133'!HX43,"AAAAAH3vf14=")</f>
        <v>#VALUE!</v>
      </c>
      <c r="CR82" t="e">
        <f>AND('UP133'!HY43,"AAAAAH3vf18=")</f>
        <v>#VALUE!</v>
      </c>
      <c r="CS82" t="e">
        <f>AND('UP133'!HZ43,"AAAAAH3vf2A=")</f>
        <v>#VALUE!</v>
      </c>
      <c r="CT82" t="e">
        <f>AND('UP133'!IA43,"AAAAAH3vf2E=")</f>
        <v>#VALUE!</v>
      </c>
      <c r="CU82" t="e">
        <f>AND('UP133'!IB43,"AAAAAH3vf2I=")</f>
        <v>#VALUE!</v>
      </c>
      <c r="CV82" t="e">
        <f>AND('UP133'!IC43,"AAAAAH3vf2M=")</f>
        <v>#VALUE!</v>
      </c>
      <c r="CW82" t="e">
        <f>AND('UP133'!ID43,"AAAAAH3vf2Q=")</f>
        <v>#VALUE!</v>
      </c>
      <c r="CX82" t="e">
        <f>AND('UP133'!IE43,"AAAAAH3vf2U=")</f>
        <v>#VALUE!</v>
      </c>
      <c r="CY82" t="e">
        <f>AND('UP133'!IF43,"AAAAAH3vf2Y=")</f>
        <v>#VALUE!</v>
      </c>
      <c r="CZ82" t="e">
        <f>AND('UP133'!IG43,"AAAAAH3vf2c=")</f>
        <v>#VALUE!</v>
      </c>
      <c r="DA82" t="e">
        <f>AND('UP133'!IH43,"AAAAAH3vf2g=")</f>
        <v>#VALUE!</v>
      </c>
      <c r="DB82" t="e">
        <f>AND('UP133'!II43,"AAAAAH3vf2k=")</f>
        <v>#VALUE!</v>
      </c>
      <c r="DC82" t="e">
        <f>AND('UP133'!IJ43,"AAAAAH3vf2o=")</f>
        <v>#VALUE!</v>
      </c>
      <c r="DD82" t="e">
        <f>AND('UP133'!IK43,"AAAAAH3vf2s=")</f>
        <v>#VALUE!</v>
      </c>
      <c r="DE82" t="e">
        <f>AND('UP133'!IL43,"AAAAAH3vf2w=")</f>
        <v>#VALUE!</v>
      </c>
      <c r="DF82" t="e">
        <f>AND('UP133'!IM43,"AAAAAH3vf20=")</f>
        <v>#VALUE!</v>
      </c>
      <c r="DG82" t="e">
        <f>AND('UP133'!IN43,"AAAAAH3vf24=")</f>
        <v>#VALUE!</v>
      </c>
      <c r="DH82" t="e">
        <f>AND('UP133'!IO43,"AAAAAH3vf28=")</f>
        <v>#VALUE!</v>
      </c>
      <c r="DI82" t="e">
        <f>AND('UP133'!IP43,"AAAAAH3vf3A=")</f>
        <v>#VALUE!</v>
      </c>
      <c r="DJ82" t="e">
        <f>AND('UP133'!IQ43,"AAAAAH3vf3E=")</f>
        <v>#VALUE!</v>
      </c>
      <c r="DK82">
        <f>IF('UP133'!44:44,"AAAAAH3vf3I=",0)</f>
        <v>0</v>
      </c>
      <c r="DL82" t="e">
        <f>AND('UP133'!A44,"AAAAAH3vf3M=")</f>
        <v>#VALUE!</v>
      </c>
      <c r="DM82" t="e">
        <f>AND('UP133'!B44,"AAAAAH3vf3Q=")</f>
        <v>#VALUE!</v>
      </c>
      <c r="DN82" t="e">
        <f>AND('UP133'!C44,"AAAAAH3vf3U=")</f>
        <v>#VALUE!</v>
      </c>
      <c r="DO82" t="e">
        <f>AND('UP133'!D44,"AAAAAH3vf3Y=")</f>
        <v>#VALUE!</v>
      </c>
      <c r="DP82" t="e">
        <f>AND('UP133'!E44,"AAAAAH3vf3c=")</f>
        <v>#VALUE!</v>
      </c>
      <c r="DQ82" t="e">
        <f>AND('UP133'!F44,"AAAAAH3vf3g=")</f>
        <v>#VALUE!</v>
      </c>
      <c r="DR82" t="e">
        <f>AND('UP133'!G44,"AAAAAH3vf3k=")</f>
        <v>#VALUE!</v>
      </c>
      <c r="DS82" t="e">
        <f>AND('UP133'!H44,"AAAAAH3vf3o=")</f>
        <v>#VALUE!</v>
      </c>
      <c r="DT82" t="e">
        <f>AND('UP133'!I44,"AAAAAH3vf3s=")</f>
        <v>#VALUE!</v>
      </c>
      <c r="DU82" t="e">
        <f>AND('UP133'!J44,"AAAAAH3vf3w=")</f>
        <v>#VALUE!</v>
      </c>
      <c r="DV82" t="e">
        <f>AND('UP133'!K44,"AAAAAH3vf30=")</f>
        <v>#VALUE!</v>
      </c>
      <c r="DW82" t="e">
        <f>AND('UP133'!L44,"AAAAAH3vf34=")</f>
        <v>#VALUE!</v>
      </c>
      <c r="DX82" t="e">
        <f>AND('UP133'!M44,"AAAAAH3vf38=")</f>
        <v>#VALUE!</v>
      </c>
      <c r="DY82" t="e">
        <f>AND('UP133'!N44,"AAAAAH3vf4A=")</f>
        <v>#VALUE!</v>
      </c>
      <c r="DZ82" t="e">
        <f>AND('UP133'!O44,"AAAAAH3vf4E=")</f>
        <v>#VALUE!</v>
      </c>
      <c r="EA82" t="e">
        <f>AND('UP133'!P44,"AAAAAH3vf4I=")</f>
        <v>#VALUE!</v>
      </c>
      <c r="EB82" t="e">
        <f>AND('UP133'!Q44,"AAAAAH3vf4M=")</f>
        <v>#VALUE!</v>
      </c>
      <c r="EC82" t="e">
        <f>AND('UP133'!R44,"AAAAAH3vf4Q=")</f>
        <v>#VALUE!</v>
      </c>
      <c r="ED82" t="e">
        <f>AND('UP133'!S44,"AAAAAH3vf4U=")</f>
        <v>#VALUE!</v>
      </c>
      <c r="EE82" t="e">
        <f>AND('UP133'!T44,"AAAAAH3vf4Y=")</f>
        <v>#VALUE!</v>
      </c>
      <c r="EF82" t="e">
        <f>AND('UP133'!U44,"AAAAAH3vf4c=")</f>
        <v>#VALUE!</v>
      </c>
      <c r="EG82" t="e">
        <f>AND('UP133'!V44,"AAAAAH3vf4g=")</f>
        <v>#VALUE!</v>
      </c>
      <c r="EH82" t="e">
        <f>AND('UP133'!W44,"AAAAAH3vf4k=")</f>
        <v>#VALUE!</v>
      </c>
      <c r="EI82" t="e">
        <f>AND('UP133'!X44,"AAAAAH3vf4o=")</f>
        <v>#VALUE!</v>
      </c>
      <c r="EJ82" t="e">
        <f>AND('UP133'!Y44,"AAAAAH3vf4s=")</f>
        <v>#VALUE!</v>
      </c>
      <c r="EK82" t="e">
        <f>AND('UP133'!Z44,"AAAAAH3vf4w=")</f>
        <v>#VALUE!</v>
      </c>
      <c r="EL82" t="e">
        <f>AND('UP133'!AA44,"AAAAAH3vf40=")</f>
        <v>#VALUE!</v>
      </c>
      <c r="EM82" t="e">
        <f>AND('UP133'!AB44,"AAAAAH3vf44=")</f>
        <v>#VALUE!</v>
      </c>
      <c r="EN82" t="e">
        <f>AND('UP133'!AC44,"AAAAAH3vf48=")</f>
        <v>#VALUE!</v>
      </c>
      <c r="EO82" t="e">
        <f>AND('UP133'!AD44,"AAAAAH3vf5A=")</f>
        <v>#VALUE!</v>
      </c>
      <c r="EP82" t="e">
        <f>AND('UP133'!AE44,"AAAAAH3vf5E=")</f>
        <v>#VALUE!</v>
      </c>
      <c r="EQ82" t="e">
        <f>AND('UP133'!AF44,"AAAAAH3vf5I=")</f>
        <v>#VALUE!</v>
      </c>
      <c r="ER82" t="e">
        <f>AND('UP133'!AG44,"AAAAAH3vf5M=")</f>
        <v>#VALUE!</v>
      </c>
      <c r="ES82" t="e">
        <f>AND('UP133'!AH44,"AAAAAH3vf5Q=")</f>
        <v>#VALUE!</v>
      </c>
      <c r="ET82" t="e">
        <f>AND('UP133'!AI44,"AAAAAH3vf5U=")</f>
        <v>#VALUE!</v>
      </c>
      <c r="EU82" t="e">
        <f>AND('UP133'!AJ44,"AAAAAH3vf5Y=")</f>
        <v>#VALUE!</v>
      </c>
      <c r="EV82" t="e">
        <f>AND('UP133'!AK44,"AAAAAH3vf5c=")</f>
        <v>#VALUE!</v>
      </c>
      <c r="EW82" t="e">
        <f>AND('UP133'!AL44,"AAAAAH3vf5g=")</f>
        <v>#VALUE!</v>
      </c>
      <c r="EX82" t="e">
        <f>AND('UP133'!AM44,"AAAAAH3vf5k=")</f>
        <v>#VALUE!</v>
      </c>
      <c r="EY82" t="e">
        <f>AND('UP133'!AN44,"AAAAAH3vf5o=")</f>
        <v>#VALUE!</v>
      </c>
      <c r="EZ82" t="e">
        <f>AND('UP133'!AO44,"AAAAAH3vf5s=")</f>
        <v>#VALUE!</v>
      </c>
      <c r="FA82" t="e">
        <f>AND('UP133'!AP44,"AAAAAH3vf5w=")</f>
        <v>#VALUE!</v>
      </c>
      <c r="FB82" t="e">
        <f>AND('UP133'!AQ44,"AAAAAH3vf50=")</f>
        <v>#VALUE!</v>
      </c>
      <c r="FC82" t="e">
        <f>AND('UP133'!AR44,"AAAAAH3vf54=")</f>
        <v>#VALUE!</v>
      </c>
      <c r="FD82" t="e">
        <f>AND('UP133'!AS44,"AAAAAH3vf58=")</f>
        <v>#VALUE!</v>
      </c>
      <c r="FE82" t="e">
        <f>AND('UP133'!AT44,"AAAAAH3vf6A=")</f>
        <v>#VALUE!</v>
      </c>
      <c r="FF82" t="e">
        <f>AND('UP133'!AU44,"AAAAAH3vf6E=")</f>
        <v>#VALUE!</v>
      </c>
      <c r="FG82" t="e">
        <f>AND('UP133'!AV44,"AAAAAH3vf6I=")</f>
        <v>#VALUE!</v>
      </c>
      <c r="FH82" t="e">
        <f>AND('UP133'!AW44,"AAAAAH3vf6M=")</f>
        <v>#VALUE!</v>
      </c>
      <c r="FI82" t="e">
        <f>AND('UP133'!AX44,"AAAAAH3vf6Q=")</f>
        <v>#VALUE!</v>
      </c>
      <c r="FJ82" t="e">
        <f>AND('UP133'!AY44,"AAAAAH3vf6U=")</f>
        <v>#VALUE!</v>
      </c>
      <c r="FK82" t="e">
        <f>AND('UP133'!AZ44,"AAAAAH3vf6Y=")</f>
        <v>#VALUE!</v>
      </c>
      <c r="FL82" t="e">
        <f>AND('UP133'!BA44,"AAAAAH3vf6c=")</f>
        <v>#VALUE!</v>
      </c>
      <c r="FM82" t="e">
        <f>AND('UP133'!BB44,"AAAAAH3vf6g=")</f>
        <v>#VALUE!</v>
      </c>
      <c r="FN82" t="e">
        <f>AND('UP133'!BC44,"AAAAAH3vf6k=")</f>
        <v>#VALUE!</v>
      </c>
      <c r="FO82" t="e">
        <f>AND('UP133'!BD44,"AAAAAH3vf6o=")</f>
        <v>#VALUE!</v>
      </c>
      <c r="FP82" t="e">
        <f>AND('UP133'!BE44,"AAAAAH3vf6s=")</f>
        <v>#VALUE!</v>
      </c>
      <c r="FQ82" t="e">
        <f>AND('UP133'!BF44,"AAAAAH3vf6w=")</f>
        <v>#VALUE!</v>
      </c>
      <c r="FR82" t="e">
        <f>AND('UP133'!BG44,"AAAAAH3vf60=")</f>
        <v>#VALUE!</v>
      </c>
      <c r="FS82" t="e">
        <f>AND('UP133'!BH44,"AAAAAH3vf64=")</f>
        <v>#VALUE!</v>
      </c>
      <c r="FT82" t="e">
        <f>AND('UP133'!BI44,"AAAAAH3vf68=")</f>
        <v>#VALUE!</v>
      </c>
      <c r="FU82" t="e">
        <f>AND('UP133'!BJ44,"AAAAAH3vf7A=")</f>
        <v>#VALUE!</v>
      </c>
      <c r="FV82" t="e">
        <f>AND('UP133'!BK44,"AAAAAH3vf7E=")</f>
        <v>#VALUE!</v>
      </c>
      <c r="FW82" t="e">
        <f>AND('UP133'!BL44,"AAAAAH3vf7I=")</f>
        <v>#VALUE!</v>
      </c>
      <c r="FX82" t="e">
        <f>AND('UP133'!BM44,"AAAAAH3vf7M=")</f>
        <v>#VALUE!</v>
      </c>
      <c r="FY82" t="e">
        <f>AND('UP133'!BN44,"AAAAAH3vf7Q=")</f>
        <v>#VALUE!</v>
      </c>
      <c r="FZ82" t="e">
        <f>AND('UP133'!BO44,"AAAAAH3vf7U=")</f>
        <v>#VALUE!</v>
      </c>
      <c r="GA82" t="e">
        <f>AND('UP133'!BP44,"AAAAAH3vf7Y=")</f>
        <v>#VALUE!</v>
      </c>
      <c r="GB82" t="e">
        <f>AND('UP133'!BQ44,"AAAAAH3vf7c=")</f>
        <v>#VALUE!</v>
      </c>
      <c r="GC82" t="e">
        <f>AND('UP133'!BR44,"AAAAAH3vf7g=")</f>
        <v>#VALUE!</v>
      </c>
      <c r="GD82" t="e">
        <f>AND('UP133'!BS44,"AAAAAH3vf7k=")</f>
        <v>#VALUE!</v>
      </c>
      <c r="GE82" t="e">
        <f>AND('UP133'!BT44,"AAAAAH3vf7o=")</f>
        <v>#VALUE!</v>
      </c>
      <c r="GF82" t="e">
        <f>AND('UP133'!BU44,"AAAAAH3vf7s=")</f>
        <v>#VALUE!</v>
      </c>
      <c r="GG82" t="e">
        <f>AND('UP133'!BV44,"AAAAAH3vf7w=")</f>
        <v>#VALUE!</v>
      </c>
      <c r="GH82" t="e">
        <f>AND('UP133'!BW44,"AAAAAH3vf70=")</f>
        <v>#VALUE!</v>
      </c>
      <c r="GI82" t="e">
        <f>AND('UP133'!BX44,"AAAAAH3vf74=")</f>
        <v>#VALUE!</v>
      </c>
      <c r="GJ82" t="e">
        <f>AND('UP133'!BY44,"AAAAAH3vf78=")</f>
        <v>#VALUE!</v>
      </c>
      <c r="GK82" t="e">
        <f>AND('UP133'!BZ44,"AAAAAH3vf8A=")</f>
        <v>#VALUE!</v>
      </c>
      <c r="GL82" t="e">
        <f>AND('UP133'!CA44,"AAAAAH3vf8E=")</f>
        <v>#VALUE!</v>
      </c>
      <c r="GM82" t="e">
        <f>AND('UP133'!CB44,"AAAAAH3vf8I=")</f>
        <v>#VALUE!</v>
      </c>
      <c r="GN82" t="e">
        <f>AND('UP133'!CC44,"AAAAAH3vf8M=")</f>
        <v>#VALUE!</v>
      </c>
      <c r="GO82" t="e">
        <f>AND('UP133'!CD44,"AAAAAH3vf8Q=")</f>
        <v>#VALUE!</v>
      </c>
      <c r="GP82" t="e">
        <f>AND('UP133'!CE44,"AAAAAH3vf8U=")</f>
        <v>#VALUE!</v>
      </c>
      <c r="GQ82" t="e">
        <f>AND('UP133'!CF44,"AAAAAH3vf8Y=")</f>
        <v>#VALUE!</v>
      </c>
      <c r="GR82" t="e">
        <f>AND('UP133'!CG44,"AAAAAH3vf8c=")</f>
        <v>#VALUE!</v>
      </c>
      <c r="GS82" t="e">
        <f>AND('UP133'!CH44,"AAAAAH3vf8g=")</f>
        <v>#VALUE!</v>
      </c>
      <c r="GT82" t="e">
        <f>AND('UP133'!CI44,"AAAAAH3vf8k=")</f>
        <v>#VALUE!</v>
      </c>
      <c r="GU82" t="e">
        <f>AND('UP133'!CJ44,"AAAAAH3vf8o=")</f>
        <v>#VALUE!</v>
      </c>
      <c r="GV82" t="e">
        <f>AND('UP133'!CK44,"AAAAAH3vf8s=")</f>
        <v>#VALUE!</v>
      </c>
      <c r="GW82" t="e">
        <f>AND('UP133'!CL44,"AAAAAH3vf8w=")</f>
        <v>#VALUE!</v>
      </c>
      <c r="GX82" t="e">
        <f>AND('UP133'!CM44,"AAAAAH3vf80=")</f>
        <v>#VALUE!</v>
      </c>
      <c r="GY82" t="e">
        <f>AND('UP133'!CN44,"AAAAAH3vf84=")</f>
        <v>#VALUE!</v>
      </c>
      <c r="GZ82" t="e">
        <f>AND('UP133'!CO44,"AAAAAH3vf88=")</f>
        <v>#VALUE!</v>
      </c>
      <c r="HA82" t="e">
        <f>AND('UP133'!CP44,"AAAAAH3vf9A=")</f>
        <v>#VALUE!</v>
      </c>
      <c r="HB82" t="e">
        <f>AND('UP133'!CQ44,"AAAAAH3vf9E=")</f>
        <v>#VALUE!</v>
      </c>
      <c r="HC82" t="e">
        <f>AND('UP133'!CR44,"AAAAAH3vf9I=")</f>
        <v>#VALUE!</v>
      </c>
      <c r="HD82" t="e">
        <f>AND('UP133'!CS44,"AAAAAH3vf9M=")</f>
        <v>#VALUE!</v>
      </c>
      <c r="HE82" t="e">
        <f>AND('UP133'!CT44,"AAAAAH3vf9Q=")</f>
        <v>#VALUE!</v>
      </c>
      <c r="HF82" t="e">
        <f>AND('UP133'!CU44,"AAAAAH3vf9U=")</f>
        <v>#VALUE!</v>
      </c>
      <c r="HG82" t="e">
        <f>AND('UP133'!CV44,"AAAAAH3vf9Y=")</f>
        <v>#VALUE!</v>
      </c>
      <c r="HH82" t="e">
        <f>AND('UP133'!CW44,"AAAAAH3vf9c=")</f>
        <v>#VALUE!</v>
      </c>
      <c r="HI82" t="e">
        <f>AND('UP133'!CX44,"AAAAAH3vf9g=")</f>
        <v>#VALUE!</v>
      </c>
      <c r="HJ82" t="e">
        <f>AND('UP133'!CY44,"AAAAAH3vf9k=")</f>
        <v>#VALUE!</v>
      </c>
      <c r="HK82" t="e">
        <f>AND('UP133'!CZ44,"AAAAAH3vf9o=")</f>
        <v>#VALUE!</v>
      </c>
      <c r="HL82" t="e">
        <f>AND('UP133'!DA44,"AAAAAH3vf9s=")</f>
        <v>#VALUE!</v>
      </c>
      <c r="HM82" t="e">
        <f>AND('UP133'!DB44,"AAAAAH3vf9w=")</f>
        <v>#VALUE!</v>
      </c>
      <c r="HN82" t="e">
        <f>AND('UP133'!DC44,"AAAAAH3vf90=")</f>
        <v>#VALUE!</v>
      </c>
      <c r="HO82" t="e">
        <f>AND('UP133'!DD44,"AAAAAH3vf94=")</f>
        <v>#VALUE!</v>
      </c>
      <c r="HP82" t="e">
        <f>AND('UP133'!DE44,"AAAAAH3vf98=")</f>
        <v>#VALUE!</v>
      </c>
      <c r="HQ82" t="e">
        <f>AND('UP133'!DF44,"AAAAAH3vf+A=")</f>
        <v>#VALUE!</v>
      </c>
      <c r="HR82" t="e">
        <f>AND('UP133'!DG44,"AAAAAH3vf+E=")</f>
        <v>#VALUE!</v>
      </c>
      <c r="HS82" t="e">
        <f>AND('UP133'!DH44,"AAAAAH3vf+I=")</f>
        <v>#VALUE!</v>
      </c>
      <c r="HT82" t="e">
        <f>AND('UP133'!DI44,"AAAAAH3vf+M=")</f>
        <v>#VALUE!</v>
      </c>
      <c r="HU82" t="e">
        <f>AND('UP133'!DJ44,"AAAAAH3vf+Q=")</f>
        <v>#VALUE!</v>
      </c>
      <c r="HV82" t="e">
        <f>AND('UP133'!DK44,"AAAAAH3vf+U=")</f>
        <v>#VALUE!</v>
      </c>
      <c r="HW82" t="e">
        <f>AND('UP133'!DL44,"AAAAAH3vf+Y=")</f>
        <v>#VALUE!</v>
      </c>
      <c r="HX82" t="e">
        <f>AND('UP133'!DM44,"AAAAAH3vf+c=")</f>
        <v>#VALUE!</v>
      </c>
      <c r="HY82" t="e">
        <f>AND('UP133'!DN44,"AAAAAH3vf+g=")</f>
        <v>#VALUE!</v>
      </c>
      <c r="HZ82" t="e">
        <f>AND('UP133'!DO44,"AAAAAH3vf+k=")</f>
        <v>#VALUE!</v>
      </c>
      <c r="IA82" t="e">
        <f>AND('UP133'!DP44,"AAAAAH3vf+o=")</f>
        <v>#VALUE!</v>
      </c>
      <c r="IB82" t="e">
        <f>AND('UP133'!DQ44,"AAAAAH3vf+s=")</f>
        <v>#VALUE!</v>
      </c>
      <c r="IC82" t="e">
        <f>AND('UP133'!DR44,"AAAAAH3vf+w=")</f>
        <v>#VALUE!</v>
      </c>
      <c r="ID82" t="e">
        <f>AND('UP133'!DS44,"AAAAAH3vf+0=")</f>
        <v>#VALUE!</v>
      </c>
      <c r="IE82" t="e">
        <f>AND('UP133'!DT44,"AAAAAH3vf+4=")</f>
        <v>#VALUE!</v>
      </c>
      <c r="IF82" t="e">
        <f>AND('UP133'!DU44,"AAAAAH3vf+8=")</f>
        <v>#VALUE!</v>
      </c>
      <c r="IG82" t="e">
        <f>AND('UP133'!DV44,"AAAAAH3vf/A=")</f>
        <v>#VALUE!</v>
      </c>
      <c r="IH82" t="e">
        <f>AND('UP133'!DW44,"AAAAAH3vf/E=")</f>
        <v>#VALUE!</v>
      </c>
      <c r="II82" t="e">
        <f>AND('UP133'!DX44,"AAAAAH3vf/I=")</f>
        <v>#VALUE!</v>
      </c>
      <c r="IJ82" t="e">
        <f>AND('UP133'!DY44,"AAAAAH3vf/M=")</f>
        <v>#VALUE!</v>
      </c>
      <c r="IK82" t="e">
        <f>AND('UP133'!DZ44,"AAAAAH3vf/Q=")</f>
        <v>#VALUE!</v>
      </c>
      <c r="IL82" t="e">
        <f>AND('UP133'!EA44,"AAAAAH3vf/U=")</f>
        <v>#VALUE!</v>
      </c>
      <c r="IM82" t="e">
        <f>AND('UP133'!EB44,"AAAAAH3vf/Y=")</f>
        <v>#VALUE!</v>
      </c>
      <c r="IN82" t="e">
        <f>AND('UP133'!EC44,"AAAAAH3vf/c=")</f>
        <v>#VALUE!</v>
      </c>
      <c r="IO82" t="e">
        <f>AND('UP133'!ED44,"AAAAAH3vf/g=")</f>
        <v>#VALUE!</v>
      </c>
      <c r="IP82" t="e">
        <f>AND('UP133'!EE44,"AAAAAH3vf/k=")</f>
        <v>#VALUE!</v>
      </c>
      <c r="IQ82" t="e">
        <f>AND('UP133'!EF44,"AAAAAH3vf/o=")</f>
        <v>#VALUE!</v>
      </c>
      <c r="IR82" t="e">
        <f>AND('UP133'!EG44,"AAAAAH3vf/s=")</f>
        <v>#VALUE!</v>
      </c>
      <c r="IS82" t="e">
        <f>AND('UP133'!EH44,"AAAAAH3vf/w=")</f>
        <v>#VALUE!</v>
      </c>
      <c r="IT82" t="e">
        <f>AND('UP133'!EI44,"AAAAAH3vf/0=")</f>
        <v>#VALUE!</v>
      </c>
      <c r="IU82" t="e">
        <f>AND('UP133'!EJ44,"AAAAAH3vf/4=")</f>
        <v>#VALUE!</v>
      </c>
      <c r="IV82" t="e">
        <f>AND('UP133'!EK44,"AAAAAH3vf/8=")</f>
        <v>#VALUE!</v>
      </c>
    </row>
    <row r="83" spans="1:256">
      <c r="A83" t="e">
        <f>AND('UP133'!EL44,"AAAAAD92fAA=")</f>
        <v>#VALUE!</v>
      </c>
      <c r="B83" t="e">
        <f>AND('UP133'!EM44,"AAAAAD92fAE=")</f>
        <v>#VALUE!</v>
      </c>
      <c r="C83" t="e">
        <f>AND('UP133'!EN44,"AAAAAD92fAI=")</f>
        <v>#VALUE!</v>
      </c>
      <c r="D83" t="e">
        <f>AND('UP133'!EO44,"AAAAAD92fAM=")</f>
        <v>#VALUE!</v>
      </c>
      <c r="E83" t="e">
        <f>AND('UP133'!EP44,"AAAAAD92fAQ=")</f>
        <v>#VALUE!</v>
      </c>
      <c r="F83" t="e">
        <f>AND('UP133'!EQ44,"AAAAAD92fAU=")</f>
        <v>#VALUE!</v>
      </c>
      <c r="G83" t="e">
        <f>AND('UP133'!ER44,"AAAAAD92fAY=")</f>
        <v>#VALUE!</v>
      </c>
      <c r="H83" t="e">
        <f>AND('UP133'!ES44,"AAAAAD92fAc=")</f>
        <v>#VALUE!</v>
      </c>
      <c r="I83" t="e">
        <f>AND('UP133'!ET44,"AAAAAD92fAg=")</f>
        <v>#VALUE!</v>
      </c>
      <c r="J83" t="e">
        <f>AND('UP133'!EU44,"AAAAAD92fAk=")</f>
        <v>#VALUE!</v>
      </c>
      <c r="K83" t="e">
        <f>AND('UP133'!EV44,"AAAAAD92fAo=")</f>
        <v>#VALUE!</v>
      </c>
      <c r="L83" t="e">
        <f>AND('UP133'!EW44,"AAAAAD92fAs=")</f>
        <v>#VALUE!</v>
      </c>
      <c r="M83" t="e">
        <f>AND('UP133'!EX44,"AAAAAD92fAw=")</f>
        <v>#VALUE!</v>
      </c>
      <c r="N83" t="e">
        <f>AND('UP133'!EY44,"AAAAAD92fA0=")</f>
        <v>#VALUE!</v>
      </c>
      <c r="O83" t="e">
        <f>AND('UP133'!EZ44,"AAAAAD92fA4=")</f>
        <v>#VALUE!</v>
      </c>
      <c r="P83" t="e">
        <f>AND('UP133'!FA44,"AAAAAD92fA8=")</f>
        <v>#VALUE!</v>
      </c>
      <c r="Q83" t="e">
        <f>AND('UP133'!FB44,"AAAAAD92fBA=")</f>
        <v>#VALUE!</v>
      </c>
      <c r="R83" t="e">
        <f>AND('UP133'!FC44,"AAAAAD92fBE=")</f>
        <v>#VALUE!</v>
      </c>
      <c r="S83" t="e">
        <f>AND('UP133'!FD44,"AAAAAD92fBI=")</f>
        <v>#VALUE!</v>
      </c>
      <c r="T83" t="e">
        <f>AND('UP133'!FE44,"AAAAAD92fBM=")</f>
        <v>#VALUE!</v>
      </c>
      <c r="U83" t="e">
        <f>AND('UP133'!FF44,"AAAAAD92fBQ=")</f>
        <v>#VALUE!</v>
      </c>
      <c r="V83" t="e">
        <f>AND('UP133'!FG44,"AAAAAD92fBU=")</f>
        <v>#VALUE!</v>
      </c>
      <c r="W83" t="e">
        <f>AND('UP133'!FH44,"AAAAAD92fBY=")</f>
        <v>#VALUE!</v>
      </c>
      <c r="X83" t="e">
        <f>AND('UP133'!FI44,"AAAAAD92fBc=")</f>
        <v>#VALUE!</v>
      </c>
      <c r="Y83" t="e">
        <f>AND('UP133'!FJ44,"AAAAAD92fBg=")</f>
        <v>#VALUE!</v>
      </c>
      <c r="Z83" t="e">
        <f>AND('UP133'!FK44,"AAAAAD92fBk=")</f>
        <v>#VALUE!</v>
      </c>
      <c r="AA83" t="e">
        <f>AND('UP133'!FL44,"AAAAAD92fBo=")</f>
        <v>#VALUE!</v>
      </c>
      <c r="AB83" t="e">
        <f>AND('UP133'!FM44,"AAAAAD92fBs=")</f>
        <v>#VALUE!</v>
      </c>
      <c r="AC83" t="e">
        <f>AND('UP133'!FN44,"AAAAAD92fBw=")</f>
        <v>#VALUE!</v>
      </c>
      <c r="AD83" t="e">
        <f>AND('UP133'!FO44,"AAAAAD92fB0=")</f>
        <v>#VALUE!</v>
      </c>
      <c r="AE83" t="e">
        <f>AND('UP133'!FP44,"AAAAAD92fB4=")</f>
        <v>#VALUE!</v>
      </c>
      <c r="AF83" t="e">
        <f>AND('UP133'!FQ44,"AAAAAD92fB8=")</f>
        <v>#VALUE!</v>
      </c>
      <c r="AG83" t="e">
        <f>AND('UP133'!FR44,"AAAAAD92fCA=")</f>
        <v>#VALUE!</v>
      </c>
      <c r="AH83" t="e">
        <f>AND('UP133'!FS44,"AAAAAD92fCE=")</f>
        <v>#VALUE!</v>
      </c>
      <c r="AI83" t="e">
        <f>AND('UP133'!FT44,"AAAAAD92fCI=")</f>
        <v>#VALUE!</v>
      </c>
      <c r="AJ83" t="e">
        <f>AND('UP133'!FU44,"AAAAAD92fCM=")</f>
        <v>#VALUE!</v>
      </c>
      <c r="AK83" t="e">
        <f>AND('UP133'!FV44,"AAAAAD92fCQ=")</f>
        <v>#VALUE!</v>
      </c>
      <c r="AL83" t="e">
        <f>AND('UP133'!FW44,"AAAAAD92fCU=")</f>
        <v>#VALUE!</v>
      </c>
      <c r="AM83" t="e">
        <f>AND('UP133'!FX44,"AAAAAD92fCY=")</f>
        <v>#VALUE!</v>
      </c>
      <c r="AN83" t="e">
        <f>AND('UP133'!FY44,"AAAAAD92fCc=")</f>
        <v>#VALUE!</v>
      </c>
      <c r="AO83" t="e">
        <f>AND('UP133'!FZ44,"AAAAAD92fCg=")</f>
        <v>#VALUE!</v>
      </c>
      <c r="AP83" t="e">
        <f>AND('UP133'!GA44,"AAAAAD92fCk=")</f>
        <v>#VALUE!</v>
      </c>
      <c r="AQ83" t="e">
        <f>AND('UP133'!GB44,"AAAAAD92fCo=")</f>
        <v>#VALUE!</v>
      </c>
      <c r="AR83" t="e">
        <f>AND('UP133'!GC44,"AAAAAD92fCs=")</f>
        <v>#VALUE!</v>
      </c>
      <c r="AS83" t="e">
        <f>AND('UP133'!GD44,"AAAAAD92fCw=")</f>
        <v>#VALUE!</v>
      </c>
      <c r="AT83" t="e">
        <f>AND('UP133'!GE44,"AAAAAD92fC0=")</f>
        <v>#VALUE!</v>
      </c>
      <c r="AU83" t="e">
        <f>AND('UP133'!GF44,"AAAAAD92fC4=")</f>
        <v>#VALUE!</v>
      </c>
      <c r="AV83" t="e">
        <f>AND('UP133'!GG44,"AAAAAD92fC8=")</f>
        <v>#VALUE!</v>
      </c>
      <c r="AW83" t="e">
        <f>AND('UP133'!GH44,"AAAAAD92fDA=")</f>
        <v>#VALUE!</v>
      </c>
      <c r="AX83" t="e">
        <f>AND('UP133'!GI44,"AAAAAD92fDE=")</f>
        <v>#VALUE!</v>
      </c>
      <c r="AY83" t="e">
        <f>AND('UP133'!GJ44,"AAAAAD92fDI=")</f>
        <v>#VALUE!</v>
      </c>
      <c r="AZ83" t="e">
        <f>AND('UP133'!GK44,"AAAAAD92fDM=")</f>
        <v>#VALUE!</v>
      </c>
      <c r="BA83" t="e">
        <f>AND('UP133'!GL44,"AAAAAD92fDQ=")</f>
        <v>#VALUE!</v>
      </c>
      <c r="BB83" t="e">
        <f>AND('UP133'!GM44,"AAAAAD92fDU=")</f>
        <v>#VALUE!</v>
      </c>
      <c r="BC83" t="e">
        <f>AND('UP133'!GN44,"AAAAAD92fDY=")</f>
        <v>#VALUE!</v>
      </c>
      <c r="BD83" t="e">
        <f>AND('UP133'!GO44,"AAAAAD92fDc=")</f>
        <v>#VALUE!</v>
      </c>
      <c r="BE83" t="e">
        <f>AND('UP133'!GP44,"AAAAAD92fDg=")</f>
        <v>#VALUE!</v>
      </c>
      <c r="BF83" t="e">
        <f>AND('UP133'!GQ44,"AAAAAD92fDk=")</f>
        <v>#VALUE!</v>
      </c>
      <c r="BG83" t="e">
        <f>AND('UP133'!GR44,"AAAAAD92fDo=")</f>
        <v>#VALUE!</v>
      </c>
      <c r="BH83" t="e">
        <f>AND('UP133'!GS44,"AAAAAD92fDs=")</f>
        <v>#VALUE!</v>
      </c>
      <c r="BI83" t="e">
        <f>AND('UP133'!GT44,"AAAAAD92fDw=")</f>
        <v>#VALUE!</v>
      </c>
      <c r="BJ83" t="e">
        <f>AND('UP133'!GU44,"AAAAAD92fD0=")</f>
        <v>#VALUE!</v>
      </c>
      <c r="BK83" t="e">
        <f>AND('UP133'!GV44,"AAAAAD92fD4=")</f>
        <v>#VALUE!</v>
      </c>
      <c r="BL83" t="e">
        <f>AND('UP133'!GW44,"AAAAAD92fD8=")</f>
        <v>#VALUE!</v>
      </c>
      <c r="BM83" t="e">
        <f>AND('UP133'!GX44,"AAAAAD92fEA=")</f>
        <v>#VALUE!</v>
      </c>
      <c r="BN83" t="e">
        <f>AND('UP133'!GY44,"AAAAAD92fEE=")</f>
        <v>#VALUE!</v>
      </c>
      <c r="BO83" t="e">
        <f>AND('UP133'!GZ44,"AAAAAD92fEI=")</f>
        <v>#VALUE!</v>
      </c>
      <c r="BP83" t="e">
        <f>AND('UP133'!HA44,"AAAAAD92fEM=")</f>
        <v>#VALUE!</v>
      </c>
      <c r="BQ83" t="e">
        <f>AND('UP133'!HB44,"AAAAAD92fEQ=")</f>
        <v>#VALUE!</v>
      </c>
      <c r="BR83" t="e">
        <f>AND('UP133'!HC44,"AAAAAD92fEU=")</f>
        <v>#VALUE!</v>
      </c>
      <c r="BS83" t="e">
        <f>AND('UP133'!HD44,"AAAAAD92fEY=")</f>
        <v>#VALUE!</v>
      </c>
      <c r="BT83" t="e">
        <f>AND('UP133'!HE44,"AAAAAD92fEc=")</f>
        <v>#VALUE!</v>
      </c>
      <c r="BU83" t="e">
        <f>AND('UP133'!HF44,"AAAAAD92fEg=")</f>
        <v>#VALUE!</v>
      </c>
      <c r="BV83" t="e">
        <f>AND('UP133'!HG44,"AAAAAD92fEk=")</f>
        <v>#VALUE!</v>
      </c>
      <c r="BW83" t="e">
        <f>AND('UP133'!HH44,"AAAAAD92fEo=")</f>
        <v>#VALUE!</v>
      </c>
      <c r="BX83" t="e">
        <f>AND('UP133'!HI44,"AAAAAD92fEs=")</f>
        <v>#VALUE!</v>
      </c>
      <c r="BY83" t="e">
        <f>AND('UP133'!HJ44,"AAAAAD92fEw=")</f>
        <v>#VALUE!</v>
      </c>
      <c r="BZ83" t="e">
        <f>AND('UP133'!HK44,"AAAAAD92fE0=")</f>
        <v>#VALUE!</v>
      </c>
      <c r="CA83" t="e">
        <f>AND('UP133'!HL44,"AAAAAD92fE4=")</f>
        <v>#VALUE!</v>
      </c>
      <c r="CB83" t="e">
        <f>AND('UP133'!HM44,"AAAAAD92fE8=")</f>
        <v>#VALUE!</v>
      </c>
      <c r="CC83" t="e">
        <f>AND('UP133'!HN44,"AAAAAD92fFA=")</f>
        <v>#VALUE!</v>
      </c>
      <c r="CD83" t="e">
        <f>AND('UP133'!HO44,"AAAAAD92fFE=")</f>
        <v>#VALUE!</v>
      </c>
      <c r="CE83" t="e">
        <f>AND('UP133'!HP44,"AAAAAD92fFI=")</f>
        <v>#VALUE!</v>
      </c>
      <c r="CF83" t="e">
        <f>AND('UP133'!HQ44,"AAAAAD92fFM=")</f>
        <v>#VALUE!</v>
      </c>
      <c r="CG83" t="e">
        <f>AND('UP133'!HR44,"AAAAAD92fFQ=")</f>
        <v>#VALUE!</v>
      </c>
      <c r="CH83" t="e">
        <f>AND('UP133'!HS44,"AAAAAD92fFU=")</f>
        <v>#VALUE!</v>
      </c>
      <c r="CI83" t="e">
        <f>AND('UP133'!HT44,"AAAAAD92fFY=")</f>
        <v>#VALUE!</v>
      </c>
      <c r="CJ83" t="e">
        <f>AND('UP133'!HU44,"AAAAAD92fFc=")</f>
        <v>#VALUE!</v>
      </c>
      <c r="CK83" t="e">
        <f>AND('UP133'!HV44,"AAAAAD92fFg=")</f>
        <v>#VALUE!</v>
      </c>
      <c r="CL83" t="e">
        <f>AND('UP133'!HW44,"AAAAAD92fFk=")</f>
        <v>#VALUE!</v>
      </c>
      <c r="CM83" t="e">
        <f>AND('UP133'!HX44,"AAAAAD92fFo=")</f>
        <v>#VALUE!</v>
      </c>
      <c r="CN83" t="e">
        <f>AND('UP133'!HY44,"AAAAAD92fFs=")</f>
        <v>#VALUE!</v>
      </c>
      <c r="CO83" t="e">
        <f>AND('UP133'!HZ44,"AAAAAD92fFw=")</f>
        <v>#VALUE!</v>
      </c>
      <c r="CP83" t="e">
        <f>AND('UP133'!IA44,"AAAAAD92fF0=")</f>
        <v>#VALUE!</v>
      </c>
      <c r="CQ83" t="e">
        <f>AND('UP133'!IB44,"AAAAAD92fF4=")</f>
        <v>#VALUE!</v>
      </c>
      <c r="CR83" t="e">
        <f>AND('UP133'!IC44,"AAAAAD92fF8=")</f>
        <v>#VALUE!</v>
      </c>
      <c r="CS83" t="e">
        <f>AND('UP133'!ID44,"AAAAAD92fGA=")</f>
        <v>#VALUE!</v>
      </c>
      <c r="CT83" t="e">
        <f>AND('UP133'!IE44,"AAAAAD92fGE=")</f>
        <v>#VALUE!</v>
      </c>
      <c r="CU83" t="e">
        <f>AND('UP133'!IF44,"AAAAAD92fGI=")</f>
        <v>#VALUE!</v>
      </c>
      <c r="CV83" t="e">
        <f>AND('UP133'!IG44,"AAAAAD92fGM=")</f>
        <v>#VALUE!</v>
      </c>
      <c r="CW83" t="e">
        <f>AND('UP133'!IH44,"AAAAAD92fGQ=")</f>
        <v>#VALUE!</v>
      </c>
      <c r="CX83" t="e">
        <f>AND('UP133'!II44,"AAAAAD92fGU=")</f>
        <v>#VALUE!</v>
      </c>
      <c r="CY83" t="e">
        <f>AND('UP133'!IJ44,"AAAAAD92fGY=")</f>
        <v>#VALUE!</v>
      </c>
      <c r="CZ83" t="e">
        <f>AND('UP133'!IK44,"AAAAAD92fGc=")</f>
        <v>#VALUE!</v>
      </c>
      <c r="DA83" t="e">
        <f>AND('UP133'!IL44,"AAAAAD92fGg=")</f>
        <v>#VALUE!</v>
      </c>
      <c r="DB83" t="e">
        <f>AND('UP133'!IM44,"AAAAAD92fGk=")</f>
        <v>#VALUE!</v>
      </c>
      <c r="DC83" t="e">
        <f>AND('UP133'!IN44,"AAAAAD92fGo=")</f>
        <v>#VALUE!</v>
      </c>
      <c r="DD83" t="e">
        <f>AND('UP133'!IO44,"AAAAAD92fGs=")</f>
        <v>#VALUE!</v>
      </c>
      <c r="DE83" t="e">
        <f>AND('UP133'!IP44,"AAAAAD92fGw=")</f>
        <v>#VALUE!</v>
      </c>
      <c r="DF83" t="e">
        <f>AND('UP133'!IQ44,"AAAAAD92fG0=")</f>
        <v>#VALUE!</v>
      </c>
      <c r="DG83">
        <f>IF('UP133'!45:45,"AAAAAD92fG4=",0)</f>
        <v>0</v>
      </c>
      <c r="DH83" t="e">
        <f>AND('UP133'!A45,"AAAAAD92fG8=")</f>
        <v>#VALUE!</v>
      </c>
      <c r="DI83" t="e">
        <f>AND('UP133'!B45,"AAAAAD92fHA=")</f>
        <v>#VALUE!</v>
      </c>
      <c r="DJ83" t="e">
        <f>AND('UP133'!C45,"AAAAAD92fHE=")</f>
        <v>#VALUE!</v>
      </c>
      <c r="DK83" t="e">
        <f>AND('UP133'!D45,"AAAAAD92fHI=")</f>
        <v>#VALUE!</v>
      </c>
      <c r="DL83" t="e">
        <f>AND('UP133'!E45,"AAAAAD92fHM=")</f>
        <v>#VALUE!</v>
      </c>
      <c r="DM83" t="e">
        <f>AND('UP133'!F45,"AAAAAD92fHQ=")</f>
        <v>#VALUE!</v>
      </c>
      <c r="DN83" t="e">
        <f>AND('UP133'!G45,"AAAAAD92fHU=")</f>
        <v>#VALUE!</v>
      </c>
      <c r="DO83" t="e">
        <f>AND('UP133'!H45,"AAAAAD92fHY=")</f>
        <v>#VALUE!</v>
      </c>
      <c r="DP83" t="e">
        <f>AND('UP133'!I45,"AAAAAD92fHc=")</f>
        <v>#VALUE!</v>
      </c>
      <c r="DQ83" t="e">
        <f>AND('UP133'!J45,"AAAAAD92fHg=")</f>
        <v>#VALUE!</v>
      </c>
      <c r="DR83" t="e">
        <f>AND('UP133'!K45,"AAAAAD92fHk=")</f>
        <v>#VALUE!</v>
      </c>
      <c r="DS83" t="e">
        <f>AND('UP133'!L45,"AAAAAD92fHo=")</f>
        <v>#VALUE!</v>
      </c>
      <c r="DT83" t="e">
        <f>AND('UP133'!M45,"AAAAAD92fHs=")</f>
        <v>#VALUE!</v>
      </c>
      <c r="DU83" t="e">
        <f>AND('UP133'!N45,"AAAAAD92fHw=")</f>
        <v>#VALUE!</v>
      </c>
      <c r="DV83" t="e">
        <f>AND('UP133'!O45,"AAAAAD92fH0=")</f>
        <v>#VALUE!</v>
      </c>
      <c r="DW83" t="e">
        <f>AND('UP133'!P45,"AAAAAD92fH4=")</f>
        <v>#VALUE!</v>
      </c>
      <c r="DX83" t="e">
        <f>AND('UP133'!Q45,"AAAAAD92fH8=")</f>
        <v>#VALUE!</v>
      </c>
      <c r="DY83" t="e">
        <f>AND('UP133'!R45,"AAAAAD92fIA=")</f>
        <v>#VALUE!</v>
      </c>
      <c r="DZ83" t="e">
        <f>AND('UP133'!S45,"AAAAAD92fIE=")</f>
        <v>#VALUE!</v>
      </c>
      <c r="EA83" t="e">
        <f>AND('UP133'!T45,"AAAAAD92fII=")</f>
        <v>#VALUE!</v>
      </c>
      <c r="EB83" t="e">
        <f>AND('UP133'!U45,"AAAAAD92fIM=")</f>
        <v>#VALUE!</v>
      </c>
      <c r="EC83" t="e">
        <f>AND('UP133'!V45,"AAAAAD92fIQ=")</f>
        <v>#VALUE!</v>
      </c>
      <c r="ED83" t="e">
        <f>AND('UP133'!W45,"AAAAAD92fIU=")</f>
        <v>#VALUE!</v>
      </c>
      <c r="EE83" t="e">
        <f>AND('UP133'!X45,"AAAAAD92fIY=")</f>
        <v>#VALUE!</v>
      </c>
      <c r="EF83" t="e">
        <f>AND('UP133'!Y45,"AAAAAD92fIc=")</f>
        <v>#VALUE!</v>
      </c>
      <c r="EG83" t="e">
        <f>AND('UP133'!Z45,"AAAAAD92fIg=")</f>
        <v>#VALUE!</v>
      </c>
      <c r="EH83" t="e">
        <f>AND('UP133'!AA45,"AAAAAD92fIk=")</f>
        <v>#VALUE!</v>
      </c>
      <c r="EI83" t="e">
        <f>AND('UP133'!AB45,"AAAAAD92fIo=")</f>
        <v>#VALUE!</v>
      </c>
      <c r="EJ83" t="e">
        <f>AND('UP133'!AC45,"AAAAAD92fIs=")</f>
        <v>#VALUE!</v>
      </c>
      <c r="EK83" t="e">
        <f>AND('UP133'!AD45,"AAAAAD92fIw=")</f>
        <v>#VALUE!</v>
      </c>
      <c r="EL83" t="e">
        <f>AND('UP133'!AE45,"AAAAAD92fI0=")</f>
        <v>#VALUE!</v>
      </c>
      <c r="EM83" t="e">
        <f>AND('UP133'!AF45,"AAAAAD92fI4=")</f>
        <v>#VALUE!</v>
      </c>
      <c r="EN83" t="e">
        <f>AND('UP133'!AG45,"AAAAAD92fI8=")</f>
        <v>#VALUE!</v>
      </c>
      <c r="EO83" t="e">
        <f>AND('UP133'!AH45,"AAAAAD92fJA=")</f>
        <v>#VALUE!</v>
      </c>
      <c r="EP83" t="e">
        <f>AND('UP133'!AI45,"AAAAAD92fJE=")</f>
        <v>#VALUE!</v>
      </c>
      <c r="EQ83" t="e">
        <f>AND('UP133'!AJ45,"AAAAAD92fJI=")</f>
        <v>#VALUE!</v>
      </c>
      <c r="ER83" t="e">
        <f>AND('UP133'!AK45,"AAAAAD92fJM=")</f>
        <v>#VALUE!</v>
      </c>
      <c r="ES83" t="e">
        <f>AND('UP133'!AL45,"AAAAAD92fJQ=")</f>
        <v>#VALUE!</v>
      </c>
      <c r="ET83" t="e">
        <f>AND('UP133'!AM45,"AAAAAD92fJU=")</f>
        <v>#VALUE!</v>
      </c>
      <c r="EU83" t="e">
        <f>AND('UP133'!AN45,"AAAAAD92fJY=")</f>
        <v>#VALUE!</v>
      </c>
      <c r="EV83" t="e">
        <f>AND('UP133'!AO45,"AAAAAD92fJc=")</f>
        <v>#VALUE!</v>
      </c>
      <c r="EW83" t="e">
        <f>AND('UP133'!AP45,"AAAAAD92fJg=")</f>
        <v>#VALUE!</v>
      </c>
      <c r="EX83" t="e">
        <f>AND('UP133'!AQ45,"AAAAAD92fJk=")</f>
        <v>#VALUE!</v>
      </c>
      <c r="EY83" t="e">
        <f>AND('UP133'!AR45,"AAAAAD92fJo=")</f>
        <v>#VALUE!</v>
      </c>
      <c r="EZ83" t="e">
        <f>AND('UP133'!AS45,"AAAAAD92fJs=")</f>
        <v>#VALUE!</v>
      </c>
      <c r="FA83" t="e">
        <f>AND('UP133'!AT45,"AAAAAD92fJw=")</f>
        <v>#VALUE!</v>
      </c>
      <c r="FB83" t="e">
        <f>AND('UP133'!AU45,"AAAAAD92fJ0=")</f>
        <v>#VALUE!</v>
      </c>
      <c r="FC83" t="e">
        <f>AND('UP133'!AV45,"AAAAAD92fJ4=")</f>
        <v>#VALUE!</v>
      </c>
      <c r="FD83" t="e">
        <f>AND('UP133'!AW45,"AAAAAD92fJ8=")</f>
        <v>#VALUE!</v>
      </c>
      <c r="FE83" t="e">
        <f>AND('UP133'!AX45,"AAAAAD92fKA=")</f>
        <v>#VALUE!</v>
      </c>
      <c r="FF83" t="e">
        <f>AND('UP133'!AY45,"AAAAAD92fKE=")</f>
        <v>#VALUE!</v>
      </c>
      <c r="FG83" t="e">
        <f>AND('UP133'!AZ45,"AAAAAD92fKI=")</f>
        <v>#VALUE!</v>
      </c>
      <c r="FH83" t="e">
        <f>AND('UP133'!BA45,"AAAAAD92fKM=")</f>
        <v>#VALUE!</v>
      </c>
      <c r="FI83" t="e">
        <f>AND('UP133'!BB45,"AAAAAD92fKQ=")</f>
        <v>#VALUE!</v>
      </c>
      <c r="FJ83" t="e">
        <f>AND('UP133'!BC45,"AAAAAD92fKU=")</f>
        <v>#VALUE!</v>
      </c>
      <c r="FK83" t="e">
        <f>AND('UP133'!BD45,"AAAAAD92fKY=")</f>
        <v>#VALUE!</v>
      </c>
      <c r="FL83" t="e">
        <f>AND('UP133'!BE45,"AAAAAD92fKc=")</f>
        <v>#VALUE!</v>
      </c>
      <c r="FM83" t="e">
        <f>AND('UP133'!BF45,"AAAAAD92fKg=")</f>
        <v>#VALUE!</v>
      </c>
      <c r="FN83" t="e">
        <f>AND('UP133'!BG45,"AAAAAD92fKk=")</f>
        <v>#VALUE!</v>
      </c>
      <c r="FO83" t="e">
        <f>AND('UP133'!BH45,"AAAAAD92fKo=")</f>
        <v>#VALUE!</v>
      </c>
      <c r="FP83" t="e">
        <f>AND('UP133'!BI45,"AAAAAD92fKs=")</f>
        <v>#VALUE!</v>
      </c>
      <c r="FQ83" t="e">
        <f>AND('UP133'!BJ45,"AAAAAD92fKw=")</f>
        <v>#VALUE!</v>
      </c>
      <c r="FR83" t="e">
        <f>AND('UP133'!BK45,"AAAAAD92fK0=")</f>
        <v>#VALUE!</v>
      </c>
      <c r="FS83" t="e">
        <f>AND('UP133'!BL45,"AAAAAD92fK4=")</f>
        <v>#VALUE!</v>
      </c>
      <c r="FT83" t="e">
        <f>AND('UP133'!BM45,"AAAAAD92fK8=")</f>
        <v>#VALUE!</v>
      </c>
      <c r="FU83" t="e">
        <f>AND('UP133'!BN45,"AAAAAD92fLA=")</f>
        <v>#VALUE!</v>
      </c>
      <c r="FV83" t="e">
        <f>AND('UP133'!BO45,"AAAAAD92fLE=")</f>
        <v>#VALUE!</v>
      </c>
      <c r="FW83" t="e">
        <f>AND('UP133'!BP45,"AAAAAD92fLI=")</f>
        <v>#VALUE!</v>
      </c>
      <c r="FX83" t="e">
        <f>AND('UP133'!BQ45,"AAAAAD92fLM=")</f>
        <v>#VALUE!</v>
      </c>
      <c r="FY83" t="e">
        <f>AND('UP133'!BR45,"AAAAAD92fLQ=")</f>
        <v>#VALUE!</v>
      </c>
      <c r="FZ83" t="e">
        <f>AND('UP133'!BS45,"AAAAAD92fLU=")</f>
        <v>#VALUE!</v>
      </c>
      <c r="GA83" t="e">
        <f>AND('UP133'!BT45,"AAAAAD92fLY=")</f>
        <v>#VALUE!</v>
      </c>
      <c r="GB83" t="e">
        <f>AND('UP133'!BU45,"AAAAAD92fLc=")</f>
        <v>#VALUE!</v>
      </c>
      <c r="GC83" t="e">
        <f>AND('UP133'!BV45,"AAAAAD92fLg=")</f>
        <v>#VALUE!</v>
      </c>
      <c r="GD83" t="e">
        <f>AND('UP133'!BW45,"AAAAAD92fLk=")</f>
        <v>#VALUE!</v>
      </c>
      <c r="GE83" t="e">
        <f>AND('UP133'!BX45,"AAAAAD92fLo=")</f>
        <v>#VALUE!</v>
      </c>
      <c r="GF83" t="e">
        <f>AND('UP133'!BY45,"AAAAAD92fLs=")</f>
        <v>#VALUE!</v>
      </c>
      <c r="GG83" t="e">
        <f>AND('UP133'!BZ45,"AAAAAD92fLw=")</f>
        <v>#VALUE!</v>
      </c>
      <c r="GH83" t="e">
        <f>AND('UP133'!CA45,"AAAAAD92fL0=")</f>
        <v>#VALUE!</v>
      </c>
      <c r="GI83" t="e">
        <f>AND('UP133'!CB45,"AAAAAD92fL4=")</f>
        <v>#VALUE!</v>
      </c>
      <c r="GJ83" t="e">
        <f>AND('UP133'!CC45,"AAAAAD92fL8=")</f>
        <v>#VALUE!</v>
      </c>
      <c r="GK83" t="e">
        <f>AND('UP133'!CD45,"AAAAAD92fMA=")</f>
        <v>#VALUE!</v>
      </c>
      <c r="GL83" t="e">
        <f>AND('UP133'!CE45,"AAAAAD92fME=")</f>
        <v>#VALUE!</v>
      </c>
      <c r="GM83" t="e">
        <f>AND('UP133'!CF45,"AAAAAD92fMI=")</f>
        <v>#VALUE!</v>
      </c>
      <c r="GN83" t="e">
        <f>AND('UP133'!CG45,"AAAAAD92fMM=")</f>
        <v>#VALUE!</v>
      </c>
      <c r="GO83" t="e">
        <f>AND('UP133'!CH45,"AAAAAD92fMQ=")</f>
        <v>#VALUE!</v>
      </c>
      <c r="GP83" t="e">
        <f>AND('UP133'!CI45,"AAAAAD92fMU=")</f>
        <v>#VALUE!</v>
      </c>
      <c r="GQ83" t="e">
        <f>AND('UP133'!CJ45,"AAAAAD92fMY=")</f>
        <v>#VALUE!</v>
      </c>
      <c r="GR83" t="e">
        <f>AND('UP133'!CK45,"AAAAAD92fMc=")</f>
        <v>#VALUE!</v>
      </c>
      <c r="GS83" t="e">
        <f>AND('UP133'!CL45,"AAAAAD92fMg=")</f>
        <v>#VALUE!</v>
      </c>
      <c r="GT83" t="e">
        <f>AND('UP133'!CM45,"AAAAAD92fMk=")</f>
        <v>#VALUE!</v>
      </c>
      <c r="GU83" t="e">
        <f>AND('UP133'!CN45,"AAAAAD92fMo=")</f>
        <v>#VALUE!</v>
      </c>
      <c r="GV83" t="e">
        <f>AND('UP133'!CO45,"AAAAAD92fMs=")</f>
        <v>#VALUE!</v>
      </c>
      <c r="GW83" t="e">
        <f>AND('UP133'!CP45,"AAAAAD92fMw=")</f>
        <v>#VALUE!</v>
      </c>
      <c r="GX83" t="e">
        <f>AND('UP133'!CQ45,"AAAAAD92fM0=")</f>
        <v>#VALUE!</v>
      </c>
      <c r="GY83" t="e">
        <f>AND('UP133'!CR45,"AAAAAD92fM4=")</f>
        <v>#VALUE!</v>
      </c>
      <c r="GZ83" t="e">
        <f>AND('UP133'!CS45,"AAAAAD92fM8=")</f>
        <v>#VALUE!</v>
      </c>
      <c r="HA83" t="e">
        <f>AND('UP133'!CT45,"AAAAAD92fNA=")</f>
        <v>#VALUE!</v>
      </c>
      <c r="HB83" t="e">
        <f>AND('UP133'!CU45,"AAAAAD92fNE=")</f>
        <v>#VALUE!</v>
      </c>
      <c r="HC83" t="e">
        <f>AND('UP133'!CV45,"AAAAAD92fNI=")</f>
        <v>#VALUE!</v>
      </c>
      <c r="HD83" t="e">
        <f>AND('UP133'!CW45,"AAAAAD92fNM=")</f>
        <v>#VALUE!</v>
      </c>
      <c r="HE83" t="e">
        <f>AND('UP133'!CX45,"AAAAAD92fNQ=")</f>
        <v>#VALUE!</v>
      </c>
      <c r="HF83" t="e">
        <f>AND('UP133'!CY45,"AAAAAD92fNU=")</f>
        <v>#VALUE!</v>
      </c>
      <c r="HG83" t="e">
        <f>AND('UP133'!CZ45,"AAAAAD92fNY=")</f>
        <v>#VALUE!</v>
      </c>
      <c r="HH83" t="e">
        <f>AND('UP133'!DA45,"AAAAAD92fNc=")</f>
        <v>#VALUE!</v>
      </c>
      <c r="HI83" t="e">
        <f>AND('UP133'!DB45,"AAAAAD92fNg=")</f>
        <v>#VALUE!</v>
      </c>
      <c r="HJ83" t="e">
        <f>AND('UP133'!DC45,"AAAAAD92fNk=")</f>
        <v>#VALUE!</v>
      </c>
      <c r="HK83" t="e">
        <f>AND('UP133'!DD45,"AAAAAD92fNo=")</f>
        <v>#VALUE!</v>
      </c>
      <c r="HL83" t="e">
        <f>AND('UP133'!DE45,"AAAAAD92fNs=")</f>
        <v>#VALUE!</v>
      </c>
      <c r="HM83" t="e">
        <f>AND('UP133'!DF45,"AAAAAD92fNw=")</f>
        <v>#VALUE!</v>
      </c>
      <c r="HN83" t="e">
        <f>AND('UP133'!DG45,"AAAAAD92fN0=")</f>
        <v>#VALUE!</v>
      </c>
      <c r="HO83" t="e">
        <f>AND('UP133'!DH45,"AAAAAD92fN4=")</f>
        <v>#VALUE!</v>
      </c>
      <c r="HP83" t="e">
        <f>AND('UP133'!DI45,"AAAAAD92fN8=")</f>
        <v>#VALUE!</v>
      </c>
      <c r="HQ83" t="e">
        <f>AND('UP133'!DJ45,"AAAAAD92fOA=")</f>
        <v>#VALUE!</v>
      </c>
      <c r="HR83" t="e">
        <f>AND('UP133'!DK45,"AAAAAD92fOE=")</f>
        <v>#VALUE!</v>
      </c>
      <c r="HS83" t="e">
        <f>AND('UP133'!DL45,"AAAAAD92fOI=")</f>
        <v>#VALUE!</v>
      </c>
      <c r="HT83" t="e">
        <f>AND('UP133'!DM45,"AAAAAD92fOM=")</f>
        <v>#VALUE!</v>
      </c>
      <c r="HU83" t="e">
        <f>AND('UP133'!DN45,"AAAAAD92fOQ=")</f>
        <v>#VALUE!</v>
      </c>
      <c r="HV83" t="e">
        <f>AND('UP133'!DO45,"AAAAAD92fOU=")</f>
        <v>#VALUE!</v>
      </c>
      <c r="HW83" t="e">
        <f>AND('UP133'!DP45,"AAAAAD92fOY=")</f>
        <v>#VALUE!</v>
      </c>
      <c r="HX83" t="e">
        <f>AND('UP133'!DQ45,"AAAAAD92fOc=")</f>
        <v>#VALUE!</v>
      </c>
      <c r="HY83" t="e">
        <f>AND('UP133'!DR45,"AAAAAD92fOg=")</f>
        <v>#VALUE!</v>
      </c>
      <c r="HZ83" t="e">
        <f>AND('UP133'!DS45,"AAAAAD92fOk=")</f>
        <v>#VALUE!</v>
      </c>
      <c r="IA83" t="e">
        <f>AND('UP133'!DT45,"AAAAAD92fOo=")</f>
        <v>#VALUE!</v>
      </c>
      <c r="IB83" t="e">
        <f>AND('UP133'!DU45,"AAAAAD92fOs=")</f>
        <v>#VALUE!</v>
      </c>
      <c r="IC83" t="e">
        <f>AND('UP133'!DV45,"AAAAAD92fOw=")</f>
        <v>#VALUE!</v>
      </c>
      <c r="ID83" t="e">
        <f>AND('UP133'!DW45,"AAAAAD92fO0=")</f>
        <v>#VALUE!</v>
      </c>
      <c r="IE83" t="e">
        <f>AND('UP133'!DX45,"AAAAAD92fO4=")</f>
        <v>#VALUE!</v>
      </c>
      <c r="IF83" t="e">
        <f>AND('UP133'!DY45,"AAAAAD92fO8=")</f>
        <v>#VALUE!</v>
      </c>
      <c r="IG83" t="e">
        <f>AND('UP133'!DZ45,"AAAAAD92fPA=")</f>
        <v>#VALUE!</v>
      </c>
      <c r="IH83" t="e">
        <f>AND('UP133'!EA45,"AAAAAD92fPE=")</f>
        <v>#VALUE!</v>
      </c>
      <c r="II83" t="e">
        <f>AND('UP133'!EB45,"AAAAAD92fPI=")</f>
        <v>#VALUE!</v>
      </c>
      <c r="IJ83" t="e">
        <f>AND('UP133'!EC45,"AAAAAD92fPM=")</f>
        <v>#VALUE!</v>
      </c>
      <c r="IK83" t="e">
        <f>AND('UP133'!ED45,"AAAAAD92fPQ=")</f>
        <v>#VALUE!</v>
      </c>
      <c r="IL83" t="e">
        <f>AND('UP133'!EE45,"AAAAAD92fPU=")</f>
        <v>#VALUE!</v>
      </c>
      <c r="IM83" t="e">
        <f>AND('UP133'!EF45,"AAAAAD92fPY=")</f>
        <v>#VALUE!</v>
      </c>
      <c r="IN83" t="e">
        <f>AND('UP133'!EG45,"AAAAAD92fPc=")</f>
        <v>#VALUE!</v>
      </c>
      <c r="IO83" t="e">
        <f>AND('UP133'!EH45,"AAAAAD92fPg=")</f>
        <v>#VALUE!</v>
      </c>
      <c r="IP83" t="e">
        <f>AND('UP133'!EI45,"AAAAAD92fPk=")</f>
        <v>#VALUE!</v>
      </c>
      <c r="IQ83" t="e">
        <f>AND('UP133'!EJ45,"AAAAAD92fPo=")</f>
        <v>#VALUE!</v>
      </c>
      <c r="IR83" t="e">
        <f>AND('UP133'!EK45,"AAAAAD92fPs=")</f>
        <v>#VALUE!</v>
      </c>
      <c r="IS83" t="e">
        <f>AND('UP133'!EL45,"AAAAAD92fPw=")</f>
        <v>#VALUE!</v>
      </c>
      <c r="IT83" t="e">
        <f>AND('UP133'!EM45,"AAAAAD92fP0=")</f>
        <v>#VALUE!</v>
      </c>
      <c r="IU83" t="e">
        <f>AND('UP133'!EN45,"AAAAAD92fP4=")</f>
        <v>#VALUE!</v>
      </c>
      <c r="IV83" t="e">
        <f>AND('UP133'!EO45,"AAAAAD92fP8=")</f>
        <v>#VALUE!</v>
      </c>
    </row>
    <row r="84" spans="1:256">
      <c r="A84" t="e">
        <f>AND('UP133'!EP45,"AAAAAH2vigA=")</f>
        <v>#VALUE!</v>
      </c>
      <c r="B84" t="e">
        <f>AND('UP133'!EQ45,"AAAAAH2vigE=")</f>
        <v>#VALUE!</v>
      </c>
      <c r="C84" t="e">
        <f>AND('UP133'!ER45,"AAAAAH2vigI=")</f>
        <v>#VALUE!</v>
      </c>
      <c r="D84" t="e">
        <f>AND('UP133'!ES45,"AAAAAH2vigM=")</f>
        <v>#VALUE!</v>
      </c>
      <c r="E84" t="e">
        <f>AND('UP133'!ET45,"AAAAAH2vigQ=")</f>
        <v>#VALUE!</v>
      </c>
      <c r="F84" t="e">
        <f>AND('UP133'!EU45,"AAAAAH2vigU=")</f>
        <v>#VALUE!</v>
      </c>
      <c r="G84" t="e">
        <f>AND('UP133'!EV45,"AAAAAH2vigY=")</f>
        <v>#VALUE!</v>
      </c>
      <c r="H84" t="e">
        <f>AND('UP133'!EW45,"AAAAAH2vigc=")</f>
        <v>#VALUE!</v>
      </c>
      <c r="I84" t="e">
        <f>AND('UP133'!EX45,"AAAAAH2vigg=")</f>
        <v>#VALUE!</v>
      </c>
      <c r="J84" t="e">
        <f>AND('UP133'!EY45,"AAAAAH2vigk=")</f>
        <v>#VALUE!</v>
      </c>
      <c r="K84" t="e">
        <f>AND('UP133'!EZ45,"AAAAAH2vigo=")</f>
        <v>#VALUE!</v>
      </c>
      <c r="L84" t="e">
        <f>AND('UP133'!FA45,"AAAAAH2vigs=")</f>
        <v>#VALUE!</v>
      </c>
      <c r="M84" t="e">
        <f>AND('UP133'!FB45,"AAAAAH2vigw=")</f>
        <v>#VALUE!</v>
      </c>
      <c r="N84" t="e">
        <f>AND('UP133'!FC45,"AAAAAH2vig0=")</f>
        <v>#VALUE!</v>
      </c>
      <c r="O84" t="e">
        <f>AND('UP133'!FD45,"AAAAAH2vig4=")</f>
        <v>#VALUE!</v>
      </c>
      <c r="P84" t="e">
        <f>AND('UP133'!FE45,"AAAAAH2vig8=")</f>
        <v>#VALUE!</v>
      </c>
      <c r="Q84" t="e">
        <f>AND('UP133'!FF45,"AAAAAH2vihA=")</f>
        <v>#VALUE!</v>
      </c>
      <c r="R84" t="e">
        <f>AND('UP133'!FG45,"AAAAAH2vihE=")</f>
        <v>#VALUE!</v>
      </c>
      <c r="S84" t="e">
        <f>AND('UP133'!FH45,"AAAAAH2vihI=")</f>
        <v>#VALUE!</v>
      </c>
      <c r="T84" t="e">
        <f>AND('UP133'!FI45,"AAAAAH2vihM=")</f>
        <v>#VALUE!</v>
      </c>
      <c r="U84" t="e">
        <f>AND('UP133'!FJ45,"AAAAAH2vihQ=")</f>
        <v>#VALUE!</v>
      </c>
      <c r="V84" t="e">
        <f>AND('UP133'!FK45,"AAAAAH2vihU=")</f>
        <v>#VALUE!</v>
      </c>
      <c r="W84" t="e">
        <f>AND('UP133'!FL45,"AAAAAH2vihY=")</f>
        <v>#VALUE!</v>
      </c>
      <c r="X84" t="e">
        <f>AND('UP133'!FM45,"AAAAAH2vihc=")</f>
        <v>#VALUE!</v>
      </c>
      <c r="Y84" t="e">
        <f>AND('UP133'!FN45,"AAAAAH2vihg=")</f>
        <v>#VALUE!</v>
      </c>
      <c r="Z84" t="e">
        <f>AND('UP133'!FO45,"AAAAAH2vihk=")</f>
        <v>#VALUE!</v>
      </c>
      <c r="AA84" t="e">
        <f>AND('UP133'!FP45,"AAAAAH2viho=")</f>
        <v>#VALUE!</v>
      </c>
      <c r="AB84" t="e">
        <f>AND('UP133'!FQ45,"AAAAAH2vihs=")</f>
        <v>#VALUE!</v>
      </c>
      <c r="AC84" t="e">
        <f>AND('UP133'!FR45,"AAAAAH2vihw=")</f>
        <v>#VALUE!</v>
      </c>
      <c r="AD84" t="e">
        <f>AND('UP133'!FS45,"AAAAAH2vih0=")</f>
        <v>#VALUE!</v>
      </c>
      <c r="AE84" t="e">
        <f>AND('UP133'!FT45,"AAAAAH2vih4=")</f>
        <v>#VALUE!</v>
      </c>
      <c r="AF84" t="e">
        <f>AND('UP133'!FU45,"AAAAAH2vih8=")</f>
        <v>#VALUE!</v>
      </c>
      <c r="AG84" t="e">
        <f>AND('UP133'!FV45,"AAAAAH2viiA=")</f>
        <v>#VALUE!</v>
      </c>
      <c r="AH84" t="e">
        <f>AND('UP133'!FW45,"AAAAAH2viiE=")</f>
        <v>#VALUE!</v>
      </c>
      <c r="AI84" t="e">
        <f>AND('UP133'!FX45,"AAAAAH2viiI=")</f>
        <v>#VALUE!</v>
      </c>
      <c r="AJ84" t="e">
        <f>AND('UP133'!FY45,"AAAAAH2viiM=")</f>
        <v>#VALUE!</v>
      </c>
      <c r="AK84" t="e">
        <f>AND('UP133'!FZ45,"AAAAAH2viiQ=")</f>
        <v>#VALUE!</v>
      </c>
      <c r="AL84" t="e">
        <f>AND('UP133'!GA45,"AAAAAH2viiU=")</f>
        <v>#VALUE!</v>
      </c>
      <c r="AM84" t="e">
        <f>AND('UP133'!GB45,"AAAAAH2viiY=")</f>
        <v>#VALUE!</v>
      </c>
      <c r="AN84" t="e">
        <f>AND('UP133'!GC45,"AAAAAH2viic=")</f>
        <v>#VALUE!</v>
      </c>
      <c r="AO84" t="e">
        <f>AND('UP133'!GD45,"AAAAAH2viig=")</f>
        <v>#VALUE!</v>
      </c>
      <c r="AP84" t="e">
        <f>AND('UP133'!GE45,"AAAAAH2viik=")</f>
        <v>#VALUE!</v>
      </c>
      <c r="AQ84" t="e">
        <f>AND('UP133'!GF45,"AAAAAH2viio=")</f>
        <v>#VALUE!</v>
      </c>
      <c r="AR84" t="e">
        <f>AND('UP133'!GG45,"AAAAAH2viis=")</f>
        <v>#VALUE!</v>
      </c>
      <c r="AS84" t="e">
        <f>AND('UP133'!GH45,"AAAAAH2viiw=")</f>
        <v>#VALUE!</v>
      </c>
      <c r="AT84" t="e">
        <f>AND('UP133'!GI45,"AAAAAH2vii0=")</f>
        <v>#VALUE!</v>
      </c>
      <c r="AU84" t="e">
        <f>AND('UP133'!GJ45,"AAAAAH2vii4=")</f>
        <v>#VALUE!</v>
      </c>
      <c r="AV84" t="e">
        <f>AND('UP133'!GK45,"AAAAAH2vii8=")</f>
        <v>#VALUE!</v>
      </c>
      <c r="AW84" t="e">
        <f>AND('UP133'!GL45,"AAAAAH2vijA=")</f>
        <v>#VALUE!</v>
      </c>
      <c r="AX84" t="e">
        <f>AND('UP133'!GM45,"AAAAAH2vijE=")</f>
        <v>#VALUE!</v>
      </c>
      <c r="AY84" t="e">
        <f>AND('UP133'!GN45,"AAAAAH2vijI=")</f>
        <v>#VALUE!</v>
      </c>
      <c r="AZ84" t="e">
        <f>AND('UP133'!GO45,"AAAAAH2vijM=")</f>
        <v>#VALUE!</v>
      </c>
      <c r="BA84" t="e">
        <f>AND('UP133'!GP45,"AAAAAH2vijQ=")</f>
        <v>#VALUE!</v>
      </c>
      <c r="BB84" t="e">
        <f>AND('UP133'!GQ45,"AAAAAH2vijU=")</f>
        <v>#VALUE!</v>
      </c>
      <c r="BC84" t="e">
        <f>AND('UP133'!GR45,"AAAAAH2vijY=")</f>
        <v>#VALUE!</v>
      </c>
      <c r="BD84" t="e">
        <f>AND('UP133'!GS45,"AAAAAH2vijc=")</f>
        <v>#VALUE!</v>
      </c>
      <c r="BE84" t="e">
        <f>AND('UP133'!GT45,"AAAAAH2vijg=")</f>
        <v>#VALUE!</v>
      </c>
      <c r="BF84" t="e">
        <f>AND('UP133'!GU45,"AAAAAH2vijk=")</f>
        <v>#VALUE!</v>
      </c>
      <c r="BG84" t="e">
        <f>AND('UP133'!GV45,"AAAAAH2vijo=")</f>
        <v>#VALUE!</v>
      </c>
      <c r="BH84" t="e">
        <f>AND('UP133'!GW45,"AAAAAH2vijs=")</f>
        <v>#VALUE!</v>
      </c>
      <c r="BI84" t="e">
        <f>AND('UP133'!GX45,"AAAAAH2vijw=")</f>
        <v>#VALUE!</v>
      </c>
      <c r="BJ84" t="e">
        <f>AND('UP133'!GY45,"AAAAAH2vij0=")</f>
        <v>#VALUE!</v>
      </c>
      <c r="BK84" t="e">
        <f>AND('UP133'!GZ45,"AAAAAH2vij4=")</f>
        <v>#VALUE!</v>
      </c>
      <c r="BL84" t="e">
        <f>AND('UP133'!HA45,"AAAAAH2vij8=")</f>
        <v>#VALUE!</v>
      </c>
      <c r="BM84" t="e">
        <f>AND('UP133'!HB45,"AAAAAH2vikA=")</f>
        <v>#VALUE!</v>
      </c>
      <c r="BN84" t="e">
        <f>AND('UP133'!HC45,"AAAAAH2vikE=")</f>
        <v>#VALUE!</v>
      </c>
      <c r="BO84" t="e">
        <f>AND('UP133'!HD45,"AAAAAH2vikI=")</f>
        <v>#VALUE!</v>
      </c>
      <c r="BP84" t="e">
        <f>AND('UP133'!HE45,"AAAAAH2vikM=")</f>
        <v>#VALUE!</v>
      </c>
      <c r="BQ84" t="e">
        <f>AND('UP133'!HF45,"AAAAAH2vikQ=")</f>
        <v>#VALUE!</v>
      </c>
      <c r="BR84" t="e">
        <f>AND('UP133'!HG45,"AAAAAH2vikU=")</f>
        <v>#VALUE!</v>
      </c>
      <c r="BS84" t="e">
        <f>AND('UP133'!HH45,"AAAAAH2vikY=")</f>
        <v>#VALUE!</v>
      </c>
      <c r="BT84" t="e">
        <f>AND('UP133'!HI45,"AAAAAH2vikc=")</f>
        <v>#VALUE!</v>
      </c>
      <c r="BU84" t="e">
        <f>AND('UP133'!HJ45,"AAAAAH2vikg=")</f>
        <v>#VALUE!</v>
      </c>
      <c r="BV84" t="e">
        <f>AND('UP133'!HK45,"AAAAAH2vikk=")</f>
        <v>#VALUE!</v>
      </c>
      <c r="BW84" t="e">
        <f>AND('UP133'!HL45,"AAAAAH2viko=")</f>
        <v>#VALUE!</v>
      </c>
      <c r="BX84" t="e">
        <f>AND('UP133'!HM45,"AAAAAH2viks=")</f>
        <v>#VALUE!</v>
      </c>
      <c r="BY84" t="e">
        <f>AND('UP133'!HN45,"AAAAAH2vikw=")</f>
        <v>#VALUE!</v>
      </c>
      <c r="BZ84" t="e">
        <f>AND('UP133'!HO45,"AAAAAH2vik0=")</f>
        <v>#VALUE!</v>
      </c>
      <c r="CA84" t="e">
        <f>AND('UP133'!HP45,"AAAAAH2vik4=")</f>
        <v>#VALUE!</v>
      </c>
      <c r="CB84" t="e">
        <f>AND('UP133'!HQ45,"AAAAAH2vik8=")</f>
        <v>#VALUE!</v>
      </c>
      <c r="CC84" t="e">
        <f>AND('UP133'!HR45,"AAAAAH2vilA=")</f>
        <v>#VALUE!</v>
      </c>
      <c r="CD84" t="e">
        <f>AND('UP133'!HS45,"AAAAAH2vilE=")</f>
        <v>#VALUE!</v>
      </c>
      <c r="CE84" t="e">
        <f>AND('UP133'!HT45,"AAAAAH2vilI=")</f>
        <v>#VALUE!</v>
      </c>
      <c r="CF84" t="e">
        <f>AND('UP133'!HU45,"AAAAAH2vilM=")</f>
        <v>#VALUE!</v>
      </c>
      <c r="CG84" t="e">
        <f>AND('UP133'!HV45,"AAAAAH2vilQ=")</f>
        <v>#VALUE!</v>
      </c>
      <c r="CH84" t="e">
        <f>AND('UP133'!HW45,"AAAAAH2vilU=")</f>
        <v>#VALUE!</v>
      </c>
      <c r="CI84" t="e">
        <f>AND('UP133'!HX45,"AAAAAH2vilY=")</f>
        <v>#VALUE!</v>
      </c>
      <c r="CJ84" t="e">
        <f>AND('UP133'!HY45,"AAAAAH2vilc=")</f>
        <v>#VALUE!</v>
      </c>
      <c r="CK84" t="e">
        <f>AND('UP133'!HZ45,"AAAAAH2vilg=")</f>
        <v>#VALUE!</v>
      </c>
      <c r="CL84" t="e">
        <f>AND('UP133'!IA45,"AAAAAH2vilk=")</f>
        <v>#VALUE!</v>
      </c>
      <c r="CM84" t="e">
        <f>AND('UP133'!IB45,"AAAAAH2vilo=")</f>
        <v>#VALUE!</v>
      </c>
      <c r="CN84" t="e">
        <f>AND('UP133'!IC45,"AAAAAH2vils=")</f>
        <v>#VALUE!</v>
      </c>
      <c r="CO84" t="e">
        <f>AND('UP133'!ID45,"AAAAAH2vilw=")</f>
        <v>#VALUE!</v>
      </c>
      <c r="CP84" t="e">
        <f>AND('UP133'!IE45,"AAAAAH2vil0=")</f>
        <v>#VALUE!</v>
      </c>
      <c r="CQ84" t="e">
        <f>AND('UP133'!IF45,"AAAAAH2vil4=")</f>
        <v>#VALUE!</v>
      </c>
      <c r="CR84" t="e">
        <f>AND('UP133'!IG45,"AAAAAH2vil8=")</f>
        <v>#VALUE!</v>
      </c>
      <c r="CS84" t="e">
        <f>AND('UP133'!IH45,"AAAAAH2vimA=")</f>
        <v>#VALUE!</v>
      </c>
      <c r="CT84" t="e">
        <f>AND('UP133'!II45,"AAAAAH2vimE=")</f>
        <v>#VALUE!</v>
      </c>
      <c r="CU84" t="e">
        <f>AND('UP133'!IJ45,"AAAAAH2vimI=")</f>
        <v>#VALUE!</v>
      </c>
      <c r="CV84" t="e">
        <f>AND('UP133'!IK45,"AAAAAH2vimM=")</f>
        <v>#VALUE!</v>
      </c>
      <c r="CW84" t="e">
        <f>AND('UP133'!IL45,"AAAAAH2vimQ=")</f>
        <v>#VALUE!</v>
      </c>
      <c r="CX84" t="e">
        <f>AND('UP133'!IM45,"AAAAAH2vimU=")</f>
        <v>#VALUE!</v>
      </c>
      <c r="CY84" t="e">
        <f>AND('UP133'!IN45,"AAAAAH2vimY=")</f>
        <v>#VALUE!</v>
      </c>
      <c r="CZ84" t="e">
        <f>AND('UP133'!IO45,"AAAAAH2vimc=")</f>
        <v>#VALUE!</v>
      </c>
      <c r="DA84" t="e">
        <f>AND('UP133'!IP45,"AAAAAH2vimg=")</f>
        <v>#VALUE!</v>
      </c>
      <c r="DB84" t="e">
        <f>AND('UP133'!IQ45,"AAAAAH2vimk=")</f>
        <v>#VALUE!</v>
      </c>
      <c r="DC84">
        <f>IF('UP133'!46:46,"AAAAAH2vimo=",0)</f>
        <v>0</v>
      </c>
      <c r="DD84" t="e">
        <f>AND('UP133'!A46,"AAAAAH2vims=")</f>
        <v>#VALUE!</v>
      </c>
      <c r="DE84" t="e">
        <f>AND('UP133'!B46,"AAAAAH2vimw=")</f>
        <v>#VALUE!</v>
      </c>
      <c r="DF84" t="e">
        <f>AND('UP133'!C46,"AAAAAH2vim0=")</f>
        <v>#VALUE!</v>
      </c>
      <c r="DG84" t="e">
        <f>AND('UP133'!D46,"AAAAAH2vim4=")</f>
        <v>#VALUE!</v>
      </c>
      <c r="DH84" t="e">
        <f>AND('UP133'!E46,"AAAAAH2vim8=")</f>
        <v>#VALUE!</v>
      </c>
      <c r="DI84" t="e">
        <f>AND('UP133'!F46,"AAAAAH2vinA=")</f>
        <v>#VALUE!</v>
      </c>
      <c r="DJ84" t="e">
        <f>AND('UP133'!G46,"AAAAAH2vinE=")</f>
        <v>#VALUE!</v>
      </c>
      <c r="DK84" t="e">
        <f>AND('UP133'!H46,"AAAAAH2vinI=")</f>
        <v>#VALUE!</v>
      </c>
      <c r="DL84" t="e">
        <f>AND('UP133'!I46,"AAAAAH2vinM=")</f>
        <v>#VALUE!</v>
      </c>
      <c r="DM84" t="e">
        <f>AND('UP133'!J46,"AAAAAH2vinQ=")</f>
        <v>#VALUE!</v>
      </c>
      <c r="DN84" t="e">
        <f>AND('UP133'!K46,"AAAAAH2vinU=")</f>
        <v>#VALUE!</v>
      </c>
      <c r="DO84" t="e">
        <f>AND('UP133'!L46,"AAAAAH2vinY=")</f>
        <v>#VALUE!</v>
      </c>
      <c r="DP84" t="e">
        <f>AND('UP133'!M46,"AAAAAH2vinc=")</f>
        <v>#VALUE!</v>
      </c>
      <c r="DQ84" t="e">
        <f>AND('UP133'!N46,"AAAAAH2ving=")</f>
        <v>#VALUE!</v>
      </c>
      <c r="DR84" t="e">
        <f>AND('UP133'!O46,"AAAAAH2vink=")</f>
        <v>#VALUE!</v>
      </c>
      <c r="DS84" t="e">
        <f>AND('UP133'!P46,"AAAAAH2vino=")</f>
        <v>#VALUE!</v>
      </c>
      <c r="DT84" t="e">
        <f>AND('UP133'!Q46,"AAAAAH2vins=")</f>
        <v>#VALUE!</v>
      </c>
      <c r="DU84" t="e">
        <f>AND('UP133'!R46,"AAAAAH2vinw=")</f>
        <v>#VALUE!</v>
      </c>
      <c r="DV84" t="e">
        <f>AND('UP133'!S46,"AAAAAH2vin0=")</f>
        <v>#VALUE!</v>
      </c>
      <c r="DW84" t="e">
        <f>AND('UP133'!T46,"AAAAAH2vin4=")</f>
        <v>#VALUE!</v>
      </c>
      <c r="DX84" t="e">
        <f>AND('UP133'!U46,"AAAAAH2vin8=")</f>
        <v>#VALUE!</v>
      </c>
      <c r="DY84" t="e">
        <f>AND('UP133'!V46,"AAAAAH2vioA=")</f>
        <v>#VALUE!</v>
      </c>
      <c r="DZ84" t="e">
        <f>AND('UP133'!W46,"AAAAAH2vioE=")</f>
        <v>#VALUE!</v>
      </c>
      <c r="EA84" t="e">
        <f>AND('UP133'!X46,"AAAAAH2vioI=")</f>
        <v>#VALUE!</v>
      </c>
      <c r="EB84" t="e">
        <f>AND('UP133'!Y46,"AAAAAH2vioM=")</f>
        <v>#VALUE!</v>
      </c>
      <c r="EC84" t="e">
        <f>AND('UP133'!Z46,"AAAAAH2vioQ=")</f>
        <v>#VALUE!</v>
      </c>
      <c r="ED84" t="e">
        <f>AND('UP133'!AA46,"AAAAAH2vioU=")</f>
        <v>#VALUE!</v>
      </c>
      <c r="EE84" t="e">
        <f>AND('UP133'!AB46,"AAAAAH2vioY=")</f>
        <v>#VALUE!</v>
      </c>
      <c r="EF84" t="e">
        <f>AND('UP133'!AC46,"AAAAAH2vioc=")</f>
        <v>#VALUE!</v>
      </c>
      <c r="EG84" t="e">
        <f>AND('UP133'!AD46,"AAAAAH2viog=")</f>
        <v>#VALUE!</v>
      </c>
      <c r="EH84" t="e">
        <f>AND('UP133'!AE46,"AAAAAH2viok=")</f>
        <v>#VALUE!</v>
      </c>
      <c r="EI84" t="e">
        <f>AND('UP133'!AF46,"AAAAAH2vioo=")</f>
        <v>#VALUE!</v>
      </c>
      <c r="EJ84" t="e">
        <f>AND('UP133'!AG46,"AAAAAH2vios=")</f>
        <v>#VALUE!</v>
      </c>
      <c r="EK84" t="e">
        <f>AND('UP133'!AH46,"AAAAAH2viow=")</f>
        <v>#VALUE!</v>
      </c>
      <c r="EL84" t="e">
        <f>AND('UP133'!AI46,"AAAAAH2vio0=")</f>
        <v>#VALUE!</v>
      </c>
      <c r="EM84" t="e">
        <f>AND('UP133'!AJ46,"AAAAAH2vio4=")</f>
        <v>#VALUE!</v>
      </c>
      <c r="EN84" t="e">
        <f>AND('UP133'!AK46,"AAAAAH2vio8=")</f>
        <v>#VALUE!</v>
      </c>
      <c r="EO84" t="e">
        <f>AND('UP133'!AL46,"AAAAAH2vipA=")</f>
        <v>#VALUE!</v>
      </c>
      <c r="EP84" t="e">
        <f>AND('UP133'!AM46,"AAAAAH2vipE=")</f>
        <v>#VALUE!</v>
      </c>
      <c r="EQ84" t="e">
        <f>AND('UP133'!AN46,"AAAAAH2vipI=")</f>
        <v>#VALUE!</v>
      </c>
      <c r="ER84" t="e">
        <f>AND('UP133'!AO46,"AAAAAH2vipM=")</f>
        <v>#VALUE!</v>
      </c>
      <c r="ES84" t="e">
        <f>AND('UP133'!AP46,"AAAAAH2vipQ=")</f>
        <v>#VALUE!</v>
      </c>
      <c r="ET84" t="e">
        <f>AND('UP133'!AQ46,"AAAAAH2vipU=")</f>
        <v>#VALUE!</v>
      </c>
      <c r="EU84" t="e">
        <f>AND('UP133'!AR46,"AAAAAH2vipY=")</f>
        <v>#VALUE!</v>
      </c>
      <c r="EV84" t="e">
        <f>AND('UP133'!AS46,"AAAAAH2vipc=")</f>
        <v>#VALUE!</v>
      </c>
      <c r="EW84" t="e">
        <f>AND('UP133'!AT46,"AAAAAH2vipg=")</f>
        <v>#VALUE!</v>
      </c>
      <c r="EX84" t="e">
        <f>AND('UP133'!AU46,"AAAAAH2vipk=")</f>
        <v>#VALUE!</v>
      </c>
      <c r="EY84" t="e">
        <f>AND('UP133'!AV46,"AAAAAH2vipo=")</f>
        <v>#VALUE!</v>
      </c>
      <c r="EZ84" t="e">
        <f>AND('UP133'!AW46,"AAAAAH2vips=")</f>
        <v>#VALUE!</v>
      </c>
      <c r="FA84" t="e">
        <f>AND('UP133'!AX46,"AAAAAH2vipw=")</f>
        <v>#VALUE!</v>
      </c>
      <c r="FB84" t="e">
        <f>AND('UP133'!AY46,"AAAAAH2vip0=")</f>
        <v>#VALUE!</v>
      </c>
      <c r="FC84" t="e">
        <f>AND('UP133'!AZ46,"AAAAAH2vip4=")</f>
        <v>#VALUE!</v>
      </c>
      <c r="FD84" t="e">
        <f>AND('UP133'!BA46,"AAAAAH2vip8=")</f>
        <v>#VALUE!</v>
      </c>
      <c r="FE84" t="e">
        <f>AND('UP133'!BB46,"AAAAAH2viqA=")</f>
        <v>#VALUE!</v>
      </c>
      <c r="FF84" t="e">
        <f>AND('UP133'!BC46,"AAAAAH2viqE=")</f>
        <v>#VALUE!</v>
      </c>
      <c r="FG84" t="e">
        <f>AND('UP133'!BD46,"AAAAAH2viqI=")</f>
        <v>#VALUE!</v>
      </c>
      <c r="FH84" t="e">
        <f>AND('UP133'!BE46,"AAAAAH2viqM=")</f>
        <v>#VALUE!</v>
      </c>
      <c r="FI84" t="e">
        <f>AND('UP133'!BF46,"AAAAAH2viqQ=")</f>
        <v>#VALUE!</v>
      </c>
      <c r="FJ84" t="e">
        <f>AND('UP133'!BG46,"AAAAAH2viqU=")</f>
        <v>#VALUE!</v>
      </c>
      <c r="FK84" t="e">
        <f>AND('UP133'!BH46,"AAAAAH2viqY=")</f>
        <v>#VALUE!</v>
      </c>
      <c r="FL84" t="e">
        <f>AND('UP133'!BI46,"AAAAAH2viqc=")</f>
        <v>#VALUE!</v>
      </c>
      <c r="FM84" t="e">
        <f>AND('UP133'!BJ46,"AAAAAH2viqg=")</f>
        <v>#VALUE!</v>
      </c>
      <c r="FN84" t="e">
        <f>AND('UP133'!BK46,"AAAAAH2viqk=")</f>
        <v>#VALUE!</v>
      </c>
      <c r="FO84" t="e">
        <f>AND('UP133'!BL46,"AAAAAH2viqo=")</f>
        <v>#VALUE!</v>
      </c>
      <c r="FP84" t="e">
        <f>AND('UP133'!BM46,"AAAAAH2viqs=")</f>
        <v>#VALUE!</v>
      </c>
      <c r="FQ84" t="e">
        <f>AND('UP133'!BN46,"AAAAAH2viqw=")</f>
        <v>#VALUE!</v>
      </c>
      <c r="FR84" t="e">
        <f>AND('UP133'!BO46,"AAAAAH2viq0=")</f>
        <v>#VALUE!</v>
      </c>
      <c r="FS84" t="e">
        <f>AND('UP133'!BP46,"AAAAAH2viq4=")</f>
        <v>#VALUE!</v>
      </c>
      <c r="FT84" t="e">
        <f>AND('UP133'!BQ46,"AAAAAH2viq8=")</f>
        <v>#VALUE!</v>
      </c>
      <c r="FU84" t="e">
        <f>AND('UP133'!BR46,"AAAAAH2virA=")</f>
        <v>#VALUE!</v>
      </c>
      <c r="FV84" t="e">
        <f>AND('UP133'!BS46,"AAAAAH2virE=")</f>
        <v>#VALUE!</v>
      </c>
      <c r="FW84" t="e">
        <f>AND('UP133'!BT46,"AAAAAH2virI=")</f>
        <v>#VALUE!</v>
      </c>
      <c r="FX84" t="e">
        <f>AND('UP133'!BU46,"AAAAAH2virM=")</f>
        <v>#VALUE!</v>
      </c>
      <c r="FY84" t="e">
        <f>AND('UP133'!BV46,"AAAAAH2virQ=")</f>
        <v>#VALUE!</v>
      </c>
      <c r="FZ84" t="e">
        <f>AND('UP133'!BW46,"AAAAAH2virU=")</f>
        <v>#VALUE!</v>
      </c>
      <c r="GA84" t="e">
        <f>AND('UP133'!BX46,"AAAAAH2virY=")</f>
        <v>#VALUE!</v>
      </c>
      <c r="GB84" t="e">
        <f>AND('UP133'!BY46,"AAAAAH2virc=")</f>
        <v>#VALUE!</v>
      </c>
      <c r="GC84" t="e">
        <f>AND('UP133'!BZ46,"AAAAAH2virg=")</f>
        <v>#VALUE!</v>
      </c>
      <c r="GD84" t="e">
        <f>AND('UP133'!CA46,"AAAAAH2virk=")</f>
        <v>#VALUE!</v>
      </c>
      <c r="GE84" t="e">
        <f>AND('UP133'!CB46,"AAAAAH2viro=")</f>
        <v>#VALUE!</v>
      </c>
      <c r="GF84" t="e">
        <f>AND('UP133'!CC46,"AAAAAH2virs=")</f>
        <v>#VALUE!</v>
      </c>
      <c r="GG84" t="e">
        <f>AND('UP133'!CD46,"AAAAAH2virw=")</f>
        <v>#VALUE!</v>
      </c>
      <c r="GH84" t="e">
        <f>AND('UP133'!CE46,"AAAAAH2vir0=")</f>
        <v>#VALUE!</v>
      </c>
      <c r="GI84" t="e">
        <f>AND('UP133'!CF46,"AAAAAH2vir4=")</f>
        <v>#VALUE!</v>
      </c>
      <c r="GJ84" t="e">
        <f>AND('UP133'!CG46,"AAAAAH2vir8=")</f>
        <v>#VALUE!</v>
      </c>
      <c r="GK84" t="e">
        <f>AND('UP133'!CH46,"AAAAAH2visA=")</f>
        <v>#VALUE!</v>
      </c>
      <c r="GL84" t="e">
        <f>AND('UP133'!CI46,"AAAAAH2visE=")</f>
        <v>#VALUE!</v>
      </c>
      <c r="GM84" t="e">
        <f>AND('UP133'!CJ46,"AAAAAH2visI=")</f>
        <v>#VALUE!</v>
      </c>
      <c r="GN84" t="e">
        <f>AND('UP133'!CK46,"AAAAAH2visM=")</f>
        <v>#VALUE!</v>
      </c>
      <c r="GO84" t="e">
        <f>AND('UP133'!CL46,"AAAAAH2visQ=")</f>
        <v>#VALUE!</v>
      </c>
      <c r="GP84" t="e">
        <f>AND('UP133'!CM46,"AAAAAH2visU=")</f>
        <v>#VALUE!</v>
      </c>
      <c r="GQ84" t="e">
        <f>AND('UP133'!CN46,"AAAAAH2visY=")</f>
        <v>#VALUE!</v>
      </c>
      <c r="GR84" t="e">
        <f>AND('UP133'!CO46,"AAAAAH2visc=")</f>
        <v>#VALUE!</v>
      </c>
      <c r="GS84" t="e">
        <f>AND('UP133'!CP46,"AAAAAH2visg=")</f>
        <v>#VALUE!</v>
      </c>
      <c r="GT84" t="e">
        <f>AND('UP133'!CQ46,"AAAAAH2visk=")</f>
        <v>#VALUE!</v>
      </c>
      <c r="GU84" t="e">
        <f>AND('UP133'!CR46,"AAAAAH2viso=")</f>
        <v>#VALUE!</v>
      </c>
      <c r="GV84" t="e">
        <f>AND('UP133'!CS46,"AAAAAH2viss=")</f>
        <v>#VALUE!</v>
      </c>
      <c r="GW84" t="e">
        <f>AND('UP133'!CT46,"AAAAAH2visw=")</f>
        <v>#VALUE!</v>
      </c>
      <c r="GX84" t="e">
        <f>AND('UP133'!CU46,"AAAAAH2vis0=")</f>
        <v>#VALUE!</v>
      </c>
      <c r="GY84" t="e">
        <f>AND('UP133'!CV46,"AAAAAH2vis4=")</f>
        <v>#VALUE!</v>
      </c>
      <c r="GZ84" t="e">
        <f>AND('UP133'!CW46,"AAAAAH2vis8=")</f>
        <v>#VALUE!</v>
      </c>
      <c r="HA84" t="e">
        <f>AND('UP133'!CX46,"AAAAAH2vitA=")</f>
        <v>#VALUE!</v>
      </c>
      <c r="HB84" t="e">
        <f>AND('UP133'!CY46,"AAAAAH2vitE=")</f>
        <v>#VALUE!</v>
      </c>
      <c r="HC84" t="e">
        <f>AND('UP133'!CZ46,"AAAAAH2vitI=")</f>
        <v>#VALUE!</v>
      </c>
      <c r="HD84" t="e">
        <f>AND('UP133'!DA46,"AAAAAH2vitM=")</f>
        <v>#VALUE!</v>
      </c>
      <c r="HE84" t="e">
        <f>AND('UP133'!DB46,"AAAAAH2vitQ=")</f>
        <v>#VALUE!</v>
      </c>
      <c r="HF84" t="e">
        <f>AND('UP133'!DC46,"AAAAAH2vitU=")</f>
        <v>#VALUE!</v>
      </c>
      <c r="HG84" t="e">
        <f>AND('UP133'!DD46,"AAAAAH2vitY=")</f>
        <v>#VALUE!</v>
      </c>
      <c r="HH84" t="e">
        <f>AND('UP133'!DE46,"AAAAAH2vitc=")</f>
        <v>#VALUE!</v>
      </c>
      <c r="HI84" t="e">
        <f>AND('UP133'!DF46,"AAAAAH2vitg=")</f>
        <v>#VALUE!</v>
      </c>
      <c r="HJ84" t="e">
        <f>AND('UP133'!DG46,"AAAAAH2vitk=")</f>
        <v>#VALUE!</v>
      </c>
      <c r="HK84" t="e">
        <f>AND('UP133'!DH46,"AAAAAH2vito=")</f>
        <v>#VALUE!</v>
      </c>
      <c r="HL84" t="e">
        <f>AND('UP133'!DI46,"AAAAAH2vits=")</f>
        <v>#VALUE!</v>
      </c>
      <c r="HM84" t="e">
        <f>AND('UP133'!DJ46,"AAAAAH2vitw=")</f>
        <v>#VALUE!</v>
      </c>
      <c r="HN84" t="e">
        <f>AND('UP133'!DK46,"AAAAAH2vit0=")</f>
        <v>#VALUE!</v>
      </c>
      <c r="HO84" t="e">
        <f>AND('UP133'!DL46,"AAAAAH2vit4=")</f>
        <v>#VALUE!</v>
      </c>
      <c r="HP84" t="e">
        <f>AND('UP133'!DM46,"AAAAAH2vit8=")</f>
        <v>#VALUE!</v>
      </c>
      <c r="HQ84" t="e">
        <f>AND('UP133'!DN46,"AAAAAH2viuA=")</f>
        <v>#VALUE!</v>
      </c>
      <c r="HR84" t="e">
        <f>AND('UP133'!DO46,"AAAAAH2viuE=")</f>
        <v>#VALUE!</v>
      </c>
      <c r="HS84" t="e">
        <f>AND('UP133'!DP46,"AAAAAH2viuI=")</f>
        <v>#VALUE!</v>
      </c>
      <c r="HT84" t="e">
        <f>AND('UP133'!DQ46,"AAAAAH2viuM=")</f>
        <v>#VALUE!</v>
      </c>
      <c r="HU84" t="e">
        <f>AND('UP133'!DR46,"AAAAAH2viuQ=")</f>
        <v>#VALUE!</v>
      </c>
      <c r="HV84" t="e">
        <f>AND('UP133'!DS46,"AAAAAH2viuU=")</f>
        <v>#VALUE!</v>
      </c>
      <c r="HW84" t="e">
        <f>AND('UP133'!DT46,"AAAAAH2viuY=")</f>
        <v>#VALUE!</v>
      </c>
      <c r="HX84" t="e">
        <f>AND('UP133'!DU46,"AAAAAH2viuc=")</f>
        <v>#VALUE!</v>
      </c>
      <c r="HY84" t="e">
        <f>AND('UP133'!DV46,"AAAAAH2viug=")</f>
        <v>#VALUE!</v>
      </c>
      <c r="HZ84" t="e">
        <f>AND('UP133'!DW46,"AAAAAH2viuk=")</f>
        <v>#VALUE!</v>
      </c>
      <c r="IA84" t="e">
        <f>AND('UP133'!DX46,"AAAAAH2viuo=")</f>
        <v>#VALUE!</v>
      </c>
      <c r="IB84" t="e">
        <f>AND('UP133'!DY46,"AAAAAH2vius=")</f>
        <v>#VALUE!</v>
      </c>
      <c r="IC84" t="e">
        <f>AND('UP133'!DZ46,"AAAAAH2viuw=")</f>
        <v>#VALUE!</v>
      </c>
      <c r="ID84" t="e">
        <f>AND('UP133'!EA46,"AAAAAH2viu0=")</f>
        <v>#VALUE!</v>
      </c>
      <c r="IE84" t="e">
        <f>AND('UP133'!EB46,"AAAAAH2viu4=")</f>
        <v>#VALUE!</v>
      </c>
      <c r="IF84" t="e">
        <f>AND('UP133'!EC46,"AAAAAH2viu8=")</f>
        <v>#VALUE!</v>
      </c>
      <c r="IG84" t="e">
        <f>AND('UP133'!ED46,"AAAAAH2vivA=")</f>
        <v>#VALUE!</v>
      </c>
      <c r="IH84" t="e">
        <f>AND('UP133'!EE46,"AAAAAH2vivE=")</f>
        <v>#VALUE!</v>
      </c>
      <c r="II84" t="e">
        <f>AND('UP133'!EF46,"AAAAAH2vivI=")</f>
        <v>#VALUE!</v>
      </c>
      <c r="IJ84" t="e">
        <f>AND('UP133'!EG46,"AAAAAH2vivM=")</f>
        <v>#VALUE!</v>
      </c>
      <c r="IK84" t="e">
        <f>AND('UP133'!EH46,"AAAAAH2vivQ=")</f>
        <v>#VALUE!</v>
      </c>
      <c r="IL84" t="e">
        <f>AND('UP133'!EI46,"AAAAAH2vivU=")</f>
        <v>#VALUE!</v>
      </c>
      <c r="IM84" t="e">
        <f>AND('UP133'!EJ46,"AAAAAH2vivY=")</f>
        <v>#VALUE!</v>
      </c>
      <c r="IN84" t="e">
        <f>AND('UP133'!EK46,"AAAAAH2vivc=")</f>
        <v>#VALUE!</v>
      </c>
      <c r="IO84" t="e">
        <f>AND('UP133'!EL46,"AAAAAH2vivg=")</f>
        <v>#VALUE!</v>
      </c>
      <c r="IP84" t="e">
        <f>AND('UP133'!EM46,"AAAAAH2vivk=")</f>
        <v>#VALUE!</v>
      </c>
      <c r="IQ84" t="e">
        <f>AND('UP133'!EN46,"AAAAAH2vivo=")</f>
        <v>#VALUE!</v>
      </c>
      <c r="IR84" t="e">
        <f>AND('UP133'!EO46,"AAAAAH2vivs=")</f>
        <v>#VALUE!</v>
      </c>
      <c r="IS84" t="e">
        <f>AND('UP133'!EP46,"AAAAAH2vivw=")</f>
        <v>#VALUE!</v>
      </c>
      <c r="IT84" t="e">
        <f>AND('UP133'!EQ46,"AAAAAH2viv0=")</f>
        <v>#VALUE!</v>
      </c>
      <c r="IU84" t="e">
        <f>AND('UP133'!ER46,"AAAAAH2viv4=")</f>
        <v>#VALUE!</v>
      </c>
      <c r="IV84" t="e">
        <f>AND('UP133'!ES46,"AAAAAH2viv8=")</f>
        <v>#VALUE!</v>
      </c>
    </row>
    <row r="85" spans="1:256">
      <c r="A85" t="e">
        <f>AND('UP133'!ET46,"AAAAAF/37gA=")</f>
        <v>#VALUE!</v>
      </c>
      <c r="B85" t="e">
        <f>AND('UP133'!EU46,"AAAAAF/37gE=")</f>
        <v>#VALUE!</v>
      </c>
      <c r="C85" t="e">
        <f>AND('UP133'!EV46,"AAAAAF/37gI=")</f>
        <v>#VALUE!</v>
      </c>
      <c r="D85" t="e">
        <f>AND('UP133'!EW46,"AAAAAF/37gM=")</f>
        <v>#VALUE!</v>
      </c>
      <c r="E85" t="e">
        <f>AND('UP133'!EX46,"AAAAAF/37gQ=")</f>
        <v>#VALUE!</v>
      </c>
      <c r="F85" t="e">
        <f>AND('UP133'!EY46,"AAAAAF/37gU=")</f>
        <v>#VALUE!</v>
      </c>
      <c r="G85" t="e">
        <f>AND('UP133'!EZ46,"AAAAAF/37gY=")</f>
        <v>#VALUE!</v>
      </c>
      <c r="H85" t="e">
        <f>AND('UP133'!FA46,"AAAAAF/37gc=")</f>
        <v>#VALUE!</v>
      </c>
      <c r="I85" t="e">
        <f>AND('UP133'!FB46,"AAAAAF/37gg=")</f>
        <v>#VALUE!</v>
      </c>
      <c r="J85" t="e">
        <f>AND('UP133'!FC46,"AAAAAF/37gk=")</f>
        <v>#VALUE!</v>
      </c>
      <c r="K85" t="e">
        <f>AND('UP133'!FD46,"AAAAAF/37go=")</f>
        <v>#VALUE!</v>
      </c>
      <c r="L85" t="e">
        <f>AND('UP133'!FE46,"AAAAAF/37gs=")</f>
        <v>#VALUE!</v>
      </c>
      <c r="M85" t="e">
        <f>AND('UP133'!FF46,"AAAAAF/37gw=")</f>
        <v>#VALUE!</v>
      </c>
      <c r="N85" t="e">
        <f>AND('UP133'!FG46,"AAAAAF/37g0=")</f>
        <v>#VALUE!</v>
      </c>
      <c r="O85" t="e">
        <f>AND('UP133'!FH46,"AAAAAF/37g4=")</f>
        <v>#VALUE!</v>
      </c>
      <c r="P85" t="e">
        <f>AND('UP133'!FI46,"AAAAAF/37g8=")</f>
        <v>#VALUE!</v>
      </c>
      <c r="Q85" t="e">
        <f>AND('UP133'!FJ46,"AAAAAF/37hA=")</f>
        <v>#VALUE!</v>
      </c>
      <c r="R85" t="e">
        <f>AND('UP133'!FK46,"AAAAAF/37hE=")</f>
        <v>#VALUE!</v>
      </c>
      <c r="S85" t="e">
        <f>AND('UP133'!FL46,"AAAAAF/37hI=")</f>
        <v>#VALUE!</v>
      </c>
      <c r="T85" t="e">
        <f>AND('UP133'!FM46,"AAAAAF/37hM=")</f>
        <v>#VALUE!</v>
      </c>
      <c r="U85" t="e">
        <f>AND('UP133'!FN46,"AAAAAF/37hQ=")</f>
        <v>#VALUE!</v>
      </c>
      <c r="V85" t="e">
        <f>AND('UP133'!FO46,"AAAAAF/37hU=")</f>
        <v>#VALUE!</v>
      </c>
      <c r="W85" t="e">
        <f>AND('UP133'!FP46,"AAAAAF/37hY=")</f>
        <v>#VALUE!</v>
      </c>
      <c r="X85" t="e">
        <f>AND('UP133'!FQ46,"AAAAAF/37hc=")</f>
        <v>#VALUE!</v>
      </c>
      <c r="Y85" t="e">
        <f>AND('UP133'!FR46,"AAAAAF/37hg=")</f>
        <v>#VALUE!</v>
      </c>
      <c r="Z85" t="e">
        <f>AND('UP133'!FS46,"AAAAAF/37hk=")</f>
        <v>#VALUE!</v>
      </c>
      <c r="AA85" t="e">
        <f>AND('UP133'!FT46,"AAAAAF/37ho=")</f>
        <v>#VALUE!</v>
      </c>
      <c r="AB85" t="e">
        <f>AND('UP133'!FU46,"AAAAAF/37hs=")</f>
        <v>#VALUE!</v>
      </c>
      <c r="AC85" t="e">
        <f>AND('UP133'!FV46,"AAAAAF/37hw=")</f>
        <v>#VALUE!</v>
      </c>
      <c r="AD85" t="e">
        <f>AND('UP133'!FW46,"AAAAAF/37h0=")</f>
        <v>#VALUE!</v>
      </c>
      <c r="AE85" t="e">
        <f>AND('UP133'!FX46,"AAAAAF/37h4=")</f>
        <v>#VALUE!</v>
      </c>
      <c r="AF85" t="e">
        <f>AND('UP133'!FY46,"AAAAAF/37h8=")</f>
        <v>#VALUE!</v>
      </c>
      <c r="AG85" t="e">
        <f>AND('UP133'!FZ46,"AAAAAF/37iA=")</f>
        <v>#VALUE!</v>
      </c>
      <c r="AH85" t="e">
        <f>AND('UP133'!GA46,"AAAAAF/37iE=")</f>
        <v>#VALUE!</v>
      </c>
      <c r="AI85" t="e">
        <f>AND('UP133'!GB46,"AAAAAF/37iI=")</f>
        <v>#VALUE!</v>
      </c>
      <c r="AJ85" t="e">
        <f>AND('UP133'!GC46,"AAAAAF/37iM=")</f>
        <v>#VALUE!</v>
      </c>
      <c r="AK85" t="e">
        <f>AND('UP133'!GD46,"AAAAAF/37iQ=")</f>
        <v>#VALUE!</v>
      </c>
      <c r="AL85" t="e">
        <f>AND('UP133'!GE46,"AAAAAF/37iU=")</f>
        <v>#VALUE!</v>
      </c>
      <c r="AM85" t="e">
        <f>AND('UP133'!GF46,"AAAAAF/37iY=")</f>
        <v>#VALUE!</v>
      </c>
      <c r="AN85" t="e">
        <f>AND('UP133'!GG46,"AAAAAF/37ic=")</f>
        <v>#VALUE!</v>
      </c>
      <c r="AO85" t="e">
        <f>AND('UP133'!GH46,"AAAAAF/37ig=")</f>
        <v>#VALUE!</v>
      </c>
      <c r="AP85" t="e">
        <f>AND('UP133'!GI46,"AAAAAF/37ik=")</f>
        <v>#VALUE!</v>
      </c>
      <c r="AQ85" t="e">
        <f>AND('UP133'!GJ46,"AAAAAF/37io=")</f>
        <v>#VALUE!</v>
      </c>
      <c r="AR85" t="e">
        <f>AND('UP133'!GK46,"AAAAAF/37is=")</f>
        <v>#VALUE!</v>
      </c>
      <c r="AS85" t="e">
        <f>AND('UP133'!GL46,"AAAAAF/37iw=")</f>
        <v>#VALUE!</v>
      </c>
      <c r="AT85" t="e">
        <f>AND('UP133'!GM46,"AAAAAF/37i0=")</f>
        <v>#VALUE!</v>
      </c>
      <c r="AU85" t="e">
        <f>AND('UP133'!GN46,"AAAAAF/37i4=")</f>
        <v>#VALUE!</v>
      </c>
      <c r="AV85" t="e">
        <f>AND('UP133'!GO46,"AAAAAF/37i8=")</f>
        <v>#VALUE!</v>
      </c>
      <c r="AW85" t="e">
        <f>AND('UP133'!GP46,"AAAAAF/37jA=")</f>
        <v>#VALUE!</v>
      </c>
      <c r="AX85" t="e">
        <f>AND('UP133'!GQ46,"AAAAAF/37jE=")</f>
        <v>#VALUE!</v>
      </c>
      <c r="AY85" t="e">
        <f>AND('UP133'!GR46,"AAAAAF/37jI=")</f>
        <v>#VALUE!</v>
      </c>
      <c r="AZ85" t="e">
        <f>AND('UP133'!GS46,"AAAAAF/37jM=")</f>
        <v>#VALUE!</v>
      </c>
      <c r="BA85" t="e">
        <f>AND('UP133'!GT46,"AAAAAF/37jQ=")</f>
        <v>#VALUE!</v>
      </c>
      <c r="BB85" t="e">
        <f>AND('UP133'!GU46,"AAAAAF/37jU=")</f>
        <v>#VALUE!</v>
      </c>
      <c r="BC85" t="e">
        <f>AND('UP133'!GV46,"AAAAAF/37jY=")</f>
        <v>#VALUE!</v>
      </c>
      <c r="BD85" t="e">
        <f>AND('UP133'!GW46,"AAAAAF/37jc=")</f>
        <v>#VALUE!</v>
      </c>
      <c r="BE85" t="e">
        <f>AND('UP133'!GX46,"AAAAAF/37jg=")</f>
        <v>#VALUE!</v>
      </c>
      <c r="BF85" t="e">
        <f>AND('UP133'!GY46,"AAAAAF/37jk=")</f>
        <v>#VALUE!</v>
      </c>
      <c r="BG85" t="e">
        <f>AND('UP133'!GZ46,"AAAAAF/37jo=")</f>
        <v>#VALUE!</v>
      </c>
      <c r="BH85" t="e">
        <f>AND('UP133'!HA46,"AAAAAF/37js=")</f>
        <v>#VALUE!</v>
      </c>
      <c r="BI85" t="e">
        <f>AND('UP133'!HB46,"AAAAAF/37jw=")</f>
        <v>#VALUE!</v>
      </c>
      <c r="BJ85" t="e">
        <f>AND('UP133'!HC46,"AAAAAF/37j0=")</f>
        <v>#VALUE!</v>
      </c>
      <c r="BK85" t="e">
        <f>AND('UP133'!HD46,"AAAAAF/37j4=")</f>
        <v>#VALUE!</v>
      </c>
      <c r="BL85" t="e">
        <f>AND('UP133'!HE46,"AAAAAF/37j8=")</f>
        <v>#VALUE!</v>
      </c>
      <c r="BM85" t="e">
        <f>AND('UP133'!HF46,"AAAAAF/37kA=")</f>
        <v>#VALUE!</v>
      </c>
      <c r="BN85" t="e">
        <f>AND('UP133'!HG46,"AAAAAF/37kE=")</f>
        <v>#VALUE!</v>
      </c>
      <c r="BO85" t="e">
        <f>AND('UP133'!HH46,"AAAAAF/37kI=")</f>
        <v>#VALUE!</v>
      </c>
      <c r="BP85" t="e">
        <f>AND('UP133'!HI46,"AAAAAF/37kM=")</f>
        <v>#VALUE!</v>
      </c>
      <c r="BQ85" t="e">
        <f>AND('UP133'!HJ46,"AAAAAF/37kQ=")</f>
        <v>#VALUE!</v>
      </c>
      <c r="BR85" t="e">
        <f>AND('UP133'!HK46,"AAAAAF/37kU=")</f>
        <v>#VALUE!</v>
      </c>
      <c r="BS85" t="e">
        <f>AND('UP133'!HL46,"AAAAAF/37kY=")</f>
        <v>#VALUE!</v>
      </c>
      <c r="BT85" t="e">
        <f>AND('UP133'!HM46,"AAAAAF/37kc=")</f>
        <v>#VALUE!</v>
      </c>
      <c r="BU85" t="e">
        <f>AND('UP133'!HN46,"AAAAAF/37kg=")</f>
        <v>#VALUE!</v>
      </c>
      <c r="BV85" t="e">
        <f>AND('UP133'!HO46,"AAAAAF/37kk=")</f>
        <v>#VALUE!</v>
      </c>
      <c r="BW85" t="e">
        <f>AND('UP133'!HP46,"AAAAAF/37ko=")</f>
        <v>#VALUE!</v>
      </c>
      <c r="BX85" t="e">
        <f>AND('UP133'!HQ46,"AAAAAF/37ks=")</f>
        <v>#VALUE!</v>
      </c>
      <c r="BY85" t="e">
        <f>AND('UP133'!HR46,"AAAAAF/37kw=")</f>
        <v>#VALUE!</v>
      </c>
      <c r="BZ85" t="e">
        <f>AND('UP133'!HS46,"AAAAAF/37k0=")</f>
        <v>#VALUE!</v>
      </c>
      <c r="CA85" t="e">
        <f>AND('UP133'!HT46,"AAAAAF/37k4=")</f>
        <v>#VALUE!</v>
      </c>
      <c r="CB85" t="e">
        <f>AND('UP133'!HU46,"AAAAAF/37k8=")</f>
        <v>#VALUE!</v>
      </c>
      <c r="CC85" t="e">
        <f>AND('UP133'!HV46,"AAAAAF/37lA=")</f>
        <v>#VALUE!</v>
      </c>
      <c r="CD85" t="e">
        <f>AND('UP133'!HW46,"AAAAAF/37lE=")</f>
        <v>#VALUE!</v>
      </c>
      <c r="CE85" t="e">
        <f>AND('UP133'!HX46,"AAAAAF/37lI=")</f>
        <v>#VALUE!</v>
      </c>
      <c r="CF85" t="e">
        <f>AND('UP133'!HY46,"AAAAAF/37lM=")</f>
        <v>#VALUE!</v>
      </c>
      <c r="CG85" t="e">
        <f>AND('UP133'!HZ46,"AAAAAF/37lQ=")</f>
        <v>#VALUE!</v>
      </c>
      <c r="CH85" t="e">
        <f>AND('UP133'!IA46,"AAAAAF/37lU=")</f>
        <v>#VALUE!</v>
      </c>
      <c r="CI85" t="e">
        <f>AND('UP133'!IB46,"AAAAAF/37lY=")</f>
        <v>#VALUE!</v>
      </c>
      <c r="CJ85" t="e">
        <f>AND('UP133'!IC46,"AAAAAF/37lc=")</f>
        <v>#VALUE!</v>
      </c>
      <c r="CK85" t="e">
        <f>AND('UP133'!ID46,"AAAAAF/37lg=")</f>
        <v>#VALUE!</v>
      </c>
      <c r="CL85" t="e">
        <f>AND('UP133'!IE46,"AAAAAF/37lk=")</f>
        <v>#VALUE!</v>
      </c>
      <c r="CM85" t="e">
        <f>AND('UP133'!IF46,"AAAAAF/37lo=")</f>
        <v>#VALUE!</v>
      </c>
      <c r="CN85" t="e">
        <f>AND('UP133'!IG46,"AAAAAF/37ls=")</f>
        <v>#VALUE!</v>
      </c>
      <c r="CO85" t="e">
        <f>AND('UP133'!IH46,"AAAAAF/37lw=")</f>
        <v>#VALUE!</v>
      </c>
      <c r="CP85" t="e">
        <f>AND('UP133'!II46,"AAAAAF/37l0=")</f>
        <v>#VALUE!</v>
      </c>
      <c r="CQ85" t="e">
        <f>AND('UP133'!IJ46,"AAAAAF/37l4=")</f>
        <v>#VALUE!</v>
      </c>
      <c r="CR85" t="e">
        <f>AND('UP133'!IK46,"AAAAAF/37l8=")</f>
        <v>#VALUE!</v>
      </c>
      <c r="CS85" t="e">
        <f>AND('UP133'!IL46,"AAAAAF/37mA=")</f>
        <v>#VALUE!</v>
      </c>
      <c r="CT85" t="e">
        <f>AND('UP133'!IM46,"AAAAAF/37mE=")</f>
        <v>#VALUE!</v>
      </c>
      <c r="CU85" t="e">
        <f>AND('UP133'!IN46,"AAAAAF/37mI=")</f>
        <v>#VALUE!</v>
      </c>
      <c r="CV85" t="e">
        <f>AND('UP133'!IO46,"AAAAAF/37mM=")</f>
        <v>#VALUE!</v>
      </c>
      <c r="CW85" t="e">
        <f>AND('UP133'!IP46,"AAAAAF/37mQ=")</f>
        <v>#VALUE!</v>
      </c>
      <c r="CX85" t="e">
        <f>AND('UP133'!IQ46,"AAAAAF/37mU=")</f>
        <v>#VALUE!</v>
      </c>
      <c r="CY85">
        <f>IF('UP133'!47:47,"AAAAAF/37mY=",0)</f>
        <v>0</v>
      </c>
      <c r="CZ85" t="e">
        <f>AND('UP133'!A47,"AAAAAF/37mc=")</f>
        <v>#VALUE!</v>
      </c>
      <c r="DA85" t="e">
        <f>AND('UP133'!B47,"AAAAAF/37mg=")</f>
        <v>#VALUE!</v>
      </c>
      <c r="DB85" t="e">
        <f>AND('UP133'!C47,"AAAAAF/37mk=")</f>
        <v>#VALUE!</v>
      </c>
      <c r="DC85" t="e">
        <f>AND('UP133'!D47,"AAAAAF/37mo=")</f>
        <v>#VALUE!</v>
      </c>
      <c r="DD85" t="e">
        <f>AND('UP133'!E47,"AAAAAF/37ms=")</f>
        <v>#VALUE!</v>
      </c>
      <c r="DE85" t="e">
        <f>AND('UP133'!F47,"AAAAAF/37mw=")</f>
        <v>#VALUE!</v>
      </c>
      <c r="DF85" t="e">
        <f>AND('UP133'!G47,"AAAAAF/37m0=")</f>
        <v>#VALUE!</v>
      </c>
      <c r="DG85" t="e">
        <f>AND('UP133'!H47,"AAAAAF/37m4=")</f>
        <v>#VALUE!</v>
      </c>
      <c r="DH85" t="e">
        <f>AND('UP133'!I47,"AAAAAF/37m8=")</f>
        <v>#VALUE!</v>
      </c>
      <c r="DI85" t="e">
        <f>AND('UP133'!J47,"AAAAAF/37nA=")</f>
        <v>#VALUE!</v>
      </c>
      <c r="DJ85" t="e">
        <f>AND('UP133'!K47,"AAAAAF/37nE=")</f>
        <v>#VALUE!</v>
      </c>
      <c r="DK85" t="e">
        <f>AND('UP133'!L47,"AAAAAF/37nI=")</f>
        <v>#VALUE!</v>
      </c>
      <c r="DL85" t="e">
        <f>AND('UP133'!M47,"AAAAAF/37nM=")</f>
        <v>#VALUE!</v>
      </c>
      <c r="DM85" t="e">
        <f>AND('UP133'!N47,"AAAAAF/37nQ=")</f>
        <v>#VALUE!</v>
      </c>
      <c r="DN85" t="e">
        <f>AND('UP133'!O47,"AAAAAF/37nU=")</f>
        <v>#VALUE!</v>
      </c>
      <c r="DO85" t="e">
        <f>AND('UP133'!P47,"AAAAAF/37nY=")</f>
        <v>#VALUE!</v>
      </c>
      <c r="DP85" t="e">
        <f>AND('UP133'!Q47,"AAAAAF/37nc=")</f>
        <v>#VALUE!</v>
      </c>
      <c r="DQ85" t="e">
        <f>AND('UP133'!R47,"AAAAAF/37ng=")</f>
        <v>#VALUE!</v>
      </c>
      <c r="DR85" t="e">
        <f>AND('UP133'!S47,"AAAAAF/37nk=")</f>
        <v>#VALUE!</v>
      </c>
      <c r="DS85" t="e">
        <f>AND('UP133'!T47,"AAAAAF/37no=")</f>
        <v>#VALUE!</v>
      </c>
      <c r="DT85" t="e">
        <f>AND('UP133'!U47,"AAAAAF/37ns=")</f>
        <v>#VALUE!</v>
      </c>
      <c r="DU85" t="e">
        <f>AND('UP133'!V47,"AAAAAF/37nw=")</f>
        <v>#VALUE!</v>
      </c>
      <c r="DV85" t="e">
        <f>AND('UP133'!W47,"AAAAAF/37n0=")</f>
        <v>#VALUE!</v>
      </c>
      <c r="DW85" t="e">
        <f>AND('UP133'!X47,"AAAAAF/37n4=")</f>
        <v>#VALUE!</v>
      </c>
      <c r="DX85" t="e">
        <f>AND('UP133'!Y47,"AAAAAF/37n8=")</f>
        <v>#VALUE!</v>
      </c>
      <c r="DY85" t="e">
        <f>AND('UP133'!Z47,"AAAAAF/37oA=")</f>
        <v>#VALUE!</v>
      </c>
      <c r="DZ85" t="e">
        <f>AND('UP133'!AA47,"AAAAAF/37oE=")</f>
        <v>#VALUE!</v>
      </c>
      <c r="EA85" t="e">
        <f>AND('UP133'!AB47,"AAAAAF/37oI=")</f>
        <v>#VALUE!</v>
      </c>
      <c r="EB85" t="e">
        <f>AND('UP133'!AC47,"AAAAAF/37oM=")</f>
        <v>#VALUE!</v>
      </c>
      <c r="EC85" t="e">
        <f>AND('UP133'!AD47,"AAAAAF/37oQ=")</f>
        <v>#VALUE!</v>
      </c>
      <c r="ED85" t="e">
        <f>AND('UP133'!AE47,"AAAAAF/37oU=")</f>
        <v>#VALUE!</v>
      </c>
      <c r="EE85" t="e">
        <f>AND('UP133'!AF47,"AAAAAF/37oY=")</f>
        <v>#VALUE!</v>
      </c>
      <c r="EF85" t="e">
        <f>AND('UP133'!AG47,"AAAAAF/37oc=")</f>
        <v>#VALUE!</v>
      </c>
      <c r="EG85" t="e">
        <f>AND('UP133'!AH47,"AAAAAF/37og=")</f>
        <v>#VALUE!</v>
      </c>
      <c r="EH85" t="e">
        <f>AND('UP133'!AI47,"AAAAAF/37ok=")</f>
        <v>#VALUE!</v>
      </c>
      <c r="EI85" t="e">
        <f>AND('UP133'!AJ47,"AAAAAF/37oo=")</f>
        <v>#VALUE!</v>
      </c>
      <c r="EJ85" t="e">
        <f>AND('UP133'!AK47,"AAAAAF/37os=")</f>
        <v>#VALUE!</v>
      </c>
      <c r="EK85" t="e">
        <f>AND('UP133'!AL47,"AAAAAF/37ow=")</f>
        <v>#VALUE!</v>
      </c>
      <c r="EL85" t="e">
        <f>AND('UP133'!AM47,"AAAAAF/37o0=")</f>
        <v>#VALUE!</v>
      </c>
      <c r="EM85" t="e">
        <f>AND('UP133'!AN47,"AAAAAF/37o4=")</f>
        <v>#VALUE!</v>
      </c>
      <c r="EN85" t="e">
        <f>AND('UP133'!AO47,"AAAAAF/37o8=")</f>
        <v>#VALUE!</v>
      </c>
      <c r="EO85" t="e">
        <f>AND('UP133'!AP47,"AAAAAF/37pA=")</f>
        <v>#VALUE!</v>
      </c>
      <c r="EP85" t="e">
        <f>AND('UP133'!AQ47,"AAAAAF/37pE=")</f>
        <v>#VALUE!</v>
      </c>
      <c r="EQ85" t="e">
        <f>AND('UP133'!AR47,"AAAAAF/37pI=")</f>
        <v>#VALUE!</v>
      </c>
      <c r="ER85" t="e">
        <f>AND('UP133'!AS47,"AAAAAF/37pM=")</f>
        <v>#VALUE!</v>
      </c>
      <c r="ES85" t="e">
        <f>AND('UP133'!AT47,"AAAAAF/37pQ=")</f>
        <v>#VALUE!</v>
      </c>
      <c r="ET85" t="e">
        <f>AND('UP133'!AU47,"AAAAAF/37pU=")</f>
        <v>#VALUE!</v>
      </c>
      <c r="EU85" t="e">
        <f>AND('UP133'!AV47,"AAAAAF/37pY=")</f>
        <v>#VALUE!</v>
      </c>
      <c r="EV85" t="e">
        <f>AND('UP133'!AW47,"AAAAAF/37pc=")</f>
        <v>#VALUE!</v>
      </c>
      <c r="EW85" t="e">
        <f>AND('UP133'!AX47,"AAAAAF/37pg=")</f>
        <v>#VALUE!</v>
      </c>
      <c r="EX85" t="e">
        <f>AND('UP133'!AY47,"AAAAAF/37pk=")</f>
        <v>#VALUE!</v>
      </c>
      <c r="EY85" t="e">
        <f>AND('UP133'!AZ47,"AAAAAF/37po=")</f>
        <v>#VALUE!</v>
      </c>
      <c r="EZ85" t="e">
        <f>AND('UP133'!BA47,"AAAAAF/37ps=")</f>
        <v>#VALUE!</v>
      </c>
      <c r="FA85" t="e">
        <f>AND('UP133'!BB47,"AAAAAF/37pw=")</f>
        <v>#VALUE!</v>
      </c>
      <c r="FB85" t="e">
        <f>AND('UP133'!BC47,"AAAAAF/37p0=")</f>
        <v>#VALUE!</v>
      </c>
      <c r="FC85" t="e">
        <f>AND('UP133'!BD47,"AAAAAF/37p4=")</f>
        <v>#VALUE!</v>
      </c>
      <c r="FD85" t="e">
        <f>AND('UP133'!BE47,"AAAAAF/37p8=")</f>
        <v>#VALUE!</v>
      </c>
      <c r="FE85" t="e">
        <f>AND('UP133'!BF47,"AAAAAF/37qA=")</f>
        <v>#VALUE!</v>
      </c>
      <c r="FF85" t="e">
        <f>AND('UP133'!BG47,"AAAAAF/37qE=")</f>
        <v>#VALUE!</v>
      </c>
      <c r="FG85" t="e">
        <f>AND('UP133'!BH47,"AAAAAF/37qI=")</f>
        <v>#VALUE!</v>
      </c>
      <c r="FH85" t="e">
        <f>AND('UP133'!BI47,"AAAAAF/37qM=")</f>
        <v>#VALUE!</v>
      </c>
      <c r="FI85" t="e">
        <f>AND('UP133'!BJ47,"AAAAAF/37qQ=")</f>
        <v>#VALUE!</v>
      </c>
      <c r="FJ85" t="e">
        <f>AND('UP133'!BK47,"AAAAAF/37qU=")</f>
        <v>#VALUE!</v>
      </c>
      <c r="FK85" t="e">
        <f>AND('UP133'!BL47,"AAAAAF/37qY=")</f>
        <v>#VALUE!</v>
      </c>
      <c r="FL85" t="e">
        <f>AND('UP133'!BM47,"AAAAAF/37qc=")</f>
        <v>#VALUE!</v>
      </c>
      <c r="FM85" t="e">
        <f>AND('UP133'!BN47,"AAAAAF/37qg=")</f>
        <v>#VALUE!</v>
      </c>
      <c r="FN85" t="e">
        <f>AND('UP133'!BO47,"AAAAAF/37qk=")</f>
        <v>#VALUE!</v>
      </c>
      <c r="FO85" t="e">
        <f>AND('UP133'!BP47,"AAAAAF/37qo=")</f>
        <v>#VALUE!</v>
      </c>
      <c r="FP85" t="e">
        <f>AND('UP133'!BQ47,"AAAAAF/37qs=")</f>
        <v>#VALUE!</v>
      </c>
      <c r="FQ85" t="e">
        <f>AND('UP133'!BR47,"AAAAAF/37qw=")</f>
        <v>#VALUE!</v>
      </c>
      <c r="FR85" t="e">
        <f>AND('UP133'!BS47,"AAAAAF/37q0=")</f>
        <v>#VALUE!</v>
      </c>
      <c r="FS85" t="e">
        <f>AND('UP133'!BT47,"AAAAAF/37q4=")</f>
        <v>#VALUE!</v>
      </c>
      <c r="FT85" t="e">
        <f>AND('UP133'!BU47,"AAAAAF/37q8=")</f>
        <v>#VALUE!</v>
      </c>
      <c r="FU85" t="e">
        <f>AND('UP133'!BV47,"AAAAAF/37rA=")</f>
        <v>#VALUE!</v>
      </c>
      <c r="FV85" t="e">
        <f>AND('UP133'!BW47,"AAAAAF/37rE=")</f>
        <v>#VALUE!</v>
      </c>
      <c r="FW85" t="e">
        <f>AND('UP133'!BX47,"AAAAAF/37rI=")</f>
        <v>#VALUE!</v>
      </c>
      <c r="FX85" t="e">
        <f>AND('UP133'!BY47,"AAAAAF/37rM=")</f>
        <v>#VALUE!</v>
      </c>
      <c r="FY85" t="e">
        <f>AND('UP133'!BZ47,"AAAAAF/37rQ=")</f>
        <v>#VALUE!</v>
      </c>
      <c r="FZ85" t="e">
        <f>AND('UP133'!CA47,"AAAAAF/37rU=")</f>
        <v>#VALUE!</v>
      </c>
      <c r="GA85" t="e">
        <f>AND('UP133'!CB47,"AAAAAF/37rY=")</f>
        <v>#VALUE!</v>
      </c>
      <c r="GB85" t="e">
        <f>AND('UP133'!CC47,"AAAAAF/37rc=")</f>
        <v>#VALUE!</v>
      </c>
      <c r="GC85" t="e">
        <f>AND('UP133'!CD47,"AAAAAF/37rg=")</f>
        <v>#VALUE!</v>
      </c>
      <c r="GD85" t="e">
        <f>AND('UP133'!CE47,"AAAAAF/37rk=")</f>
        <v>#VALUE!</v>
      </c>
      <c r="GE85" t="e">
        <f>AND('UP133'!CF47,"AAAAAF/37ro=")</f>
        <v>#VALUE!</v>
      </c>
      <c r="GF85" t="e">
        <f>AND('UP133'!CG47,"AAAAAF/37rs=")</f>
        <v>#VALUE!</v>
      </c>
      <c r="GG85" t="e">
        <f>AND('UP133'!CH47,"AAAAAF/37rw=")</f>
        <v>#VALUE!</v>
      </c>
      <c r="GH85" t="e">
        <f>AND('UP133'!CI47,"AAAAAF/37r0=")</f>
        <v>#VALUE!</v>
      </c>
      <c r="GI85" t="e">
        <f>AND('UP133'!CJ47,"AAAAAF/37r4=")</f>
        <v>#VALUE!</v>
      </c>
      <c r="GJ85" t="e">
        <f>AND('UP133'!CK47,"AAAAAF/37r8=")</f>
        <v>#VALUE!</v>
      </c>
      <c r="GK85" t="e">
        <f>AND('UP133'!CL47,"AAAAAF/37sA=")</f>
        <v>#VALUE!</v>
      </c>
      <c r="GL85" t="e">
        <f>AND('UP133'!CM47,"AAAAAF/37sE=")</f>
        <v>#VALUE!</v>
      </c>
      <c r="GM85" t="e">
        <f>AND('UP133'!CN47,"AAAAAF/37sI=")</f>
        <v>#VALUE!</v>
      </c>
      <c r="GN85" t="e">
        <f>AND('UP133'!CO47,"AAAAAF/37sM=")</f>
        <v>#VALUE!</v>
      </c>
      <c r="GO85" t="e">
        <f>AND('UP133'!CP47,"AAAAAF/37sQ=")</f>
        <v>#VALUE!</v>
      </c>
      <c r="GP85" t="e">
        <f>AND('UP133'!CQ47,"AAAAAF/37sU=")</f>
        <v>#VALUE!</v>
      </c>
      <c r="GQ85" t="e">
        <f>AND('UP133'!CR47,"AAAAAF/37sY=")</f>
        <v>#VALUE!</v>
      </c>
      <c r="GR85" t="e">
        <f>AND('UP133'!CS47,"AAAAAF/37sc=")</f>
        <v>#VALUE!</v>
      </c>
      <c r="GS85" t="e">
        <f>AND('UP133'!CT47,"AAAAAF/37sg=")</f>
        <v>#VALUE!</v>
      </c>
      <c r="GT85" t="e">
        <f>AND('UP133'!CU47,"AAAAAF/37sk=")</f>
        <v>#VALUE!</v>
      </c>
      <c r="GU85" t="e">
        <f>AND('UP133'!CV47,"AAAAAF/37so=")</f>
        <v>#VALUE!</v>
      </c>
      <c r="GV85" t="e">
        <f>AND('UP133'!CW47,"AAAAAF/37ss=")</f>
        <v>#VALUE!</v>
      </c>
      <c r="GW85" t="e">
        <f>AND('UP133'!CX47,"AAAAAF/37sw=")</f>
        <v>#VALUE!</v>
      </c>
      <c r="GX85" t="e">
        <f>AND('UP133'!CY47,"AAAAAF/37s0=")</f>
        <v>#VALUE!</v>
      </c>
      <c r="GY85" t="e">
        <f>AND('UP133'!CZ47,"AAAAAF/37s4=")</f>
        <v>#VALUE!</v>
      </c>
      <c r="GZ85" t="e">
        <f>AND('UP133'!DA47,"AAAAAF/37s8=")</f>
        <v>#VALUE!</v>
      </c>
      <c r="HA85" t="e">
        <f>AND('UP133'!DB47,"AAAAAF/37tA=")</f>
        <v>#VALUE!</v>
      </c>
      <c r="HB85" t="e">
        <f>AND('UP133'!DC47,"AAAAAF/37tE=")</f>
        <v>#VALUE!</v>
      </c>
      <c r="HC85" t="e">
        <f>AND('UP133'!DD47,"AAAAAF/37tI=")</f>
        <v>#VALUE!</v>
      </c>
      <c r="HD85" t="e">
        <f>AND('UP133'!DE47,"AAAAAF/37tM=")</f>
        <v>#VALUE!</v>
      </c>
      <c r="HE85" t="e">
        <f>AND('UP133'!DF47,"AAAAAF/37tQ=")</f>
        <v>#VALUE!</v>
      </c>
      <c r="HF85" t="e">
        <f>AND('UP133'!DG47,"AAAAAF/37tU=")</f>
        <v>#VALUE!</v>
      </c>
      <c r="HG85" t="e">
        <f>AND('UP133'!DH47,"AAAAAF/37tY=")</f>
        <v>#VALUE!</v>
      </c>
      <c r="HH85" t="e">
        <f>AND('UP133'!DI47,"AAAAAF/37tc=")</f>
        <v>#VALUE!</v>
      </c>
      <c r="HI85" t="e">
        <f>AND('UP133'!DJ47,"AAAAAF/37tg=")</f>
        <v>#VALUE!</v>
      </c>
      <c r="HJ85" t="e">
        <f>AND('UP133'!DK47,"AAAAAF/37tk=")</f>
        <v>#VALUE!</v>
      </c>
      <c r="HK85" t="e">
        <f>AND('UP133'!DL47,"AAAAAF/37to=")</f>
        <v>#VALUE!</v>
      </c>
      <c r="HL85" t="e">
        <f>AND('UP133'!DM47,"AAAAAF/37ts=")</f>
        <v>#VALUE!</v>
      </c>
      <c r="HM85" t="e">
        <f>AND('UP133'!DN47,"AAAAAF/37tw=")</f>
        <v>#VALUE!</v>
      </c>
      <c r="HN85" t="e">
        <f>AND('UP133'!DO47,"AAAAAF/37t0=")</f>
        <v>#VALUE!</v>
      </c>
      <c r="HO85" t="e">
        <f>AND('UP133'!DP47,"AAAAAF/37t4=")</f>
        <v>#VALUE!</v>
      </c>
      <c r="HP85" t="e">
        <f>AND('UP133'!DQ47,"AAAAAF/37t8=")</f>
        <v>#VALUE!</v>
      </c>
      <c r="HQ85" t="e">
        <f>AND('UP133'!DR47,"AAAAAF/37uA=")</f>
        <v>#VALUE!</v>
      </c>
      <c r="HR85" t="e">
        <f>AND('UP133'!DS47,"AAAAAF/37uE=")</f>
        <v>#VALUE!</v>
      </c>
      <c r="HS85" t="e">
        <f>AND('UP133'!DT47,"AAAAAF/37uI=")</f>
        <v>#VALUE!</v>
      </c>
      <c r="HT85" t="e">
        <f>AND('UP133'!DU47,"AAAAAF/37uM=")</f>
        <v>#VALUE!</v>
      </c>
      <c r="HU85" t="e">
        <f>AND('UP133'!DV47,"AAAAAF/37uQ=")</f>
        <v>#VALUE!</v>
      </c>
      <c r="HV85" t="e">
        <f>AND('UP133'!DW47,"AAAAAF/37uU=")</f>
        <v>#VALUE!</v>
      </c>
      <c r="HW85" t="e">
        <f>AND('UP133'!DX47,"AAAAAF/37uY=")</f>
        <v>#VALUE!</v>
      </c>
      <c r="HX85" t="e">
        <f>AND('UP133'!DY47,"AAAAAF/37uc=")</f>
        <v>#VALUE!</v>
      </c>
      <c r="HY85" t="e">
        <f>AND('UP133'!DZ47,"AAAAAF/37ug=")</f>
        <v>#VALUE!</v>
      </c>
      <c r="HZ85" t="e">
        <f>AND('UP133'!EA47,"AAAAAF/37uk=")</f>
        <v>#VALUE!</v>
      </c>
      <c r="IA85" t="e">
        <f>AND('UP133'!EB47,"AAAAAF/37uo=")</f>
        <v>#VALUE!</v>
      </c>
      <c r="IB85" t="e">
        <f>AND('UP133'!EC47,"AAAAAF/37us=")</f>
        <v>#VALUE!</v>
      </c>
      <c r="IC85" t="e">
        <f>AND('UP133'!ED47,"AAAAAF/37uw=")</f>
        <v>#VALUE!</v>
      </c>
      <c r="ID85" t="e">
        <f>AND('UP133'!EE47,"AAAAAF/37u0=")</f>
        <v>#VALUE!</v>
      </c>
      <c r="IE85" t="e">
        <f>AND('UP133'!EF47,"AAAAAF/37u4=")</f>
        <v>#VALUE!</v>
      </c>
      <c r="IF85" t="e">
        <f>AND('UP133'!EG47,"AAAAAF/37u8=")</f>
        <v>#VALUE!</v>
      </c>
      <c r="IG85" t="e">
        <f>AND('UP133'!EH47,"AAAAAF/37vA=")</f>
        <v>#VALUE!</v>
      </c>
      <c r="IH85" t="e">
        <f>AND('UP133'!EI47,"AAAAAF/37vE=")</f>
        <v>#VALUE!</v>
      </c>
      <c r="II85" t="e">
        <f>AND('UP133'!EJ47,"AAAAAF/37vI=")</f>
        <v>#VALUE!</v>
      </c>
      <c r="IJ85" t="e">
        <f>AND('UP133'!EK47,"AAAAAF/37vM=")</f>
        <v>#VALUE!</v>
      </c>
      <c r="IK85" t="e">
        <f>AND('UP133'!EL47,"AAAAAF/37vQ=")</f>
        <v>#VALUE!</v>
      </c>
      <c r="IL85" t="e">
        <f>AND('UP133'!EM47,"AAAAAF/37vU=")</f>
        <v>#VALUE!</v>
      </c>
      <c r="IM85" t="e">
        <f>AND('UP133'!EN47,"AAAAAF/37vY=")</f>
        <v>#VALUE!</v>
      </c>
      <c r="IN85" t="e">
        <f>AND('UP133'!EO47,"AAAAAF/37vc=")</f>
        <v>#VALUE!</v>
      </c>
      <c r="IO85" t="e">
        <f>AND('UP133'!EP47,"AAAAAF/37vg=")</f>
        <v>#VALUE!</v>
      </c>
      <c r="IP85" t="e">
        <f>AND('UP133'!EQ47,"AAAAAF/37vk=")</f>
        <v>#VALUE!</v>
      </c>
      <c r="IQ85" t="e">
        <f>AND('UP133'!ER47,"AAAAAF/37vo=")</f>
        <v>#VALUE!</v>
      </c>
      <c r="IR85" t="e">
        <f>AND('UP133'!ES47,"AAAAAF/37vs=")</f>
        <v>#VALUE!</v>
      </c>
      <c r="IS85" t="e">
        <f>AND('UP133'!ET47,"AAAAAF/37vw=")</f>
        <v>#VALUE!</v>
      </c>
      <c r="IT85" t="e">
        <f>AND('UP133'!EU47,"AAAAAF/37v0=")</f>
        <v>#VALUE!</v>
      </c>
      <c r="IU85" t="e">
        <f>AND('UP133'!EV47,"AAAAAF/37v4=")</f>
        <v>#VALUE!</v>
      </c>
      <c r="IV85" t="e">
        <f>AND('UP133'!EW47,"AAAAAF/37v8=")</f>
        <v>#VALUE!</v>
      </c>
    </row>
    <row r="86" spans="1:256">
      <c r="A86" t="e">
        <f>AND('UP133'!EX47,"AAAAAH/vfwA=")</f>
        <v>#VALUE!</v>
      </c>
      <c r="B86" t="e">
        <f>AND('UP133'!EY47,"AAAAAH/vfwE=")</f>
        <v>#VALUE!</v>
      </c>
      <c r="C86" t="e">
        <f>AND('UP133'!EZ47,"AAAAAH/vfwI=")</f>
        <v>#VALUE!</v>
      </c>
      <c r="D86" t="e">
        <f>AND('UP133'!FA47,"AAAAAH/vfwM=")</f>
        <v>#VALUE!</v>
      </c>
      <c r="E86" t="e">
        <f>AND('UP133'!FB47,"AAAAAH/vfwQ=")</f>
        <v>#VALUE!</v>
      </c>
      <c r="F86" t="e">
        <f>AND('UP133'!FC47,"AAAAAH/vfwU=")</f>
        <v>#VALUE!</v>
      </c>
      <c r="G86" t="e">
        <f>AND('UP133'!FD47,"AAAAAH/vfwY=")</f>
        <v>#VALUE!</v>
      </c>
      <c r="H86" t="e">
        <f>AND('UP133'!FE47,"AAAAAH/vfwc=")</f>
        <v>#VALUE!</v>
      </c>
      <c r="I86" t="e">
        <f>AND('UP133'!FF47,"AAAAAH/vfwg=")</f>
        <v>#VALUE!</v>
      </c>
      <c r="J86" t="e">
        <f>AND('UP133'!FG47,"AAAAAH/vfwk=")</f>
        <v>#VALUE!</v>
      </c>
      <c r="K86" t="e">
        <f>AND('UP133'!FH47,"AAAAAH/vfwo=")</f>
        <v>#VALUE!</v>
      </c>
      <c r="L86" t="e">
        <f>AND('UP133'!FI47,"AAAAAH/vfws=")</f>
        <v>#VALUE!</v>
      </c>
      <c r="M86" t="e">
        <f>AND('UP133'!FJ47,"AAAAAH/vfww=")</f>
        <v>#VALUE!</v>
      </c>
      <c r="N86" t="e">
        <f>AND('UP133'!FK47,"AAAAAH/vfw0=")</f>
        <v>#VALUE!</v>
      </c>
      <c r="O86" t="e">
        <f>AND('UP133'!FL47,"AAAAAH/vfw4=")</f>
        <v>#VALUE!</v>
      </c>
      <c r="P86" t="e">
        <f>AND('UP133'!FM47,"AAAAAH/vfw8=")</f>
        <v>#VALUE!</v>
      </c>
      <c r="Q86" t="e">
        <f>AND('UP133'!FN47,"AAAAAH/vfxA=")</f>
        <v>#VALUE!</v>
      </c>
      <c r="R86" t="e">
        <f>AND('UP133'!FO47,"AAAAAH/vfxE=")</f>
        <v>#VALUE!</v>
      </c>
      <c r="S86" t="e">
        <f>AND('UP133'!FP47,"AAAAAH/vfxI=")</f>
        <v>#VALUE!</v>
      </c>
      <c r="T86" t="e">
        <f>AND('UP133'!FQ47,"AAAAAH/vfxM=")</f>
        <v>#VALUE!</v>
      </c>
      <c r="U86" t="e">
        <f>AND('UP133'!FR47,"AAAAAH/vfxQ=")</f>
        <v>#VALUE!</v>
      </c>
      <c r="V86" t="e">
        <f>AND('UP133'!FS47,"AAAAAH/vfxU=")</f>
        <v>#VALUE!</v>
      </c>
      <c r="W86" t="e">
        <f>AND('UP133'!FT47,"AAAAAH/vfxY=")</f>
        <v>#VALUE!</v>
      </c>
      <c r="X86" t="e">
        <f>AND('UP133'!FU47,"AAAAAH/vfxc=")</f>
        <v>#VALUE!</v>
      </c>
      <c r="Y86" t="e">
        <f>AND('UP133'!FV47,"AAAAAH/vfxg=")</f>
        <v>#VALUE!</v>
      </c>
      <c r="Z86" t="e">
        <f>AND('UP133'!FW47,"AAAAAH/vfxk=")</f>
        <v>#VALUE!</v>
      </c>
      <c r="AA86" t="e">
        <f>AND('UP133'!FX47,"AAAAAH/vfxo=")</f>
        <v>#VALUE!</v>
      </c>
      <c r="AB86" t="e">
        <f>AND('UP133'!FY47,"AAAAAH/vfxs=")</f>
        <v>#VALUE!</v>
      </c>
      <c r="AC86" t="e">
        <f>AND('UP133'!FZ47,"AAAAAH/vfxw=")</f>
        <v>#VALUE!</v>
      </c>
      <c r="AD86" t="e">
        <f>AND('UP133'!GA47,"AAAAAH/vfx0=")</f>
        <v>#VALUE!</v>
      </c>
      <c r="AE86" t="e">
        <f>AND('UP133'!GB47,"AAAAAH/vfx4=")</f>
        <v>#VALUE!</v>
      </c>
      <c r="AF86" t="e">
        <f>AND('UP133'!GC47,"AAAAAH/vfx8=")</f>
        <v>#VALUE!</v>
      </c>
      <c r="AG86" t="e">
        <f>AND('UP133'!GD47,"AAAAAH/vfyA=")</f>
        <v>#VALUE!</v>
      </c>
      <c r="AH86" t="e">
        <f>AND('UP133'!GE47,"AAAAAH/vfyE=")</f>
        <v>#VALUE!</v>
      </c>
      <c r="AI86" t="e">
        <f>AND('UP133'!GF47,"AAAAAH/vfyI=")</f>
        <v>#VALUE!</v>
      </c>
      <c r="AJ86" t="e">
        <f>AND('UP133'!GG47,"AAAAAH/vfyM=")</f>
        <v>#VALUE!</v>
      </c>
      <c r="AK86" t="e">
        <f>AND('UP133'!GH47,"AAAAAH/vfyQ=")</f>
        <v>#VALUE!</v>
      </c>
      <c r="AL86" t="e">
        <f>AND('UP133'!GI47,"AAAAAH/vfyU=")</f>
        <v>#VALUE!</v>
      </c>
      <c r="AM86" t="e">
        <f>AND('UP133'!GJ47,"AAAAAH/vfyY=")</f>
        <v>#VALUE!</v>
      </c>
      <c r="AN86" t="e">
        <f>AND('UP133'!GK47,"AAAAAH/vfyc=")</f>
        <v>#VALUE!</v>
      </c>
      <c r="AO86" t="e">
        <f>AND('UP133'!GL47,"AAAAAH/vfyg=")</f>
        <v>#VALUE!</v>
      </c>
      <c r="AP86" t="e">
        <f>AND('UP133'!GM47,"AAAAAH/vfyk=")</f>
        <v>#VALUE!</v>
      </c>
      <c r="AQ86" t="e">
        <f>AND('UP133'!GN47,"AAAAAH/vfyo=")</f>
        <v>#VALUE!</v>
      </c>
      <c r="AR86" t="e">
        <f>AND('UP133'!GO47,"AAAAAH/vfys=")</f>
        <v>#VALUE!</v>
      </c>
      <c r="AS86" t="e">
        <f>AND('UP133'!GP47,"AAAAAH/vfyw=")</f>
        <v>#VALUE!</v>
      </c>
      <c r="AT86" t="e">
        <f>AND('UP133'!GQ47,"AAAAAH/vfy0=")</f>
        <v>#VALUE!</v>
      </c>
      <c r="AU86" t="e">
        <f>AND('UP133'!GR47,"AAAAAH/vfy4=")</f>
        <v>#VALUE!</v>
      </c>
      <c r="AV86" t="e">
        <f>AND('UP133'!GS47,"AAAAAH/vfy8=")</f>
        <v>#VALUE!</v>
      </c>
      <c r="AW86" t="e">
        <f>AND('UP133'!GT47,"AAAAAH/vfzA=")</f>
        <v>#VALUE!</v>
      </c>
      <c r="AX86" t="e">
        <f>AND('UP133'!GU47,"AAAAAH/vfzE=")</f>
        <v>#VALUE!</v>
      </c>
      <c r="AY86" t="e">
        <f>AND('UP133'!GV47,"AAAAAH/vfzI=")</f>
        <v>#VALUE!</v>
      </c>
      <c r="AZ86" t="e">
        <f>AND('UP133'!GW47,"AAAAAH/vfzM=")</f>
        <v>#VALUE!</v>
      </c>
      <c r="BA86" t="e">
        <f>AND('UP133'!GX47,"AAAAAH/vfzQ=")</f>
        <v>#VALUE!</v>
      </c>
      <c r="BB86" t="e">
        <f>AND('UP133'!GY47,"AAAAAH/vfzU=")</f>
        <v>#VALUE!</v>
      </c>
      <c r="BC86" t="e">
        <f>AND('UP133'!GZ47,"AAAAAH/vfzY=")</f>
        <v>#VALUE!</v>
      </c>
      <c r="BD86" t="e">
        <f>AND('UP133'!HA47,"AAAAAH/vfzc=")</f>
        <v>#VALUE!</v>
      </c>
      <c r="BE86" t="e">
        <f>AND('UP133'!HB47,"AAAAAH/vfzg=")</f>
        <v>#VALUE!</v>
      </c>
      <c r="BF86" t="e">
        <f>AND('UP133'!HC47,"AAAAAH/vfzk=")</f>
        <v>#VALUE!</v>
      </c>
      <c r="BG86" t="e">
        <f>AND('UP133'!HD47,"AAAAAH/vfzo=")</f>
        <v>#VALUE!</v>
      </c>
      <c r="BH86" t="e">
        <f>AND('UP133'!HE47,"AAAAAH/vfzs=")</f>
        <v>#VALUE!</v>
      </c>
      <c r="BI86" t="e">
        <f>AND('UP133'!HF47,"AAAAAH/vfzw=")</f>
        <v>#VALUE!</v>
      </c>
      <c r="BJ86" t="e">
        <f>AND('UP133'!HG47,"AAAAAH/vfz0=")</f>
        <v>#VALUE!</v>
      </c>
      <c r="BK86" t="e">
        <f>AND('UP133'!HH47,"AAAAAH/vfz4=")</f>
        <v>#VALUE!</v>
      </c>
      <c r="BL86" t="e">
        <f>AND('UP133'!HI47,"AAAAAH/vfz8=")</f>
        <v>#VALUE!</v>
      </c>
      <c r="BM86" t="e">
        <f>AND('UP133'!HJ47,"AAAAAH/vf0A=")</f>
        <v>#VALUE!</v>
      </c>
      <c r="BN86" t="e">
        <f>AND('UP133'!HK47,"AAAAAH/vf0E=")</f>
        <v>#VALUE!</v>
      </c>
      <c r="BO86" t="e">
        <f>AND('UP133'!HL47,"AAAAAH/vf0I=")</f>
        <v>#VALUE!</v>
      </c>
      <c r="BP86" t="e">
        <f>AND('UP133'!HM47,"AAAAAH/vf0M=")</f>
        <v>#VALUE!</v>
      </c>
      <c r="BQ86" t="e">
        <f>AND('UP133'!HN47,"AAAAAH/vf0Q=")</f>
        <v>#VALUE!</v>
      </c>
      <c r="BR86" t="e">
        <f>AND('UP133'!HO47,"AAAAAH/vf0U=")</f>
        <v>#VALUE!</v>
      </c>
      <c r="BS86" t="e">
        <f>AND('UP133'!HP47,"AAAAAH/vf0Y=")</f>
        <v>#VALUE!</v>
      </c>
      <c r="BT86" t="e">
        <f>AND('UP133'!HQ47,"AAAAAH/vf0c=")</f>
        <v>#VALUE!</v>
      </c>
      <c r="BU86" t="e">
        <f>AND('UP133'!HR47,"AAAAAH/vf0g=")</f>
        <v>#VALUE!</v>
      </c>
      <c r="BV86" t="e">
        <f>AND('UP133'!HS47,"AAAAAH/vf0k=")</f>
        <v>#VALUE!</v>
      </c>
      <c r="BW86" t="e">
        <f>AND('UP133'!HT47,"AAAAAH/vf0o=")</f>
        <v>#VALUE!</v>
      </c>
      <c r="BX86" t="e">
        <f>AND('UP133'!HU47,"AAAAAH/vf0s=")</f>
        <v>#VALUE!</v>
      </c>
      <c r="BY86" t="e">
        <f>AND('UP133'!HV47,"AAAAAH/vf0w=")</f>
        <v>#VALUE!</v>
      </c>
      <c r="BZ86" t="e">
        <f>AND('UP133'!HW47,"AAAAAH/vf00=")</f>
        <v>#VALUE!</v>
      </c>
      <c r="CA86" t="e">
        <f>AND('UP133'!HX47,"AAAAAH/vf04=")</f>
        <v>#VALUE!</v>
      </c>
      <c r="CB86" t="e">
        <f>AND('UP133'!HY47,"AAAAAH/vf08=")</f>
        <v>#VALUE!</v>
      </c>
      <c r="CC86" t="e">
        <f>AND('UP133'!HZ47,"AAAAAH/vf1A=")</f>
        <v>#VALUE!</v>
      </c>
      <c r="CD86" t="e">
        <f>AND('UP133'!IA47,"AAAAAH/vf1E=")</f>
        <v>#VALUE!</v>
      </c>
      <c r="CE86" t="e">
        <f>AND('UP133'!IB47,"AAAAAH/vf1I=")</f>
        <v>#VALUE!</v>
      </c>
      <c r="CF86" t="e">
        <f>AND('UP133'!IC47,"AAAAAH/vf1M=")</f>
        <v>#VALUE!</v>
      </c>
      <c r="CG86" t="e">
        <f>AND('UP133'!ID47,"AAAAAH/vf1Q=")</f>
        <v>#VALUE!</v>
      </c>
      <c r="CH86" t="e">
        <f>AND('UP133'!IE47,"AAAAAH/vf1U=")</f>
        <v>#VALUE!</v>
      </c>
      <c r="CI86" t="e">
        <f>AND('UP133'!IF47,"AAAAAH/vf1Y=")</f>
        <v>#VALUE!</v>
      </c>
      <c r="CJ86" t="e">
        <f>AND('UP133'!IG47,"AAAAAH/vf1c=")</f>
        <v>#VALUE!</v>
      </c>
      <c r="CK86" t="e">
        <f>AND('UP133'!IH47,"AAAAAH/vf1g=")</f>
        <v>#VALUE!</v>
      </c>
      <c r="CL86" t="e">
        <f>AND('UP133'!II47,"AAAAAH/vf1k=")</f>
        <v>#VALUE!</v>
      </c>
      <c r="CM86" t="e">
        <f>AND('UP133'!IJ47,"AAAAAH/vf1o=")</f>
        <v>#VALUE!</v>
      </c>
      <c r="CN86" t="e">
        <f>AND('UP133'!IK47,"AAAAAH/vf1s=")</f>
        <v>#VALUE!</v>
      </c>
      <c r="CO86" t="e">
        <f>AND('UP133'!IL47,"AAAAAH/vf1w=")</f>
        <v>#VALUE!</v>
      </c>
      <c r="CP86" t="e">
        <f>AND('UP133'!IM47,"AAAAAH/vf10=")</f>
        <v>#VALUE!</v>
      </c>
      <c r="CQ86" t="e">
        <f>AND('UP133'!IN47,"AAAAAH/vf14=")</f>
        <v>#VALUE!</v>
      </c>
      <c r="CR86" t="e">
        <f>AND('UP133'!IO47,"AAAAAH/vf18=")</f>
        <v>#VALUE!</v>
      </c>
      <c r="CS86" t="e">
        <f>AND('UP133'!IP47,"AAAAAH/vf2A=")</f>
        <v>#VALUE!</v>
      </c>
      <c r="CT86" t="e">
        <f>AND('UP133'!IQ47,"AAAAAH/vf2E=")</f>
        <v>#VALUE!</v>
      </c>
      <c r="CU86">
        <f>IF('UP133'!48:48,"AAAAAH/vf2I=",0)</f>
        <v>0</v>
      </c>
      <c r="CV86" t="e">
        <f>AND('UP133'!A48,"AAAAAH/vf2M=")</f>
        <v>#VALUE!</v>
      </c>
      <c r="CW86" t="e">
        <f>AND('UP133'!B48,"AAAAAH/vf2Q=")</f>
        <v>#VALUE!</v>
      </c>
      <c r="CX86" t="e">
        <f>AND('UP133'!C48,"AAAAAH/vf2U=")</f>
        <v>#VALUE!</v>
      </c>
      <c r="CY86" t="e">
        <f>AND('UP133'!D48,"AAAAAH/vf2Y=")</f>
        <v>#VALUE!</v>
      </c>
      <c r="CZ86" t="e">
        <f>AND('UP133'!E48,"AAAAAH/vf2c=")</f>
        <v>#VALUE!</v>
      </c>
      <c r="DA86" t="e">
        <f>AND('UP133'!F48,"AAAAAH/vf2g=")</f>
        <v>#VALUE!</v>
      </c>
      <c r="DB86" t="e">
        <f>AND('UP133'!G48,"AAAAAH/vf2k=")</f>
        <v>#VALUE!</v>
      </c>
      <c r="DC86" t="e">
        <f>AND('UP133'!H48,"AAAAAH/vf2o=")</f>
        <v>#VALUE!</v>
      </c>
      <c r="DD86" t="e">
        <f>AND('UP133'!I48,"AAAAAH/vf2s=")</f>
        <v>#VALUE!</v>
      </c>
      <c r="DE86" t="e">
        <f>AND('UP133'!J48,"AAAAAH/vf2w=")</f>
        <v>#VALUE!</v>
      </c>
      <c r="DF86" t="e">
        <f>AND('UP133'!K48,"AAAAAH/vf20=")</f>
        <v>#VALUE!</v>
      </c>
      <c r="DG86" t="e">
        <f>AND('UP133'!L48,"AAAAAH/vf24=")</f>
        <v>#VALUE!</v>
      </c>
      <c r="DH86" t="e">
        <f>AND('UP133'!M48,"AAAAAH/vf28=")</f>
        <v>#VALUE!</v>
      </c>
      <c r="DI86" t="e">
        <f>AND('UP133'!N48,"AAAAAH/vf3A=")</f>
        <v>#VALUE!</v>
      </c>
      <c r="DJ86" t="e">
        <f>AND('UP133'!O48,"AAAAAH/vf3E=")</f>
        <v>#VALUE!</v>
      </c>
      <c r="DK86" t="e">
        <f>AND('UP133'!P48,"AAAAAH/vf3I=")</f>
        <v>#VALUE!</v>
      </c>
      <c r="DL86" t="e">
        <f>AND('UP133'!Q48,"AAAAAH/vf3M=")</f>
        <v>#VALUE!</v>
      </c>
      <c r="DM86" t="e">
        <f>AND('UP133'!R48,"AAAAAH/vf3Q=")</f>
        <v>#VALUE!</v>
      </c>
      <c r="DN86" t="e">
        <f>AND('UP133'!S48,"AAAAAH/vf3U=")</f>
        <v>#VALUE!</v>
      </c>
      <c r="DO86" t="e">
        <f>AND('UP133'!T48,"AAAAAH/vf3Y=")</f>
        <v>#VALUE!</v>
      </c>
      <c r="DP86" t="e">
        <f>AND('UP133'!U48,"AAAAAH/vf3c=")</f>
        <v>#VALUE!</v>
      </c>
      <c r="DQ86" t="e">
        <f>AND('UP133'!V48,"AAAAAH/vf3g=")</f>
        <v>#VALUE!</v>
      </c>
      <c r="DR86" t="e">
        <f>AND('UP133'!W48,"AAAAAH/vf3k=")</f>
        <v>#VALUE!</v>
      </c>
      <c r="DS86" t="e">
        <f>AND('UP133'!X48,"AAAAAH/vf3o=")</f>
        <v>#VALUE!</v>
      </c>
      <c r="DT86" t="e">
        <f>AND('UP133'!Y48,"AAAAAH/vf3s=")</f>
        <v>#VALUE!</v>
      </c>
      <c r="DU86" t="e">
        <f>AND('UP133'!Z48,"AAAAAH/vf3w=")</f>
        <v>#VALUE!</v>
      </c>
      <c r="DV86" t="e">
        <f>AND('UP133'!AA48,"AAAAAH/vf30=")</f>
        <v>#VALUE!</v>
      </c>
      <c r="DW86" t="e">
        <f>AND('UP133'!AB48,"AAAAAH/vf34=")</f>
        <v>#VALUE!</v>
      </c>
      <c r="DX86" t="e">
        <f>AND('UP133'!AC48,"AAAAAH/vf38=")</f>
        <v>#VALUE!</v>
      </c>
      <c r="DY86" t="e">
        <f>AND('UP133'!AD48,"AAAAAH/vf4A=")</f>
        <v>#VALUE!</v>
      </c>
      <c r="DZ86" t="e">
        <f>AND('UP133'!AE48,"AAAAAH/vf4E=")</f>
        <v>#VALUE!</v>
      </c>
      <c r="EA86" t="e">
        <f>AND('UP133'!AF48,"AAAAAH/vf4I=")</f>
        <v>#VALUE!</v>
      </c>
      <c r="EB86" t="e">
        <f>AND('UP133'!AG48,"AAAAAH/vf4M=")</f>
        <v>#VALUE!</v>
      </c>
      <c r="EC86" t="e">
        <f>AND('UP133'!AH48,"AAAAAH/vf4Q=")</f>
        <v>#VALUE!</v>
      </c>
      <c r="ED86" t="e">
        <f>AND('UP133'!AI48,"AAAAAH/vf4U=")</f>
        <v>#VALUE!</v>
      </c>
      <c r="EE86" t="e">
        <f>AND('UP133'!AJ48,"AAAAAH/vf4Y=")</f>
        <v>#VALUE!</v>
      </c>
      <c r="EF86" t="e">
        <f>AND('UP133'!AK48,"AAAAAH/vf4c=")</f>
        <v>#VALUE!</v>
      </c>
      <c r="EG86" t="e">
        <f>AND('UP133'!AL48,"AAAAAH/vf4g=")</f>
        <v>#VALUE!</v>
      </c>
      <c r="EH86" t="e">
        <f>AND('UP133'!AM48,"AAAAAH/vf4k=")</f>
        <v>#VALUE!</v>
      </c>
      <c r="EI86" t="e">
        <f>AND('UP133'!AN48,"AAAAAH/vf4o=")</f>
        <v>#VALUE!</v>
      </c>
      <c r="EJ86" t="e">
        <f>AND('UP133'!AO48,"AAAAAH/vf4s=")</f>
        <v>#VALUE!</v>
      </c>
      <c r="EK86" t="e">
        <f>AND('UP133'!AP48,"AAAAAH/vf4w=")</f>
        <v>#VALUE!</v>
      </c>
      <c r="EL86" t="e">
        <f>AND('UP133'!AQ48,"AAAAAH/vf40=")</f>
        <v>#VALUE!</v>
      </c>
      <c r="EM86" t="e">
        <f>AND('UP133'!AR48,"AAAAAH/vf44=")</f>
        <v>#VALUE!</v>
      </c>
      <c r="EN86" t="e">
        <f>AND('UP133'!AS48,"AAAAAH/vf48=")</f>
        <v>#VALUE!</v>
      </c>
      <c r="EO86" t="e">
        <f>AND('UP133'!AT48,"AAAAAH/vf5A=")</f>
        <v>#VALUE!</v>
      </c>
      <c r="EP86" t="e">
        <f>AND('UP133'!AU48,"AAAAAH/vf5E=")</f>
        <v>#VALUE!</v>
      </c>
      <c r="EQ86" t="e">
        <f>AND('UP133'!AV48,"AAAAAH/vf5I=")</f>
        <v>#VALUE!</v>
      </c>
      <c r="ER86" t="e">
        <f>AND('UP133'!AW48,"AAAAAH/vf5M=")</f>
        <v>#VALUE!</v>
      </c>
      <c r="ES86" t="e">
        <f>AND('UP133'!AX48,"AAAAAH/vf5Q=")</f>
        <v>#VALUE!</v>
      </c>
      <c r="ET86" t="e">
        <f>AND('UP133'!AY48,"AAAAAH/vf5U=")</f>
        <v>#VALUE!</v>
      </c>
      <c r="EU86" t="e">
        <f>AND('UP133'!AZ48,"AAAAAH/vf5Y=")</f>
        <v>#VALUE!</v>
      </c>
      <c r="EV86" t="e">
        <f>AND('UP133'!BA48,"AAAAAH/vf5c=")</f>
        <v>#VALUE!</v>
      </c>
      <c r="EW86" t="e">
        <f>AND('UP133'!BB48,"AAAAAH/vf5g=")</f>
        <v>#VALUE!</v>
      </c>
      <c r="EX86" t="e">
        <f>AND('UP133'!BC48,"AAAAAH/vf5k=")</f>
        <v>#VALUE!</v>
      </c>
      <c r="EY86" t="e">
        <f>AND('UP133'!BD48,"AAAAAH/vf5o=")</f>
        <v>#VALUE!</v>
      </c>
      <c r="EZ86" t="e">
        <f>AND('UP133'!BE48,"AAAAAH/vf5s=")</f>
        <v>#VALUE!</v>
      </c>
      <c r="FA86" t="e">
        <f>AND('UP133'!BF48,"AAAAAH/vf5w=")</f>
        <v>#VALUE!</v>
      </c>
      <c r="FB86" t="e">
        <f>AND('UP133'!BG48,"AAAAAH/vf50=")</f>
        <v>#VALUE!</v>
      </c>
      <c r="FC86" t="e">
        <f>AND('UP133'!BH48,"AAAAAH/vf54=")</f>
        <v>#VALUE!</v>
      </c>
      <c r="FD86" t="e">
        <f>AND('UP133'!BI48,"AAAAAH/vf58=")</f>
        <v>#VALUE!</v>
      </c>
      <c r="FE86" t="e">
        <f>AND('UP133'!BJ48,"AAAAAH/vf6A=")</f>
        <v>#VALUE!</v>
      </c>
      <c r="FF86" t="e">
        <f>AND('UP133'!BK48,"AAAAAH/vf6E=")</f>
        <v>#VALUE!</v>
      </c>
      <c r="FG86" t="e">
        <f>AND('UP133'!BL48,"AAAAAH/vf6I=")</f>
        <v>#VALUE!</v>
      </c>
      <c r="FH86" t="e">
        <f>AND('UP133'!BM48,"AAAAAH/vf6M=")</f>
        <v>#VALUE!</v>
      </c>
      <c r="FI86" t="e">
        <f>AND('UP133'!BN48,"AAAAAH/vf6Q=")</f>
        <v>#VALUE!</v>
      </c>
      <c r="FJ86" t="e">
        <f>AND('UP133'!BO48,"AAAAAH/vf6U=")</f>
        <v>#VALUE!</v>
      </c>
      <c r="FK86" t="e">
        <f>AND('UP133'!BP48,"AAAAAH/vf6Y=")</f>
        <v>#VALUE!</v>
      </c>
      <c r="FL86" t="e">
        <f>AND('UP133'!BQ48,"AAAAAH/vf6c=")</f>
        <v>#VALUE!</v>
      </c>
      <c r="FM86" t="e">
        <f>AND('UP133'!BR48,"AAAAAH/vf6g=")</f>
        <v>#VALUE!</v>
      </c>
      <c r="FN86" t="e">
        <f>AND('UP133'!BS48,"AAAAAH/vf6k=")</f>
        <v>#VALUE!</v>
      </c>
      <c r="FO86" t="e">
        <f>AND('UP133'!BT48,"AAAAAH/vf6o=")</f>
        <v>#VALUE!</v>
      </c>
      <c r="FP86" t="e">
        <f>AND('UP133'!BU48,"AAAAAH/vf6s=")</f>
        <v>#VALUE!</v>
      </c>
      <c r="FQ86" t="e">
        <f>AND('UP133'!BV48,"AAAAAH/vf6w=")</f>
        <v>#VALUE!</v>
      </c>
      <c r="FR86" t="e">
        <f>AND('UP133'!BW48,"AAAAAH/vf60=")</f>
        <v>#VALUE!</v>
      </c>
      <c r="FS86" t="e">
        <f>AND('UP133'!BX48,"AAAAAH/vf64=")</f>
        <v>#VALUE!</v>
      </c>
      <c r="FT86" t="e">
        <f>AND('UP133'!BY48,"AAAAAH/vf68=")</f>
        <v>#VALUE!</v>
      </c>
      <c r="FU86" t="e">
        <f>AND('UP133'!BZ48,"AAAAAH/vf7A=")</f>
        <v>#VALUE!</v>
      </c>
      <c r="FV86" t="e">
        <f>AND('UP133'!CA48,"AAAAAH/vf7E=")</f>
        <v>#VALUE!</v>
      </c>
      <c r="FW86" t="e">
        <f>AND('UP133'!CB48,"AAAAAH/vf7I=")</f>
        <v>#VALUE!</v>
      </c>
      <c r="FX86" t="e">
        <f>AND('UP133'!CC48,"AAAAAH/vf7M=")</f>
        <v>#VALUE!</v>
      </c>
      <c r="FY86" t="e">
        <f>AND('UP133'!CD48,"AAAAAH/vf7Q=")</f>
        <v>#VALUE!</v>
      </c>
      <c r="FZ86" t="e">
        <f>AND('UP133'!CE48,"AAAAAH/vf7U=")</f>
        <v>#VALUE!</v>
      </c>
      <c r="GA86" t="e">
        <f>AND('UP133'!CF48,"AAAAAH/vf7Y=")</f>
        <v>#VALUE!</v>
      </c>
      <c r="GB86" t="e">
        <f>AND('UP133'!CG48,"AAAAAH/vf7c=")</f>
        <v>#VALUE!</v>
      </c>
      <c r="GC86" t="e">
        <f>AND('UP133'!CH48,"AAAAAH/vf7g=")</f>
        <v>#VALUE!</v>
      </c>
      <c r="GD86" t="e">
        <f>AND('UP133'!CI48,"AAAAAH/vf7k=")</f>
        <v>#VALUE!</v>
      </c>
      <c r="GE86" t="e">
        <f>AND('UP133'!CJ48,"AAAAAH/vf7o=")</f>
        <v>#VALUE!</v>
      </c>
      <c r="GF86" t="e">
        <f>AND('UP133'!CK48,"AAAAAH/vf7s=")</f>
        <v>#VALUE!</v>
      </c>
      <c r="GG86" t="e">
        <f>AND('UP133'!CL48,"AAAAAH/vf7w=")</f>
        <v>#VALUE!</v>
      </c>
      <c r="GH86" t="e">
        <f>AND('UP133'!CM48,"AAAAAH/vf70=")</f>
        <v>#VALUE!</v>
      </c>
      <c r="GI86" t="e">
        <f>AND('UP133'!CN48,"AAAAAH/vf74=")</f>
        <v>#VALUE!</v>
      </c>
      <c r="GJ86" t="e">
        <f>AND('UP133'!CO48,"AAAAAH/vf78=")</f>
        <v>#VALUE!</v>
      </c>
      <c r="GK86" t="e">
        <f>AND('UP133'!CP48,"AAAAAH/vf8A=")</f>
        <v>#VALUE!</v>
      </c>
      <c r="GL86" t="e">
        <f>AND('UP133'!CQ48,"AAAAAH/vf8E=")</f>
        <v>#VALUE!</v>
      </c>
      <c r="GM86" t="e">
        <f>AND('UP133'!CR48,"AAAAAH/vf8I=")</f>
        <v>#VALUE!</v>
      </c>
      <c r="GN86" t="e">
        <f>AND('UP133'!CS48,"AAAAAH/vf8M=")</f>
        <v>#VALUE!</v>
      </c>
      <c r="GO86" t="e">
        <f>AND('UP133'!CT48,"AAAAAH/vf8Q=")</f>
        <v>#VALUE!</v>
      </c>
      <c r="GP86" t="e">
        <f>AND('UP133'!CU48,"AAAAAH/vf8U=")</f>
        <v>#VALUE!</v>
      </c>
      <c r="GQ86" t="e">
        <f>AND('UP133'!CV48,"AAAAAH/vf8Y=")</f>
        <v>#VALUE!</v>
      </c>
      <c r="GR86" t="e">
        <f>AND('UP133'!CW48,"AAAAAH/vf8c=")</f>
        <v>#VALUE!</v>
      </c>
      <c r="GS86" t="e">
        <f>AND('UP133'!CX48,"AAAAAH/vf8g=")</f>
        <v>#VALUE!</v>
      </c>
      <c r="GT86" t="e">
        <f>AND('UP133'!CY48,"AAAAAH/vf8k=")</f>
        <v>#VALUE!</v>
      </c>
      <c r="GU86" t="e">
        <f>AND('UP133'!CZ48,"AAAAAH/vf8o=")</f>
        <v>#VALUE!</v>
      </c>
      <c r="GV86" t="e">
        <f>AND('UP133'!DA48,"AAAAAH/vf8s=")</f>
        <v>#VALUE!</v>
      </c>
      <c r="GW86" t="e">
        <f>AND('UP133'!DB48,"AAAAAH/vf8w=")</f>
        <v>#VALUE!</v>
      </c>
      <c r="GX86" t="e">
        <f>AND('UP133'!DC48,"AAAAAH/vf80=")</f>
        <v>#VALUE!</v>
      </c>
      <c r="GY86" t="e">
        <f>AND('UP133'!DD48,"AAAAAH/vf84=")</f>
        <v>#VALUE!</v>
      </c>
      <c r="GZ86" t="e">
        <f>AND('UP133'!DE48,"AAAAAH/vf88=")</f>
        <v>#VALUE!</v>
      </c>
      <c r="HA86" t="e">
        <f>AND('UP133'!DF48,"AAAAAH/vf9A=")</f>
        <v>#VALUE!</v>
      </c>
      <c r="HB86" t="e">
        <f>AND('UP133'!DG48,"AAAAAH/vf9E=")</f>
        <v>#VALUE!</v>
      </c>
      <c r="HC86" t="e">
        <f>AND('UP133'!DH48,"AAAAAH/vf9I=")</f>
        <v>#VALUE!</v>
      </c>
      <c r="HD86" t="e">
        <f>AND('UP133'!DI48,"AAAAAH/vf9M=")</f>
        <v>#VALUE!</v>
      </c>
      <c r="HE86" t="e">
        <f>AND('UP133'!DJ48,"AAAAAH/vf9Q=")</f>
        <v>#VALUE!</v>
      </c>
      <c r="HF86" t="e">
        <f>AND('UP133'!DK48,"AAAAAH/vf9U=")</f>
        <v>#VALUE!</v>
      </c>
      <c r="HG86" t="e">
        <f>AND('UP133'!DL48,"AAAAAH/vf9Y=")</f>
        <v>#VALUE!</v>
      </c>
      <c r="HH86" t="e">
        <f>AND('UP133'!DM48,"AAAAAH/vf9c=")</f>
        <v>#VALUE!</v>
      </c>
      <c r="HI86" t="e">
        <f>AND('UP133'!DN48,"AAAAAH/vf9g=")</f>
        <v>#VALUE!</v>
      </c>
      <c r="HJ86" t="e">
        <f>AND('UP133'!DO48,"AAAAAH/vf9k=")</f>
        <v>#VALUE!</v>
      </c>
      <c r="HK86" t="e">
        <f>AND('UP133'!DP48,"AAAAAH/vf9o=")</f>
        <v>#VALUE!</v>
      </c>
      <c r="HL86" t="e">
        <f>AND('UP133'!DQ48,"AAAAAH/vf9s=")</f>
        <v>#VALUE!</v>
      </c>
      <c r="HM86" t="e">
        <f>AND('UP133'!DR48,"AAAAAH/vf9w=")</f>
        <v>#VALUE!</v>
      </c>
      <c r="HN86" t="e">
        <f>AND('UP133'!DS48,"AAAAAH/vf90=")</f>
        <v>#VALUE!</v>
      </c>
      <c r="HO86" t="e">
        <f>AND('UP133'!DT48,"AAAAAH/vf94=")</f>
        <v>#VALUE!</v>
      </c>
      <c r="HP86" t="e">
        <f>AND('UP133'!DU48,"AAAAAH/vf98=")</f>
        <v>#VALUE!</v>
      </c>
      <c r="HQ86" t="e">
        <f>AND('UP133'!DV48,"AAAAAH/vf+A=")</f>
        <v>#VALUE!</v>
      </c>
      <c r="HR86" t="e">
        <f>AND('UP133'!DW48,"AAAAAH/vf+E=")</f>
        <v>#VALUE!</v>
      </c>
      <c r="HS86" t="e">
        <f>AND('UP133'!DX48,"AAAAAH/vf+I=")</f>
        <v>#VALUE!</v>
      </c>
      <c r="HT86" t="e">
        <f>AND('UP133'!DY48,"AAAAAH/vf+M=")</f>
        <v>#VALUE!</v>
      </c>
      <c r="HU86" t="e">
        <f>AND('UP133'!DZ48,"AAAAAH/vf+Q=")</f>
        <v>#VALUE!</v>
      </c>
      <c r="HV86" t="e">
        <f>AND('UP133'!EA48,"AAAAAH/vf+U=")</f>
        <v>#VALUE!</v>
      </c>
      <c r="HW86" t="e">
        <f>AND('UP133'!EB48,"AAAAAH/vf+Y=")</f>
        <v>#VALUE!</v>
      </c>
      <c r="HX86" t="e">
        <f>AND('UP133'!EC48,"AAAAAH/vf+c=")</f>
        <v>#VALUE!</v>
      </c>
      <c r="HY86" t="e">
        <f>AND('UP133'!ED48,"AAAAAH/vf+g=")</f>
        <v>#VALUE!</v>
      </c>
      <c r="HZ86" t="e">
        <f>AND('UP133'!EE48,"AAAAAH/vf+k=")</f>
        <v>#VALUE!</v>
      </c>
      <c r="IA86" t="e">
        <f>AND('UP133'!EF48,"AAAAAH/vf+o=")</f>
        <v>#VALUE!</v>
      </c>
      <c r="IB86" t="e">
        <f>AND('UP133'!EG48,"AAAAAH/vf+s=")</f>
        <v>#VALUE!</v>
      </c>
      <c r="IC86" t="e">
        <f>AND('UP133'!EH48,"AAAAAH/vf+w=")</f>
        <v>#VALUE!</v>
      </c>
      <c r="ID86" t="e">
        <f>AND('UP133'!EI48,"AAAAAH/vf+0=")</f>
        <v>#VALUE!</v>
      </c>
      <c r="IE86" t="e">
        <f>AND('UP133'!EJ48,"AAAAAH/vf+4=")</f>
        <v>#VALUE!</v>
      </c>
      <c r="IF86" t="e">
        <f>AND('UP133'!EK48,"AAAAAH/vf+8=")</f>
        <v>#VALUE!</v>
      </c>
      <c r="IG86" t="e">
        <f>AND('UP133'!EL48,"AAAAAH/vf/A=")</f>
        <v>#VALUE!</v>
      </c>
      <c r="IH86" t="e">
        <f>AND('UP133'!EM48,"AAAAAH/vf/E=")</f>
        <v>#VALUE!</v>
      </c>
      <c r="II86" t="e">
        <f>AND('UP133'!EN48,"AAAAAH/vf/I=")</f>
        <v>#VALUE!</v>
      </c>
      <c r="IJ86" t="e">
        <f>AND('UP133'!EO48,"AAAAAH/vf/M=")</f>
        <v>#VALUE!</v>
      </c>
      <c r="IK86" t="e">
        <f>AND('UP133'!EP48,"AAAAAH/vf/Q=")</f>
        <v>#VALUE!</v>
      </c>
      <c r="IL86" t="e">
        <f>AND('UP133'!EQ48,"AAAAAH/vf/U=")</f>
        <v>#VALUE!</v>
      </c>
      <c r="IM86" t="e">
        <f>AND('UP133'!ER48,"AAAAAH/vf/Y=")</f>
        <v>#VALUE!</v>
      </c>
      <c r="IN86" t="e">
        <f>AND('UP133'!ES48,"AAAAAH/vf/c=")</f>
        <v>#VALUE!</v>
      </c>
      <c r="IO86" t="e">
        <f>AND('UP133'!ET48,"AAAAAH/vf/g=")</f>
        <v>#VALUE!</v>
      </c>
      <c r="IP86" t="e">
        <f>AND('UP133'!EU48,"AAAAAH/vf/k=")</f>
        <v>#VALUE!</v>
      </c>
      <c r="IQ86" t="e">
        <f>AND('UP133'!EV48,"AAAAAH/vf/o=")</f>
        <v>#VALUE!</v>
      </c>
      <c r="IR86" t="e">
        <f>AND('UP133'!EW48,"AAAAAH/vf/s=")</f>
        <v>#VALUE!</v>
      </c>
      <c r="IS86" t="e">
        <f>AND('UP133'!EX48,"AAAAAH/vf/w=")</f>
        <v>#VALUE!</v>
      </c>
      <c r="IT86" t="e">
        <f>AND('UP133'!EY48,"AAAAAH/vf/0=")</f>
        <v>#VALUE!</v>
      </c>
      <c r="IU86" t="e">
        <f>AND('UP133'!EZ48,"AAAAAH/vf/4=")</f>
        <v>#VALUE!</v>
      </c>
      <c r="IV86" t="e">
        <f>AND('UP133'!FA48,"AAAAAH/vf/8=")</f>
        <v>#VALUE!</v>
      </c>
    </row>
    <row r="87" spans="1:256">
      <c r="A87" t="e">
        <f>AND('UP133'!FB48,"AAAAAH/n/wA=")</f>
        <v>#VALUE!</v>
      </c>
      <c r="B87" t="e">
        <f>AND('UP133'!FC48,"AAAAAH/n/wE=")</f>
        <v>#VALUE!</v>
      </c>
      <c r="C87" t="e">
        <f>AND('UP133'!FD48,"AAAAAH/n/wI=")</f>
        <v>#VALUE!</v>
      </c>
      <c r="D87" t="e">
        <f>AND('UP133'!FE48,"AAAAAH/n/wM=")</f>
        <v>#VALUE!</v>
      </c>
      <c r="E87" t="e">
        <f>AND('UP133'!FF48,"AAAAAH/n/wQ=")</f>
        <v>#VALUE!</v>
      </c>
      <c r="F87" t="e">
        <f>AND('UP133'!FG48,"AAAAAH/n/wU=")</f>
        <v>#VALUE!</v>
      </c>
      <c r="G87" t="e">
        <f>AND('UP133'!FH48,"AAAAAH/n/wY=")</f>
        <v>#VALUE!</v>
      </c>
      <c r="H87" t="e">
        <f>AND('UP133'!FI48,"AAAAAH/n/wc=")</f>
        <v>#VALUE!</v>
      </c>
      <c r="I87" t="e">
        <f>AND('UP133'!FJ48,"AAAAAH/n/wg=")</f>
        <v>#VALUE!</v>
      </c>
      <c r="J87" t="e">
        <f>AND('UP133'!FK48,"AAAAAH/n/wk=")</f>
        <v>#VALUE!</v>
      </c>
      <c r="K87" t="e">
        <f>AND('UP133'!FL48,"AAAAAH/n/wo=")</f>
        <v>#VALUE!</v>
      </c>
      <c r="L87" t="e">
        <f>AND('UP133'!FM48,"AAAAAH/n/ws=")</f>
        <v>#VALUE!</v>
      </c>
      <c r="M87" t="e">
        <f>AND('UP133'!FN48,"AAAAAH/n/ww=")</f>
        <v>#VALUE!</v>
      </c>
      <c r="N87" t="e">
        <f>AND('UP133'!FO48,"AAAAAH/n/w0=")</f>
        <v>#VALUE!</v>
      </c>
      <c r="O87" t="e">
        <f>AND('UP133'!FP48,"AAAAAH/n/w4=")</f>
        <v>#VALUE!</v>
      </c>
      <c r="P87" t="e">
        <f>AND('UP133'!FQ48,"AAAAAH/n/w8=")</f>
        <v>#VALUE!</v>
      </c>
      <c r="Q87" t="e">
        <f>AND('UP133'!FR48,"AAAAAH/n/xA=")</f>
        <v>#VALUE!</v>
      </c>
      <c r="R87" t="e">
        <f>AND('UP133'!FS48,"AAAAAH/n/xE=")</f>
        <v>#VALUE!</v>
      </c>
      <c r="S87" t="e">
        <f>AND('UP133'!FT48,"AAAAAH/n/xI=")</f>
        <v>#VALUE!</v>
      </c>
      <c r="T87" t="e">
        <f>AND('UP133'!FU48,"AAAAAH/n/xM=")</f>
        <v>#VALUE!</v>
      </c>
      <c r="U87" t="e">
        <f>AND('UP133'!FV48,"AAAAAH/n/xQ=")</f>
        <v>#VALUE!</v>
      </c>
      <c r="V87" t="e">
        <f>AND('UP133'!FW48,"AAAAAH/n/xU=")</f>
        <v>#VALUE!</v>
      </c>
      <c r="W87" t="e">
        <f>AND('UP133'!FX48,"AAAAAH/n/xY=")</f>
        <v>#VALUE!</v>
      </c>
      <c r="X87" t="e">
        <f>AND('UP133'!FY48,"AAAAAH/n/xc=")</f>
        <v>#VALUE!</v>
      </c>
      <c r="Y87" t="e">
        <f>AND('UP133'!FZ48,"AAAAAH/n/xg=")</f>
        <v>#VALUE!</v>
      </c>
      <c r="Z87" t="e">
        <f>AND('UP133'!GA48,"AAAAAH/n/xk=")</f>
        <v>#VALUE!</v>
      </c>
      <c r="AA87" t="e">
        <f>AND('UP133'!GB48,"AAAAAH/n/xo=")</f>
        <v>#VALUE!</v>
      </c>
      <c r="AB87" t="e">
        <f>AND('UP133'!GC48,"AAAAAH/n/xs=")</f>
        <v>#VALUE!</v>
      </c>
      <c r="AC87" t="e">
        <f>AND('UP133'!GD48,"AAAAAH/n/xw=")</f>
        <v>#VALUE!</v>
      </c>
      <c r="AD87" t="e">
        <f>AND('UP133'!GE48,"AAAAAH/n/x0=")</f>
        <v>#VALUE!</v>
      </c>
      <c r="AE87" t="e">
        <f>AND('UP133'!GF48,"AAAAAH/n/x4=")</f>
        <v>#VALUE!</v>
      </c>
      <c r="AF87" t="e">
        <f>AND('UP133'!GG48,"AAAAAH/n/x8=")</f>
        <v>#VALUE!</v>
      </c>
      <c r="AG87" t="e">
        <f>AND('UP133'!GH48,"AAAAAH/n/yA=")</f>
        <v>#VALUE!</v>
      </c>
      <c r="AH87" t="e">
        <f>AND('UP133'!GI48,"AAAAAH/n/yE=")</f>
        <v>#VALUE!</v>
      </c>
      <c r="AI87" t="e">
        <f>AND('UP133'!GJ48,"AAAAAH/n/yI=")</f>
        <v>#VALUE!</v>
      </c>
      <c r="AJ87" t="e">
        <f>AND('UP133'!GK48,"AAAAAH/n/yM=")</f>
        <v>#VALUE!</v>
      </c>
      <c r="AK87" t="e">
        <f>AND('UP133'!GL48,"AAAAAH/n/yQ=")</f>
        <v>#VALUE!</v>
      </c>
      <c r="AL87" t="e">
        <f>AND('UP133'!GM48,"AAAAAH/n/yU=")</f>
        <v>#VALUE!</v>
      </c>
      <c r="AM87" t="e">
        <f>AND('UP133'!GN48,"AAAAAH/n/yY=")</f>
        <v>#VALUE!</v>
      </c>
      <c r="AN87" t="e">
        <f>AND('UP133'!GO48,"AAAAAH/n/yc=")</f>
        <v>#VALUE!</v>
      </c>
      <c r="AO87" t="e">
        <f>AND('UP133'!GP48,"AAAAAH/n/yg=")</f>
        <v>#VALUE!</v>
      </c>
      <c r="AP87" t="e">
        <f>AND('UP133'!GQ48,"AAAAAH/n/yk=")</f>
        <v>#VALUE!</v>
      </c>
      <c r="AQ87" t="e">
        <f>AND('UP133'!GR48,"AAAAAH/n/yo=")</f>
        <v>#VALUE!</v>
      </c>
      <c r="AR87" t="e">
        <f>AND('UP133'!GS48,"AAAAAH/n/ys=")</f>
        <v>#VALUE!</v>
      </c>
      <c r="AS87" t="e">
        <f>AND('UP133'!GT48,"AAAAAH/n/yw=")</f>
        <v>#VALUE!</v>
      </c>
      <c r="AT87" t="e">
        <f>AND('UP133'!GU48,"AAAAAH/n/y0=")</f>
        <v>#VALUE!</v>
      </c>
      <c r="AU87" t="e">
        <f>AND('UP133'!GV48,"AAAAAH/n/y4=")</f>
        <v>#VALUE!</v>
      </c>
      <c r="AV87" t="e">
        <f>AND('UP133'!GW48,"AAAAAH/n/y8=")</f>
        <v>#VALUE!</v>
      </c>
      <c r="AW87" t="e">
        <f>AND('UP133'!GX48,"AAAAAH/n/zA=")</f>
        <v>#VALUE!</v>
      </c>
      <c r="AX87" t="e">
        <f>AND('UP133'!GY48,"AAAAAH/n/zE=")</f>
        <v>#VALUE!</v>
      </c>
      <c r="AY87" t="e">
        <f>AND('UP133'!GZ48,"AAAAAH/n/zI=")</f>
        <v>#VALUE!</v>
      </c>
      <c r="AZ87" t="e">
        <f>AND('UP133'!HA48,"AAAAAH/n/zM=")</f>
        <v>#VALUE!</v>
      </c>
      <c r="BA87" t="e">
        <f>AND('UP133'!HB48,"AAAAAH/n/zQ=")</f>
        <v>#VALUE!</v>
      </c>
      <c r="BB87" t="e">
        <f>AND('UP133'!HC48,"AAAAAH/n/zU=")</f>
        <v>#VALUE!</v>
      </c>
      <c r="BC87" t="e">
        <f>AND('UP133'!HD48,"AAAAAH/n/zY=")</f>
        <v>#VALUE!</v>
      </c>
      <c r="BD87" t="e">
        <f>AND('UP133'!HE48,"AAAAAH/n/zc=")</f>
        <v>#VALUE!</v>
      </c>
      <c r="BE87" t="e">
        <f>AND('UP133'!HF48,"AAAAAH/n/zg=")</f>
        <v>#VALUE!</v>
      </c>
      <c r="BF87" t="e">
        <f>AND('UP133'!HG48,"AAAAAH/n/zk=")</f>
        <v>#VALUE!</v>
      </c>
      <c r="BG87" t="e">
        <f>AND('UP133'!HH48,"AAAAAH/n/zo=")</f>
        <v>#VALUE!</v>
      </c>
      <c r="BH87" t="e">
        <f>AND('UP133'!HI48,"AAAAAH/n/zs=")</f>
        <v>#VALUE!</v>
      </c>
      <c r="BI87" t="e">
        <f>AND('UP133'!HJ48,"AAAAAH/n/zw=")</f>
        <v>#VALUE!</v>
      </c>
      <c r="BJ87" t="e">
        <f>AND('UP133'!HK48,"AAAAAH/n/z0=")</f>
        <v>#VALUE!</v>
      </c>
      <c r="BK87" t="e">
        <f>AND('UP133'!HL48,"AAAAAH/n/z4=")</f>
        <v>#VALUE!</v>
      </c>
      <c r="BL87" t="e">
        <f>AND('UP133'!HM48,"AAAAAH/n/z8=")</f>
        <v>#VALUE!</v>
      </c>
      <c r="BM87" t="e">
        <f>AND('UP133'!HN48,"AAAAAH/n/0A=")</f>
        <v>#VALUE!</v>
      </c>
      <c r="BN87" t="e">
        <f>AND('UP133'!HO48,"AAAAAH/n/0E=")</f>
        <v>#VALUE!</v>
      </c>
      <c r="BO87" t="e">
        <f>AND('UP133'!HP48,"AAAAAH/n/0I=")</f>
        <v>#VALUE!</v>
      </c>
      <c r="BP87" t="e">
        <f>AND('UP133'!HQ48,"AAAAAH/n/0M=")</f>
        <v>#VALUE!</v>
      </c>
      <c r="BQ87" t="e">
        <f>AND('UP133'!HR48,"AAAAAH/n/0Q=")</f>
        <v>#VALUE!</v>
      </c>
      <c r="BR87" t="e">
        <f>AND('UP133'!HS48,"AAAAAH/n/0U=")</f>
        <v>#VALUE!</v>
      </c>
      <c r="BS87" t="e">
        <f>AND('UP133'!HT48,"AAAAAH/n/0Y=")</f>
        <v>#VALUE!</v>
      </c>
      <c r="BT87" t="e">
        <f>AND('UP133'!HU48,"AAAAAH/n/0c=")</f>
        <v>#VALUE!</v>
      </c>
      <c r="BU87" t="e">
        <f>AND('UP133'!HV48,"AAAAAH/n/0g=")</f>
        <v>#VALUE!</v>
      </c>
      <c r="BV87" t="e">
        <f>AND('UP133'!HW48,"AAAAAH/n/0k=")</f>
        <v>#VALUE!</v>
      </c>
      <c r="BW87" t="e">
        <f>AND('UP133'!HX48,"AAAAAH/n/0o=")</f>
        <v>#VALUE!</v>
      </c>
      <c r="BX87" t="e">
        <f>AND('UP133'!HY48,"AAAAAH/n/0s=")</f>
        <v>#VALUE!</v>
      </c>
      <c r="BY87" t="e">
        <f>AND('UP133'!HZ48,"AAAAAH/n/0w=")</f>
        <v>#VALUE!</v>
      </c>
      <c r="BZ87" t="e">
        <f>AND('UP133'!IA48,"AAAAAH/n/00=")</f>
        <v>#VALUE!</v>
      </c>
      <c r="CA87" t="e">
        <f>AND('UP133'!IB48,"AAAAAH/n/04=")</f>
        <v>#VALUE!</v>
      </c>
      <c r="CB87" t="e">
        <f>AND('UP133'!IC48,"AAAAAH/n/08=")</f>
        <v>#VALUE!</v>
      </c>
      <c r="CC87" t="e">
        <f>AND('UP133'!ID48,"AAAAAH/n/1A=")</f>
        <v>#VALUE!</v>
      </c>
      <c r="CD87" t="e">
        <f>AND('UP133'!IE48,"AAAAAH/n/1E=")</f>
        <v>#VALUE!</v>
      </c>
      <c r="CE87" t="e">
        <f>AND('UP133'!IF48,"AAAAAH/n/1I=")</f>
        <v>#VALUE!</v>
      </c>
      <c r="CF87" t="e">
        <f>AND('UP133'!IG48,"AAAAAH/n/1M=")</f>
        <v>#VALUE!</v>
      </c>
      <c r="CG87" t="e">
        <f>AND('UP133'!IH48,"AAAAAH/n/1Q=")</f>
        <v>#VALUE!</v>
      </c>
      <c r="CH87" t="e">
        <f>AND('UP133'!II48,"AAAAAH/n/1U=")</f>
        <v>#VALUE!</v>
      </c>
      <c r="CI87" t="e">
        <f>AND('UP133'!IJ48,"AAAAAH/n/1Y=")</f>
        <v>#VALUE!</v>
      </c>
      <c r="CJ87" t="e">
        <f>AND('UP133'!IK48,"AAAAAH/n/1c=")</f>
        <v>#VALUE!</v>
      </c>
      <c r="CK87" t="e">
        <f>AND('UP133'!IL48,"AAAAAH/n/1g=")</f>
        <v>#VALUE!</v>
      </c>
      <c r="CL87" t="e">
        <f>AND('UP133'!IM48,"AAAAAH/n/1k=")</f>
        <v>#VALUE!</v>
      </c>
      <c r="CM87" t="e">
        <f>AND('UP133'!IN48,"AAAAAH/n/1o=")</f>
        <v>#VALUE!</v>
      </c>
      <c r="CN87" t="e">
        <f>AND('UP133'!IO48,"AAAAAH/n/1s=")</f>
        <v>#VALUE!</v>
      </c>
      <c r="CO87" t="e">
        <f>AND('UP133'!IP48,"AAAAAH/n/1w=")</f>
        <v>#VALUE!</v>
      </c>
      <c r="CP87" t="e">
        <f>AND('UP133'!IQ48,"AAAAAH/n/10=")</f>
        <v>#VALUE!</v>
      </c>
      <c r="CQ87">
        <f>IF('UP133'!49:49,"AAAAAH/n/14=",0)</f>
        <v>0</v>
      </c>
      <c r="CR87" t="e">
        <f>AND('UP133'!A49,"AAAAAH/n/18=")</f>
        <v>#VALUE!</v>
      </c>
      <c r="CS87" t="e">
        <f>AND('UP133'!B49,"AAAAAH/n/2A=")</f>
        <v>#VALUE!</v>
      </c>
      <c r="CT87" t="e">
        <f>AND('UP133'!C49,"AAAAAH/n/2E=")</f>
        <v>#VALUE!</v>
      </c>
      <c r="CU87" t="e">
        <f>AND('UP133'!D49,"AAAAAH/n/2I=")</f>
        <v>#VALUE!</v>
      </c>
      <c r="CV87" t="e">
        <f>AND('UP133'!E49,"AAAAAH/n/2M=")</f>
        <v>#VALUE!</v>
      </c>
      <c r="CW87" t="e">
        <f>AND('UP133'!F49,"AAAAAH/n/2Q=")</f>
        <v>#VALUE!</v>
      </c>
      <c r="CX87" t="e">
        <f>AND('UP133'!G49,"AAAAAH/n/2U=")</f>
        <v>#VALUE!</v>
      </c>
      <c r="CY87" t="e">
        <f>AND('UP133'!H49,"AAAAAH/n/2Y=")</f>
        <v>#VALUE!</v>
      </c>
      <c r="CZ87" t="e">
        <f>AND('UP133'!I49,"AAAAAH/n/2c=")</f>
        <v>#VALUE!</v>
      </c>
      <c r="DA87" t="e">
        <f>AND('UP133'!J49,"AAAAAH/n/2g=")</f>
        <v>#VALUE!</v>
      </c>
      <c r="DB87" t="e">
        <f>AND('UP133'!K49,"AAAAAH/n/2k=")</f>
        <v>#VALUE!</v>
      </c>
      <c r="DC87" t="e">
        <f>AND('UP133'!L49,"AAAAAH/n/2o=")</f>
        <v>#VALUE!</v>
      </c>
      <c r="DD87" t="e">
        <f>AND('UP133'!M49,"AAAAAH/n/2s=")</f>
        <v>#VALUE!</v>
      </c>
      <c r="DE87" t="e">
        <f>AND('UP133'!N49,"AAAAAH/n/2w=")</f>
        <v>#VALUE!</v>
      </c>
      <c r="DF87" t="e">
        <f>AND('UP133'!O49,"AAAAAH/n/20=")</f>
        <v>#VALUE!</v>
      </c>
      <c r="DG87" t="e">
        <f>AND('UP133'!P49,"AAAAAH/n/24=")</f>
        <v>#VALUE!</v>
      </c>
      <c r="DH87" t="e">
        <f>AND('UP133'!Q49,"AAAAAH/n/28=")</f>
        <v>#VALUE!</v>
      </c>
      <c r="DI87" t="e">
        <f>AND('UP133'!R49,"AAAAAH/n/3A=")</f>
        <v>#VALUE!</v>
      </c>
      <c r="DJ87" t="e">
        <f>AND('UP133'!S49,"AAAAAH/n/3E=")</f>
        <v>#VALUE!</v>
      </c>
      <c r="DK87" t="e">
        <f>AND('UP133'!T49,"AAAAAH/n/3I=")</f>
        <v>#VALUE!</v>
      </c>
      <c r="DL87" t="e">
        <f>AND('UP133'!U49,"AAAAAH/n/3M=")</f>
        <v>#VALUE!</v>
      </c>
      <c r="DM87" t="e">
        <f>AND('UP133'!V49,"AAAAAH/n/3Q=")</f>
        <v>#VALUE!</v>
      </c>
      <c r="DN87" t="e">
        <f>AND('UP133'!W49,"AAAAAH/n/3U=")</f>
        <v>#VALUE!</v>
      </c>
      <c r="DO87" t="e">
        <f>AND('UP133'!X49,"AAAAAH/n/3Y=")</f>
        <v>#VALUE!</v>
      </c>
      <c r="DP87" t="e">
        <f>AND('UP133'!Y49,"AAAAAH/n/3c=")</f>
        <v>#VALUE!</v>
      </c>
      <c r="DQ87" t="e">
        <f>AND('UP133'!Z49,"AAAAAH/n/3g=")</f>
        <v>#VALUE!</v>
      </c>
      <c r="DR87" t="e">
        <f>AND('UP133'!AA49,"AAAAAH/n/3k=")</f>
        <v>#VALUE!</v>
      </c>
      <c r="DS87" t="e">
        <f>AND('UP133'!AB49,"AAAAAH/n/3o=")</f>
        <v>#VALUE!</v>
      </c>
      <c r="DT87" t="e">
        <f>AND('UP133'!AC49,"AAAAAH/n/3s=")</f>
        <v>#VALUE!</v>
      </c>
      <c r="DU87" t="e">
        <f>AND('UP133'!AD49,"AAAAAH/n/3w=")</f>
        <v>#VALUE!</v>
      </c>
      <c r="DV87" t="e">
        <f>AND('UP133'!AE49,"AAAAAH/n/30=")</f>
        <v>#VALUE!</v>
      </c>
      <c r="DW87" t="e">
        <f>AND('UP133'!AF49,"AAAAAH/n/34=")</f>
        <v>#VALUE!</v>
      </c>
      <c r="DX87" t="e">
        <f>AND('UP133'!AG49,"AAAAAH/n/38=")</f>
        <v>#VALUE!</v>
      </c>
      <c r="DY87" t="e">
        <f>AND('UP133'!AH49,"AAAAAH/n/4A=")</f>
        <v>#VALUE!</v>
      </c>
      <c r="DZ87" t="e">
        <f>AND('UP133'!AI49,"AAAAAH/n/4E=")</f>
        <v>#VALUE!</v>
      </c>
      <c r="EA87" t="e">
        <f>AND('UP133'!AJ49,"AAAAAH/n/4I=")</f>
        <v>#VALUE!</v>
      </c>
      <c r="EB87" t="e">
        <f>AND('UP133'!AK49,"AAAAAH/n/4M=")</f>
        <v>#VALUE!</v>
      </c>
      <c r="EC87" t="e">
        <f>AND('UP133'!AL49,"AAAAAH/n/4Q=")</f>
        <v>#VALUE!</v>
      </c>
      <c r="ED87" t="e">
        <f>AND('UP133'!AM49,"AAAAAH/n/4U=")</f>
        <v>#VALUE!</v>
      </c>
      <c r="EE87" t="e">
        <f>AND('UP133'!AN49,"AAAAAH/n/4Y=")</f>
        <v>#VALUE!</v>
      </c>
      <c r="EF87" t="e">
        <f>AND('UP133'!AO49,"AAAAAH/n/4c=")</f>
        <v>#VALUE!</v>
      </c>
      <c r="EG87" t="e">
        <f>AND('UP133'!AP49,"AAAAAH/n/4g=")</f>
        <v>#VALUE!</v>
      </c>
      <c r="EH87" t="e">
        <f>AND('UP133'!AQ49,"AAAAAH/n/4k=")</f>
        <v>#VALUE!</v>
      </c>
      <c r="EI87" t="e">
        <f>AND('UP133'!AR49,"AAAAAH/n/4o=")</f>
        <v>#VALUE!</v>
      </c>
      <c r="EJ87" t="e">
        <f>AND('UP133'!AS49,"AAAAAH/n/4s=")</f>
        <v>#VALUE!</v>
      </c>
      <c r="EK87" t="e">
        <f>AND('UP133'!AT49,"AAAAAH/n/4w=")</f>
        <v>#VALUE!</v>
      </c>
      <c r="EL87" t="e">
        <f>AND('UP133'!AU49,"AAAAAH/n/40=")</f>
        <v>#VALUE!</v>
      </c>
      <c r="EM87" t="e">
        <f>AND('UP133'!AV49,"AAAAAH/n/44=")</f>
        <v>#VALUE!</v>
      </c>
      <c r="EN87" t="e">
        <f>AND('UP133'!AW49,"AAAAAH/n/48=")</f>
        <v>#VALUE!</v>
      </c>
      <c r="EO87" t="e">
        <f>AND('UP133'!AX49,"AAAAAH/n/5A=")</f>
        <v>#VALUE!</v>
      </c>
      <c r="EP87" t="e">
        <f>AND('UP133'!AY49,"AAAAAH/n/5E=")</f>
        <v>#VALUE!</v>
      </c>
      <c r="EQ87" t="e">
        <f>AND('UP133'!AZ49,"AAAAAH/n/5I=")</f>
        <v>#VALUE!</v>
      </c>
      <c r="ER87" t="e">
        <f>AND('UP133'!BA49,"AAAAAH/n/5M=")</f>
        <v>#VALUE!</v>
      </c>
      <c r="ES87" t="e">
        <f>AND('UP133'!BB49,"AAAAAH/n/5Q=")</f>
        <v>#VALUE!</v>
      </c>
      <c r="ET87" t="e">
        <f>AND('UP133'!BC49,"AAAAAH/n/5U=")</f>
        <v>#VALUE!</v>
      </c>
      <c r="EU87" t="e">
        <f>AND('UP133'!BD49,"AAAAAH/n/5Y=")</f>
        <v>#VALUE!</v>
      </c>
      <c r="EV87" t="e">
        <f>AND('UP133'!BE49,"AAAAAH/n/5c=")</f>
        <v>#VALUE!</v>
      </c>
      <c r="EW87" t="e">
        <f>AND('UP133'!BF49,"AAAAAH/n/5g=")</f>
        <v>#VALUE!</v>
      </c>
      <c r="EX87" t="e">
        <f>AND('UP133'!BG49,"AAAAAH/n/5k=")</f>
        <v>#VALUE!</v>
      </c>
      <c r="EY87" t="e">
        <f>AND('UP133'!BH49,"AAAAAH/n/5o=")</f>
        <v>#VALUE!</v>
      </c>
      <c r="EZ87" t="e">
        <f>AND('UP133'!BI49,"AAAAAH/n/5s=")</f>
        <v>#VALUE!</v>
      </c>
      <c r="FA87" t="e">
        <f>AND('UP133'!BJ49,"AAAAAH/n/5w=")</f>
        <v>#VALUE!</v>
      </c>
      <c r="FB87" t="e">
        <f>AND('UP133'!BK49,"AAAAAH/n/50=")</f>
        <v>#VALUE!</v>
      </c>
      <c r="FC87" t="e">
        <f>AND('UP133'!BL49,"AAAAAH/n/54=")</f>
        <v>#VALUE!</v>
      </c>
      <c r="FD87" t="e">
        <f>AND('UP133'!BM49,"AAAAAH/n/58=")</f>
        <v>#VALUE!</v>
      </c>
      <c r="FE87" t="e">
        <f>AND('UP133'!BN49,"AAAAAH/n/6A=")</f>
        <v>#VALUE!</v>
      </c>
      <c r="FF87" t="e">
        <f>AND('UP133'!BO49,"AAAAAH/n/6E=")</f>
        <v>#VALUE!</v>
      </c>
      <c r="FG87" t="e">
        <f>AND('UP133'!BP49,"AAAAAH/n/6I=")</f>
        <v>#VALUE!</v>
      </c>
      <c r="FH87" t="e">
        <f>AND('UP133'!BQ49,"AAAAAH/n/6M=")</f>
        <v>#VALUE!</v>
      </c>
      <c r="FI87" t="e">
        <f>AND('UP133'!BR49,"AAAAAH/n/6Q=")</f>
        <v>#VALUE!</v>
      </c>
      <c r="FJ87" t="e">
        <f>AND('UP133'!BS49,"AAAAAH/n/6U=")</f>
        <v>#VALUE!</v>
      </c>
      <c r="FK87" t="e">
        <f>AND('UP133'!BT49,"AAAAAH/n/6Y=")</f>
        <v>#VALUE!</v>
      </c>
      <c r="FL87" t="e">
        <f>AND('UP133'!BU49,"AAAAAH/n/6c=")</f>
        <v>#VALUE!</v>
      </c>
      <c r="FM87" t="e">
        <f>AND('UP133'!BV49,"AAAAAH/n/6g=")</f>
        <v>#VALUE!</v>
      </c>
      <c r="FN87" t="e">
        <f>AND('UP133'!BW49,"AAAAAH/n/6k=")</f>
        <v>#VALUE!</v>
      </c>
      <c r="FO87" t="e">
        <f>AND('UP133'!BX49,"AAAAAH/n/6o=")</f>
        <v>#VALUE!</v>
      </c>
      <c r="FP87" t="e">
        <f>AND('UP133'!BY49,"AAAAAH/n/6s=")</f>
        <v>#VALUE!</v>
      </c>
      <c r="FQ87" t="e">
        <f>AND('UP133'!BZ49,"AAAAAH/n/6w=")</f>
        <v>#VALUE!</v>
      </c>
      <c r="FR87" t="e">
        <f>AND('UP133'!CA49,"AAAAAH/n/60=")</f>
        <v>#VALUE!</v>
      </c>
      <c r="FS87" t="e">
        <f>AND('UP133'!CB49,"AAAAAH/n/64=")</f>
        <v>#VALUE!</v>
      </c>
      <c r="FT87" t="e">
        <f>AND('UP133'!CC49,"AAAAAH/n/68=")</f>
        <v>#VALUE!</v>
      </c>
      <c r="FU87" t="e">
        <f>AND('UP133'!CD49,"AAAAAH/n/7A=")</f>
        <v>#VALUE!</v>
      </c>
      <c r="FV87" t="e">
        <f>AND('UP133'!CE49,"AAAAAH/n/7E=")</f>
        <v>#VALUE!</v>
      </c>
      <c r="FW87" t="e">
        <f>AND('UP133'!CF49,"AAAAAH/n/7I=")</f>
        <v>#VALUE!</v>
      </c>
      <c r="FX87" t="e">
        <f>AND('UP133'!CG49,"AAAAAH/n/7M=")</f>
        <v>#VALUE!</v>
      </c>
      <c r="FY87" t="e">
        <f>AND('UP133'!CH49,"AAAAAH/n/7Q=")</f>
        <v>#VALUE!</v>
      </c>
      <c r="FZ87" t="e">
        <f>AND('UP133'!CI49,"AAAAAH/n/7U=")</f>
        <v>#VALUE!</v>
      </c>
      <c r="GA87" t="e">
        <f>AND('UP133'!CJ49,"AAAAAH/n/7Y=")</f>
        <v>#VALUE!</v>
      </c>
      <c r="GB87" t="e">
        <f>AND('UP133'!CK49,"AAAAAH/n/7c=")</f>
        <v>#VALUE!</v>
      </c>
      <c r="GC87" t="e">
        <f>AND('UP133'!CL49,"AAAAAH/n/7g=")</f>
        <v>#VALUE!</v>
      </c>
      <c r="GD87" t="e">
        <f>AND('UP133'!CM49,"AAAAAH/n/7k=")</f>
        <v>#VALUE!</v>
      </c>
      <c r="GE87" t="e">
        <f>AND('UP133'!CN49,"AAAAAH/n/7o=")</f>
        <v>#VALUE!</v>
      </c>
      <c r="GF87" t="e">
        <f>AND('UP133'!CO49,"AAAAAH/n/7s=")</f>
        <v>#VALUE!</v>
      </c>
      <c r="GG87" t="e">
        <f>AND('UP133'!CP49,"AAAAAH/n/7w=")</f>
        <v>#VALUE!</v>
      </c>
      <c r="GH87" t="e">
        <f>AND('UP133'!CQ49,"AAAAAH/n/70=")</f>
        <v>#VALUE!</v>
      </c>
      <c r="GI87" t="e">
        <f>AND('UP133'!CR49,"AAAAAH/n/74=")</f>
        <v>#VALUE!</v>
      </c>
      <c r="GJ87" t="e">
        <f>AND('UP133'!CS49,"AAAAAH/n/78=")</f>
        <v>#VALUE!</v>
      </c>
      <c r="GK87" t="e">
        <f>AND('UP133'!CT49,"AAAAAH/n/8A=")</f>
        <v>#VALUE!</v>
      </c>
      <c r="GL87" t="e">
        <f>AND('UP133'!CU49,"AAAAAH/n/8E=")</f>
        <v>#VALUE!</v>
      </c>
      <c r="GM87" t="e">
        <f>AND('UP133'!CV49,"AAAAAH/n/8I=")</f>
        <v>#VALUE!</v>
      </c>
      <c r="GN87" t="e">
        <f>AND('UP133'!CW49,"AAAAAH/n/8M=")</f>
        <v>#VALUE!</v>
      </c>
      <c r="GO87" t="e">
        <f>AND('UP133'!CX49,"AAAAAH/n/8Q=")</f>
        <v>#VALUE!</v>
      </c>
      <c r="GP87" t="e">
        <f>AND('UP133'!CY49,"AAAAAH/n/8U=")</f>
        <v>#VALUE!</v>
      </c>
      <c r="GQ87" t="e">
        <f>AND('UP133'!CZ49,"AAAAAH/n/8Y=")</f>
        <v>#VALUE!</v>
      </c>
      <c r="GR87" t="e">
        <f>AND('UP133'!DA49,"AAAAAH/n/8c=")</f>
        <v>#VALUE!</v>
      </c>
      <c r="GS87" t="e">
        <f>AND('UP133'!DB49,"AAAAAH/n/8g=")</f>
        <v>#VALUE!</v>
      </c>
      <c r="GT87" t="e">
        <f>AND('UP133'!DC49,"AAAAAH/n/8k=")</f>
        <v>#VALUE!</v>
      </c>
      <c r="GU87" t="e">
        <f>AND('UP133'!DD49,"AAAAAH/n/8o=")</f>
        <v>#VALUE!</v>
      </c>
      <c r="GV87" t="e">
        <f>AND('UP133'!DE49,"AAAAAH/n/8s=")</f>
        <v>#VALUE!</v>
      </c>
      <c r="GW87" t="e">
        <f>AND('UP133'!DF49,"AAAAAH/n/8w=")</f>
        <v>#VALUE!</v>
      </c>
      <c r="GX87" t="e">
        <f>AND('UP133'!DG49,"AAAAAH/n/80=")</f>
        <v>#VALUE!</v>
      </c>
      <c r="GY87" t="e">
        <f>AND('UP133'!DH49,"AAAAAH/n/84=")</f>
        <v>#VALUE!</v>
      </c>
      <c r="GZ87" t="e">
        <f>AND('UP133'!DI49,"AAAAAH/n/88=")</f>
        <v>#VALUE!</v>
      </c>
      <c r="HA87" t="e">
        <f>AND('UP133'!DJ49,"AAAAAH/n/9A=")</f>
        <v>#VALUE!</v>
      </c>
      <c r="HB87" t="e">
        <f>AND('UP133'!DK49,"AAAAAH/n/9E=")</f>
        <v>#VALUE!</v>
      </c>
      <c r="HC87" t="e">
        <f>AND('UP133'!DL49,"AAAAAH/n/9I=")</f>
        <v>#VALUE!</v>
      </c>
      <c r="HD87" t="e">
        <f>AND('UP133'!DM49,"AAAAAH/n/9M=")</f>
        <v>#VALUE!</v>
      </c>
      <c r="HE87" t="e">
        <f>AND('UP133'!DN49,"AAAAAH/n/9Q=")</f>
        <v>#VALUE!</v>
      </c>
      <c r="HF87" t="e">
        <f>AND('UP133'!DO49,"AAAAAH/n/9U=")</f>
        <v>#VALUE!</v>
      </c>
      <c r="HG87" t="e">
        <f>AND('UP133'!DP49,"AAAAAH/n/9Y=")</f>
        <v>#VALUE!</v>
      </c>
      <c r="HH87" t="e">
        <f>AND('UP133'!DQ49,"AAAAAH/n/9c=")</f>
        <v>#VALUE!</v>
      </c>
      <c r="HI87" t="e">
        <f>AND('UP133'!DR49,"AAAAAH/n/9g=")</f>
        <v>#VALUE!</v>
      </c>
      <c r="HJ87" t="e">
        <f>AND('UP133'!DS49,"AAAAAH/n/9k=")</f>
        <v>#VALUE!</v>
      </c>
      <c r="HK87" t="e">
        <f>AND('UP133'!DT49,"AAAAAH/n/9o=")</f>
        <v>#VALUE!</v>
      </c>
      <c r="HL87" t="e">
        <f>AND('UP133'!DU49,"AAAAAH/n/9s=")</f>
        <v>#VALUE!</v>
      </c>
      <c r="HM87" t="e">
        <f>AND('UP133'!DV49,"AAAAAH/n/9w=")</f>
        <v>#VALUE!</v>
      </c>
      <c r="HN87" t="e">
        <f>AND('UP133'!DW49,"AAAAAH/n/90=")</f>
        <v>#VALUE!</v>
      </c>
      <c r="HO87" t="e">
        <f>AND('UP133'!DX49,"AAAAAH/n/94=")</f>
        <v>#VALUE!</v>
      </c>
      <c r="HP87" t="e">
        <f>AND('UP133'!DY49,"AAAAAH/n/98=")</f>
        <v>#VALUE!</v>
      </c>
      <c r="HQ87" t="e">
        <f>AND('UP133'!DZ49,"AAAAAH/n/+A=")</f>
        <v>#VALUE!</v>
      </c>
      <c r="HR87" t="e">
        <f>AND('UP133'!EA49,"AAAAAH/n/+E=")</f>
        <v>#VALUE!</v>
      </c>
      <c r="HS87" t="e">
        <f>AND('UP133'!EB49,"AAAAAH/n/+I=")</f>
        <v>#VALUE!</v>
      </c>
      <c r="HT87" t="e">
        <f>AND('UP133'!EC49,"AAAAAH/n/+M=")</f>
        <v>#VALUE!</v>
      </c>
      <c r="HU87" t="e">
        <f>AND('UP133'!ED49,"AAAAAH/n/+Q=")</f>
        <v>#VALUE!</v>
      </c>
      <c r="HV87" t="e">
        <f>AND('UP133'!EE49,"AAAAAH/n/+U=")</f>
        <v>#VALUE!</v>
      </c>
      <c r="HW87" t="e">
        <f>AND('UP133'!EF49,"AAAAAH/n/+Y=")</f>
        <v>#VALUE!</v>
      </c>
      <c r="HX87" t="e">
        <f>AND('UP133'!EG49,"AAAAAH/n/+c=")</f>
        <v>#VALUE!</v>
      </c>
      <c r="HY87" t="e">
        <f>AND('UP133'!EH49,"AAAAAH/n/+g=")</f>
        <v>#VALUE!</v>
      </c>
      <c r="HZ87" t="e">
        <f>AND('UP133'!EI49,"AAAAAH/n/+k=")</f>
        <v>#VALUE!</v>
      </c>
      <c r="IA87" t="e">
        <f>AND('UP133'!EJ49,"AAAAAH/n/+o=")</f>
        <v>#VALUE!</v>
      </c>
      <c r="IB87" t="e">
        <f>AND('UP133'!EK49,"AAAAAH/n/+s=")</f>
        <v>#VALUE!</v>
      </c>
      <c r="IC87" t="e">
        <f>AND('UP133'!EL49,"AAAAAH/n/+w=")</f>
        <v>#VALUE!</v>
      </c>
      <c r="ID87" t="e">
        <f>AND('UP133'!EM49,"AAAAAH/n/+0=")</f>
        <v>#VALUE!</v>
      </c>
      <c r="IE87" t="e">
        <f>AND('UP133'!EN49,"AAAAAH/n/+4=")</f>
        <v>#VALUE!</v>
      </c>
      <c r="IF87" t="e">
        <f>AND('UP133'!EO49,"AAAAAH/n/+8=")</f>
        <v>#VALUE!</v>
      </c>
      <c r="IG87" t="e">
        <f>AND('UP133'!EP49,"AAAAAH/n//A=")</f>
        <v>#VALUE!</v>
      </c>
      <c r="IH87" t="e">
        <f>AND('UP133'!EQ49,"AAAAAH/n//E=")</f>
        <v>#VALUE!</v>
      </c>
      <c r="II87" t="e">
        <f>AND('UP133'!ER49,"AAAAAH/n//I=")</f>
        <v>#VALUE!</v>
      </c>
      <c r="IJ87" t="e">
        <f>AND('UP133'!ES49,"AAAAAH/n//M=")</f>
        <v>#VALUE!</v>
      </c>
      <c r="IK87" t="e">
        <f>AND('UP133'!ET49,"AAAAAH/n//Q=")</f>
        <v>#VALUE!</v>
      </c>
      <c r="IL87" t="e">
        <f>AND('UP133'!EU49,"AAAAAH/n//U=")</f>
        <v>#VALUE!</v>
      </c>
      <c r="IM87" t="e">
        <f>AND('UP133'!EV49,"AAAAAH/n//Y=")</f>
        <v>#VALUE!</v>
      </c>
      <c r="IN87" t="e">
        <f>AND('UP133'!EW49,"AAAAAH/n//c=")</f>
        <v>#VALUE!</v>
      </c>
      <c r="IO87" t="e">
        <f>AND('UP133'!EX49,"AAAAAH/n//g=")</f>
        <v>#VALUE!</v>
      </c>
      <c r="IP87" t="e">
        <f>AND('UP133'!EY49,"AAAAAH/n//k=")</f>
        <v>#VALUE!</v>
      </c>
      <c r="IQ87" t="e">
        <f>AND('UP133'!EZ49,"AAAAAH/n//o=")</f>
        <v>#VALUE!</v>
      </c>
      <c r="IR87" t="e">
        <f>AND('UP133'!FA49,"AAAAAH/n//s=")</f>
        <v>#VALUE!</v>
      </c>
      <c r="IS87" t="e">
        <f>AND('UP133'!FB49,"AAAAAH/n//w=")</f>
        <v>#VALUE!</v>
      </c>
      <c r="IT87" t="e">
        <f>AND('UP133'!FC49,"AAAAAH/n//0=")</f>
        <v>#VALUE!</v>
      </c>
      <c r="IU87" t="e">
        <f>AND('UP133'!FD49,"AAAAAH/n//4=")</f>
        <v>#VALUE!</v>
      </c>
      <c r="IV87" t="e">
        <f>AND('UP133'!FE49,"AAAAAH/n//8=")</f>
        <v>#VALUE!</v>
      </c>
    </row>
    <row r="88" spans="1:256">
      <c r="A88" t="e">
        <f>AND('UP133'!FF49,"AAAAAH6fzAA=")</f>
        <v>#VALUE!</v>
      </c>
      <c r="B88" t="e">
        <f>AND('UP133'!FG49,"AAAAAH6fzAE=")</f>
        <v>#VALUE!</v>
      </c>
      <c r="C88" t="e">
        <f>AND('UP133'!FH49,"AAAAAH6fzAI=")</f>
        <v>#VALUE!</v>
      </c>
      <c r="D88" t="e">
        <f>AND('UP133'!FI49,"AAAAAH6fzAM=")</f>
        <v>#VALUE!</v>
      </c>
      <c r="E88" t="e">
        <f>AND('UP133'!FJ49,"AAAAAH6fzAQ=")</f>
        <v>#VALUE!</v>
      </c>
      <c r="F88" t="e">
        <f>AND('UP133'!FK49,"AAAAAH6fzAU=")</f>
        <v>#VALUE!</v>
      </c>
      <c r="G88" t="e">
        <f>AND('UP133'!FL49,"AAAAAH6fzAY=")</f>
        <v>#VALUE!</v>
      </c>
      <c r="H88" t="e">
        <f>AND('UP133'!FM49,"AAAAAH6fzAc=")</f>
        <v>#VALUE!</v>
      </c>
      <c r="I88" t="e">
        <f>AND('UP133'!FN49,"AAAAAH6fzAg=")</f>
        <v>#VALUE!</v>
      </c>
      <c r="J88" t="e">
        <f>AND('UP133'!FO49,"AAAAAH6fzAk=")</f>
        <v>#VALUE!</v>
      </c>
      <c r="K88" t="e">
        <f>AND('UP133'!FP49,"AAAAAH6fzAo=")</f>
        <v>#VALUE!</v>
      </c>
      <c r="L88" t="e">
        <f>AND('UP133'!FQ49,"AAAAAH6fzAs=")</f>
        <v>#VALUE!</v>
      </c>
      <c r="M88" t="e">
        <f>AND('UP133'!FR49,"AAAAAH6fzAw=")</f>
        <v>#VALUE!</v>
      </c>
      <c r="N88" t="e">
        <f>AND('UP133'!FS49,"AAAAAH6fzA0=")</f>
        <v>#VALUE!</v>
      </c>
      <c r="O88" t="e">
        <f>AND('UP133'!FT49,"AAAAAH6fzA4=")</f>
        <v>#VALUE!</v>
      </c>
      <c r="P88" t="e">
        <f>AND('UP133'!FU49,"AAAAAH6fzA8=")</f>
        <v>#VALUE!</v>
      </c>
      <c r="Q88" t="e">
        <f>AND('UP133'!FV49,"AAAAAH6fzBA=")</f>
        <v>#VALUE!</v>
      </c>
      <c r="R88" t="e">
        <f>AND('UP133'!FW49,"AAAAAH6fzBE=")</f>
        <v>#VALUE!</v>
      </c>
      <c r="S88" t="e">
        <f>AND('UP133'!FX49,"AAAAAH6fzBI=")</f>
        <v>#VALUE!</v>
      </c>
      <c r="T88" t="e">
        <f>AND('UP133'!FY49,"AAAAAH6fzBM=")</f>
        <v>#VALUE!</v>
      </c>
      <c r="U88" t="e">
        <f>AND('UP133'!FZ49,"AAAAAH6fzBQ=")</f>
        <v>#VALUE!</v>
      </c>
      <c r="V88" t="e">
        <f>AND('UP133'!GA49,"AAAAAH6fzBU=")</f>
        <v>#VALUE!</v>
      </c>
      <c r="W88" t="e">
        <f>AND('UP133'!GB49,"AAAAAH6fzBY=")</f>
        <v>#VALUE!</v>
      </c>
      <c r="X88" t="e">
        <f>AND('UP133'!GC49,"AAAAAH6fzBc=")</f>
        <v>#VALUE!</v>
      </c>
      <c r="Y88" t="e">
        <f>AND('UP133'!GD49,"AAAAAH6fzBg=")</f>
        <v>#VALUE!</v>
      </c>
      <c r="Z88" t="e">
        <f>AND('UP133'!GE49,"AAAAAH6fzBk=")</f>
        <v>#VALUE!</v>
      </c>
      <c r="AA88" t="e">
        <f>AND('UP133'!GF49,"AAAAAH6fzBo=")</f>
        <v>#VALUE!</v>
      </c>
      <c r="AB88" t="e">
        <f>AND('UP133'!GG49,"AAAAAH6fzBs=")</f>
        <v>#VALUE!</v>
      </c>
      <c r="AC88" t="e">
        <f>AND('UP133'!GH49,"AAAAAH6fzBw=")</f>
        <v>#VALUE!</v>
      </c>
      <c r="AD88" t="e">
        <f>AND('UP133'!GI49,"AAAAAH6fzB0=")</f>
        <v>#VALUE!</v>
      </c>
      <c r="AE88" t="e">
        <f>AND('UP133'!GJ49,"AAAAAH6fzB4=")</f>
        <v>#VALUE!</v>
      </c>
      <c r="AF88" t="e">
        <f>AND('UP133'!GK49,"AAAAAH6fzB8=")</f>
        <v>#VALUE!</v>
      </c>
      <c r="AG88" t="e">
        <f>AND('UP133'!GL49,"AAAAAH6fzCA=")</f>
        <v>#VALUE!</v>
      </c>
      <c r="AH88" t="e">
        <f>AND('UP133'!GM49,"AAAAAH6fzCE=")</f>
        <v>#VALUE!</v>
      </c>
      <c r="AI88" t="e">
        <f>AND('UP133'!GN49,"AAAAAH6fzCI=")</f>
        <v>#VALUE!</v>
      </c>
      <c r="AJ88" t="e">
        <f>AND('UP133'!GO49,"AAAAAH6fzCM=")</f>
        <v>#VALUE!</v>
      </c>
      <c r="AK88" t="e">
        <f>AND('UP133'!GP49,"AAAAAH6fzCQ=")</f>
        <v>#VALUE!</v>
      </c>
      <c r="AL88" t="e">
        <f>AND('UP133'!GQ49,"AAAAAH6fzCU=")</f>
        <v>#VALUE!</v>
      </c>
      <c r="AM88" t="e">
        <f>AND('UP133'!GR49,"AAAAAH6fzCY=")</f>
        <v>#VALUE!</v>
      </c>
      <c r="AN88" t="e">
        <f>AND('UP133'!GS49,"AAAAAH6fzCc=")</f>
        <v>#VALUE!</v>
      </c>
      <c r="AO88" t="e">
        <f>AND('UP133'!GT49,"AAAAAH6fzCg=")</f>
        <v>#VALUE!</v>
      </c>
      <c r="AP88" t="e">
        <f>AND('UP133'!GU49,"AAAAAH6fzCk=")</f>
        <v>#VALUE!</v>
      </c>
      <c r="AQ88" t="e">
        <f>AND('UP133'!GV49,"AAAAAH6fzCo=")</f>
        <v>#VALUE!</v>
      </c>
      <c r="AR88" t="e">
        <f>AND('UP133'!GW49,"AAAAAH6fzCs=")</f>
        <v>#VALUE!</v>
      </c>
      <c r="AS88" t="e">
        <f>AND('UP133'!GX49,"AAAAAH6fzCw=")</f>
        <v>#VALUE!</v>
      </c>
      <c r="AT88" t="e">
        <f>AND('UP133'!GY49,"AAAAAH6fzC0=")</f>
        <v>#VALUE!</v>
      </c>
      <c r="AU88" t="e">
        <f>AND('UP133'!GZ49,"AAAAAH6fzC4=")</f>
        <v>#VALUE!</v>
      </c>
      <c r="AV88" t="e">
        <f>AND('UP133'!HA49,"AAAAAH6fzC8=")</f>
        <v>#VALUE!</v>
      </c>
      <c r="AW88" t="e">
        <f>AND('UP133'!HB49,"AAAAAH6fzDA=")</f>
        <v>#VALUE!</v>
      </c>
      <c r="AX88" t="e">
        <f>AND('UP133'!HC49,"AAAAAH6fzDE=")</f>
        <v>#VALUE!</v>
      </c>
      <c r="AY88" t="e">
        <f>AND('UP133'!HD49,"AAAAAH6fzDI=")</f>
        <v>#VALUE!</v>
      </c>
      <c r="AZ88" t="e">
        <f>AND('UP133'!HE49,"AAAAAH6fzDM=")</f>
        <v>#VALUE!</v>
      </c>
      <c r="BA88" t="e">
        <f>AND('UP133'!HF49,"AAAAAH6fzDQ=")</f>
        <v>#VALUE!</v>
      </c>
      <c r="BB88" t="e">
        <f>AND('UP133'!HG49,"AAAAAH6fzDU=")</f>
        <v>#VALUE!</v>
      </c>
      <c r="BC88" t="e">
        <f>AND('UP133'!HH49,"AAAAAH6fzDY=")</f>
        <v>#VALUE!</v>
      </c>
      <c r="BD88" t="e">
        <f>AND('UP133'!HI49,"AAAAAH6fzDc=")</f>
        <v>#VALUE!</v>
      </c>
      <c r="BE88" t="e">
        <f>AND('UP133'!HJ49,"AAAAAH6fzDg=")</f>
        <v>#VALUE!</v>
      </c>
      <c r="BF88" t="e">
        <f>AND('UP133'!HK49,"AAAAAH6fzDk=")</f>
        <v>#VALUE!</v>
      </c>
      <c r="BG88" t="e">
        <f>AND('UP133'!HL49,"AAAAAH6fzDo=")</f>
        <v>#VALUE!</v>
      </c>
      <c r="BH88" t="e">
        <f>AND('UP133'!HM49,"AAAAAH6fzDs=")</f>
        <v>#VALUE!</v>
      </c>
      <c r="BI88" t="e">
        <f>AND('UP133'!HN49,"AAAAAH6fzDw=")</f>
        <v>#VALUE!</v>
      </c>
      <c r="BJ88" t="e">
        <f>AND('UP133'!HO49,"AAAAAH6fzD0=")</f>
        <v>#VALUE!</v>
      </c>
      <c r="BK88" t="e">
        <f>AND('UP133'!HP49,"AAAAAH6fzD4=")</f>
        <v>#VALUE!</v>
      </c>
      <c r="BL88" t="e">
        <f>AND('UP133'!HQ49,"AAAAAH6fzD8=")</f>
        <v>#VALUE!</v>
      </c>
      <c r="BM88" t="e">
        <f>AND('UP133'!HR49,"AAAAAH6fzEA=")</f>
        <v>#VALUE!</v>
      </c>
      <c r="BN88" t="e">
        <f>AND('UP133'!HS49,"AAAAAH6fzEE=")</f>
        <v>#VALUE!</v>
      </c>
      <c r="BO88" t="e">
        <f>AND('UP133'!HT49,"AAAAAH6fzEI=")</f>
        <v>#VALUE!</v>
      </c>
      <c r="BP88" t="e">
        <f>AND('UP133'!HU49,"AAAAAH6fzEM=")</f>
        <v>#VALUE!</v>
      </c>
      <c r="BQ88" t="e">
        <f>AND('UP133'!HV49,"AAAAAH6fzEQ=")</f>
        <v>#VALUE!</v>
      </c>
      <c r="BR88" t="e">
        <f>AND('UP133'!HW49,"AAAAAH6fzEU=")</f>
        <v>#VALUE!</v>
      </c>
      <c r="BS88" t="e">
        <f>AND('UP133'!HX49,"AAAAAH6fzEY=")</f>
        <v>#VALUE!</v>
      </c>
      <c r="BT88" t="e">
        <f>AND('UP133'!HY49,"AAAAAH6fzEc=")</f>
        <v>#VALUE!</v>
      </c>
      <c r="BU88" t="e">
        <f>AND('UP133'!HZ49,"AAAAAH6fzEg=")</f>
        <v>#VALUE!</v>
      </c>
      <c r="BV88" t="e">
        <f>AND('UP133'!IA49,"AAAAAH6fzEk=")</f>
        <v>#VALUE!</v>
      </c>
      <c r="BW88" t="e">
        <f>AND('UP133'!IB49,"AAAAAH6fzEo=")</f>
        <v>#VALUE!</v>
      </c>
      <c r="BX88" t="e">
        <f>AND('UP133'!IC49,"AAAAAH6fzEs=")</f>
        <v>#VALUE!</v>
      </c>
      <c r="BY88" t="e">
        <f>AND('UP133'!ID49,"AAAAAH6fzEw=")</f>
        <v>#VALUE!</v>
      </c>
      <c r="BZ88" t="e">
        <f>AND('UP133'!IE49,"AAAAAH6fzE0=")</f>
        <v>#VALUE!</v>
      </c>
      <c r="CA88" t="e">
        <f>AND('UP133'!IF49,"AAAAAH6fzE4=")</f>
        <v>#VALUE!</v>
      </c>
      <c r="CB88" t="e">
        <f>AND('UP133'!IG49,"AAAAAH6fzE8=")</f>
        <v>#VALUE!</v>
      </c>
      <c r="CC88" t="e">
        <f>AND('UP133'!IH49,"AAAAAH6fzFA=")</f>
        <v>#VALUE!</v>
      </c>
      <c r="CD88" t="e">
        <f>AND('UP133'!II49,"AAAAAH6fzFE=")</f>
        <v>#VALUE!</v>
      </c>
      <c r="CE88" t="e">
        <f>AND('UP133'!IJ49,"AAAAAH6fzFI=")</f>
        <v>#VALUE!</v>
      </c>
      <c r="CF88" t="e">
        <f>AND('UP133'!IK49,"AAAAAH6fzFM=")</f>
        <v>#VALUE!</v>
      </c>
      <c r="CG88" t="e">
        <f>AND('UP133'!IL49,"AAAAAH6fzFQ=")</f>
        <v>#VALUE!</v>
      </c>
      <c r="CH88" t="e">
        <f>AND('UP133'!IM49,"AAAAAH6fzFU=")</f>
        <v>#VALUE!</v>
      </c>
      <c r="CI88" t="e">
        <f>AND('UP133'!IN49,"AAAAAH6fzFY=")</f>
        <v>#VALUE!</v>
      </c>
      <c r="CJ88" t="e">
        <f>AND('UP133'!IO49,"AAAAAH6fzFc=")</f>
        <v>#VALUE!</v>
      </c>
      <c r="CK88" t="e">
        <f>AND('UP133'!IP49,"AAAAAH6fzFg=")</f>
        <v>#VALUE!</v>
      </c>
      <c r="CL88" t="e">
        <f>AND('UP133'!IQ49,"AAAAAH6fzFk=")</f>
        <v>#VALUE!</v>
      </c>
      <c r="CM88">
        <f>IF('UP133'!50:50,"AAAAAH6fzFo=",0)</f>
        <v>0</v>
      </c>
      <c r="CN88" t="e">
        <f>AND('UP133'!A50,"AAAAAH6fzFs=")</f>
        <v>#VALUE!</v>
      </c>
      <c r="CO88" t="e">
        <f>AND('UP133'!B50,"AAAAAH6fzFw=")</f>
        <v>#VALUE!</v>
      </c>
      <c r="CP88" t="e">
        <f>AND('UP133'!C50,"AAAAAH6fzF0=")</f>
        <v>#VALUE!</v>
      </c>
      <c r="CQ88" t="e">
        <f>AND('UP133'!D50,"AAAAAH6fzF4=")</f>
        <v>#VALUE!</v>
      </c>
      <c r="CR88" t="e">
        <f>AND('UP133'!E50,"AAAAAH6fzF8=")</f>
        <v>#VALUE!</v>
      </c>
      <c r="CS88" t="e">
        <f>AND('UP133'!F50,"AAAAAH6fzGA=")</f>
        <v>#VALUE!</v>
      </c>
      <c r="CT88" t="e">
        <f>AND('UP133'!G50,"AAAAAH6fzGE=")</f>
        <v>#VALUE!</v>
      </c>
      <c r="CU88" t="e">
        <f>AND('UP133'!H50,"AAAAAH6fzGI=")</f>
        <v>#VALUE!</v>
      </c>
      <c r="CV88" t="e">
        <f>AND('UP133'!I50,"AAAAAH6fzGM=")</f>
        <v>#VALUE!</v>
      </c>
      <c r="CW88" t="e">
        <f>AND('UP133'!J50,"AAAAAH6fzGQ=")</f>
        <v>#VALUE!</v>
      </c>
      <c r="CX88" t="e">
        <f>AND('UP133'!K50,"AAAAAH6fzGU=")</f>
        <v>#VALUE!</v>
      </c>
      <c r="CY88" t="e">
        <f>AND('UP133'!L50,"AAAAAH6fzGY=")</f>
        <v>#VALUE!</v>
      </c>
      <c r="CZ88" t="e">
        <f>AND('UP133'!M50,"AAAAAH6fzGc=")</f>
        <v>#VALUE!</v>
      </c>
      <c r="DA88" t="e">
        <f>AND('UP133'!N50,"AAAAAH6fzGg=")</f>
        <v>#VALUE!</v>
      </c>
      <c r="DB88" t="e">
        <f>AND('UP133'!O50,"AAAAAH6fzGk=")</f>
        <v>#VALUE!</v>
      </c>
      <c r="DC88" t="e">
        <f>AND('UP133'!P50,"AAAAAH6fzGo=")</f>
        <v>#VALUE!</v>
      </c>
      <c r="DD88" t="e">
        <f>AND('UP133'!Q50,"AAAAAH6fzGs=")</f>
        <v>#VALUE!</v>
      </c>
      <c r="DE88" t="e">
        <f>AND('UP133'!R50,"AAAAAH6fzGw=")</f>
        <v>#VALUE!</v>
      </c>
      <c r="DF88" t="e">
        <f>AND('UP133'!S50,"AAAAAH6fzG0=")</f>
        <v>#VALUE!</v>
      </c>
      <c r="DG88" t="e">
        <f>AND('UP133'!T50,"AAAAAH6fzG4=")</f>
        <v>#VALUE!</v>
      </c>
      <c r="DH88" t="e">
        <f>AND('UP133'!U50,"AAAAAH6fzG8=")</f>
        <v>#VALUE!</v>
      </c>
      <c r="DI88" t="e">
        <f>AND('UP133'!V50,"AAAAAH6fzHA=")</f>
        <v>#VALUE!</v>
      </c>
      <c r="DJ88" t="e">
        <f>AND('UP133'!W50,"AAAAAH6fzHE=")</f>
        <v>#VALUE!</v>
      </c>
      <c r="DK88" t="e">
        <f>AND('UP133'!X50,"AAAAAH6fzHI=")</f>
        <v>#VALUE!</v>
      </c>
      <c r="DL88" t="e">
        <f>AND('UP133'!Y50,"AAAAAH6fzHM=")</f>
        <v>#VALUE!</v>
      </c>
      <c r="DM88" t="e">
        <f>AND('UP133'!Z50,"AAAAAH6fzHQ=")</f>
        <v>#VALUE!</v>
      </c>
      <c r="DN88" t="e">
        <f>AND('UP133'!AA50,"AAAAAH6fzHU=")</f>
        <v>#VALUE!</v>
      </c>
      <c r="DO88" t="e">
        <f>AND('UP133'!AB50,"AAAAAH6fzHY=")</f>
        <v>#VALUE!</v>
      </c>
      <c r="DP88" t="e">
        <f>AND('UP133'!AC50,"AAAAAH6fzHc=")</f>
        <v>#VALUE!</v>
      </c>
      <c r="DQ88" t="e">
        <f>AND('UP133'!AD50,"AAAAAH6fzHg=")</f>
        <v>#VALUE!</v>
      </c>
      <c r="DR88" t="e">
        <f>AND('UP133'!AE50,"AAAAAH6fzHk=")</f>
        <v>#VALUE!</v>
      </c>
      <c r="DS88" t="e">
        <f>AND('UP133'!AF50,"AAAAAH6fzHo=")</f>
        <v>#VALUE!</v>
      </c>
      <c r="DT88" t="e">
        <f>AND('UP133'!AG50,"AAAAAH6fzHs=")</f>
        <v>#VALUE!</v>
      </c>
      <c r="DU88" t="e">
        <f>AND('UP133'!AH50,"AAAAAH6fzHw=")</f>
        <v>#VALUE!</v>
      </c>
      <c r="DV88" t="e">
        <f>AND('UP133'!AI50,"AAAAAH6fzH0=")</f>
        <v>#VALUE!</v>
      </c>
      <c r="DW88" t="e">
        <f>AND('UP133'!AJ50,"AAAAAH6fzH4=")</f>
        <v>#VALUE!</v>
      </c>
      <c r="DX88" t="e">
        <f>AND('UP133'!AK50,"AAAAAH6fzH8=")</f>
        <v>#VALUE!</v>
      </c>
      <c r="DY88" t="e">
        <f>AND('UP133'!AL50,"AAAAAH6fzIA=")</f>
        <v>#VALUE!</v>
      </c>
      <c r="DZ88" t="e">
        <f>AND('UP133'!AM50,"AAAAAH6fzIE=")</f>
        <v>#VALUE!</v>
      </c>
      <c r="EA88" t="e">
        <f>AND('UP133'!AN50,"AAAAAH6fzII=")</f>
        <v>#VALUE!</v>
      </c>
      <c r="EB88" t="e">
        <f>AND('UP133'!AO50,"AAAAAH6fzIM=")</f>
        <v>#VALUE!</v>
      </c>
      <c r="EC88" t="e">
        <f>AND('UP133'!AP50,"AAAAAH6fzIQ=")</f>
        <v>#VALUE!</v>
      </c>
      <c r="ED88" t="e">
        <f>AND('UP133'!AQ50,"AAAAAH6fzIU=")</f>
        <v>#VALUE!</v>
      </c>
      <c r="EE88" t="e">
        <f>AND('UP133'!AR50,"AAAAAH6fzIY=")</f>
        <v>#VALUE!</v>
      </c>
      <c r="EF88" t="e">
        <f>AND('UP133'!AS50,"AAAAAH6fzIc=")</f>
        <v>#VALUE!</v>
      </c>
      <c r="EG88" t="e">
        <f>AND('UP133'!AT50,"AAAAAH6fzIg=")</f>
        <v>#VALUE!</v>
      </c>
      <c r="EH88" t="e">
        <f>AND('UP133'!AU50,"AAAAAH6fzIk=")</f>
        <v>#VALUE!</v>
      </c>
      <c r="EI88" t="e">
        <f>AND('UP133'!AV50,"AAAAAH6fzIo=")</f>
        <v>#VALUE!</v>
      </c>
      <c r="EJ88" t="e">
        <f>AND('UP133'!AW50,"AAAAAH6fzIs=")</f>
        <v>#VALUE!</v>
      </c>
      <c r="EK88" t="e">
        <f>AND('UP133'!AX50,"AAAAAH6fzIw=")</f>
        <v>#VALUE!</v>
      </c>
      <c r="EL88" t="e">
        <f>AND('UP133'!AY50,"AAAAAH6fzI0=")</f>
        <v>#VALUE!</v>
      </c>
      <c r="EM88" t="e">
        <f>AND('UP133'!AZ50,"AAAAAH6fzI4=")</f>
        <v>#VALUE!</v>
      </c>
      <c r="EN88" t="e">
        <f>AND('UP133'!BA50,"AAAAAH6fzI8=")</f>
        <v>#VALUE!</v>
      </c>
      <c r="EO88" t="e">
        <f>AND('UP133'!BB50,"AAAAAH6fzJA=")</f>
        <v>#VALUE!</v>
      </c>
      <c r="EP88" t="e">
        <f>AND('UP133'!BC50,"AAAAAH6fzJE=")</f>
        <v>#VALUE!</v>
      </c>
      <c r="EQ88" t="e">
        <f>AND('UP133'!BD50,"AAAAAH6fzJI=")</f>
        <v>#VALUE!</v>
      </c>
      <c r="ER88" t="e">
        <f>AND('UP133'!BE50,"AAAAAH6fzJM=")</f>
        <v>#VALUE!</v>
      </c>
      <c r="ES88" t="e">
        <f>AND('UP133'!BF50,"AAAAAH6fzJQ=")</f>
        <v>#VALUE!</v>
      </c>
      <c r="ET88" t="e">
        <f>AND('UP133'!BG50,"AAAAAH6fzJU=")</f>
        <v>#VALUE!</v>
      </c>
      <c r="EU88" t="e">
        <f>AND('UP133'!BH50,"AAAAAH6fzJY=")</f>
        <v>#VALUE!</v>
      </c>
      <c r="EV88" t="e">
        <f>AND('UP133'!BI50,"AAAAAH6fzJc=")</f>
        <v>#VALUE!</v>
      </c>
      <c r="EW88" t="e">
        <f>AND('UP133'!BJ50,"AAAAAH6fzJg=")</f>
        <v>#VALUE!</v>
      </c>
      <c r="EX88" t="e">
        <f>AND('UP133'!BK50,"AAAAAH6fzJk=")</f>
        <v>#VALUE!</v>
      </c>
      <c r="EY88" t="e">
        <f>AND('UP133'!BL50,"AAAAAH6fzJo=")</f>
        <v>#VALUE!</v>
      </c>
      <c r="EZ88" t="e">
        <f>AND('UP133'!BM50,"AAAAAH6fzJs=")</f>
        <v>#VALUE!</v>
      </c>
      <c r="FA88" t="e">
        <f>AND('UP133'!BN50,"AAAAAH6fzJw=")</f>
        <v>#VALUE!</v>
      </c>
      <c r="FB88" t="e">
        <f>AND('UP133'!BO50,"AAAAAH6fzJ0=")</f>
        <v>#VALUE!</v>
      </c>
      <c r="FC88" t="e">
        <f>AND('UP133'!BP50,"AAAAAH6fzJ4=")</f>
        <v>#VALUE!</v>
      </c>
      <c r="FD88" t="e">
        <f>AND('UP133'!BQ50,"AAAAAH6fzJ8=")</f>
        <v>#VALUE!</v>
      </c>
      <c r="FE88" t="e">
        <f>AND('UP133'!BR50,"AAAAAH6fzKA=")</f>
        <v>#VALUE!</v>
      </c>
      <c r="FF88" t="e">
        <f>AND('UP133'!BS50,"AAAAAH6fzKE=")</f>
        <v>#VALUE!</v>
      </c>
      <c r="FG88" t="e">
        <f>AND('UP133'!BT50,"AAAAAH6fzKI=")</f>
        <v>#VALUE!</v>
      </c>
      <c r="FH88" t="e">
        <f>AND('UP133'!BU50,"AAAAAH6fzKM=")</f>
        <v>#VALUE!</v>
      </c>
      <c r="FI88" t="e">
        <f>AND('UP133'!BV50,"AAAAAH6fzKQ=")</f>
        <v>#VALUE!</v>
      </c>
      <c r="FJ88" t="e">
        <f>AND('UP133'!BW50,"AAAAAH6fzKU=")</f>
        <v>#VALUE!</v>
      </c>
      <c r="FK88" t="e">
        <f>AND('UP133'!BX50,"AAAAAH6fzKY=")</f>
        <v>#VALUE!</v>
      </c>
      <c r="FL88" t="e">
        <f>AND('UP133'!BY50,"AAAAAH6fzKc=")</f>
        <v>#VALUE!</v>
      </c>
      <c r="FM88" t="e">
        <f>AND('UP133'!BZ50,"AAAAAH6fzKg=")</f>
        <v>#VALUE!</v>
      </c>
      <c r="FN88" t="e">
        <f>AND('UP133'!CA50,"AAAAAH6fzKk=")</f>
        <v>#VALUE!</v>
      </c>
      <c r="FO88" t="e">
        <f>AND('UP133'!CB50,"AAAAAH6fzKo=")</f>
        <v>#VALUE!</v>
      </c>
      <c r="FP88" t="e">
        <f>AND('UP133'!CC50,"AAAAAH6fzKs=")</f>
        <v>#VALUE!</v>
      </c>
      <c r="FQ88" t="e">
        <f>AND('UP133'!CD50,"AAAAAH6fzKw=")</f>
        <v>#VALUE!</v>
      </c>
      <c r="FR88" t="e">
        <f>AND('UP133'!CE50,"AAAAAH6fzK0=")</f>
        <v>#VALUE!</v>
      </c>
      <c r="FS88" t="e">
        <f>AND('UP133'!CF50,"AAAAAH6fzK4=")</f>
        <v>#VALUE!</v>
      </c>
      <c r="FT88" t="e">
        <f>AND('UP133'!CG50,"AAAAAH6fzK8=")</f>
        <v>#VALUE!</v>
      </c>
      <c r="FU88" t="e">
        <f>AND('UP133'!CH50,"AAAAAH6fzLA=")</f>
        <v>#VALUE!</v>
      </c>
      <c r="FV88" t="e">
        <f>AND('UP133'!CI50,"AAAAAH6fzLE=")</f>
        <v>#VALUE!</v>
      </c>
      <c r="FW88" t="e">
        <f>AND('UP133'!CJ50,"AAAAAH6fzLI=")</f>
        <v>#VALUE!</v>
      </c>
      <c r="FX88" t="e">
        <f>AND('UP133'!CK50,"AAAAAH6fzLM=")</f>
        <v>#VALUE!</v>
      </c>
      <c r="FY88" t="e">
        <f>AND('UP133'!CL50,"AAAAAH6fzLQ=")</f>
        <v>#VALUE!</v>
      </c>
      <c r="FZ88" t="e">
        <f>AND('UP133'!CM50,"AAAAAH6fzLU=")</f>
        <v>#VALUE!</v>
      </c>
      <c r="GA88" t="e">
        <f>AND('UP133'!CN50,"AAAAAH6fzLY=")</f>
        <v>#VALUE!</v>
      </c>
      <c r="GB88" t="e">
        <f>AND('UP133'!CO50,"AAAAAH6fzLc=")</f>
        <v>#VALUE!</v>
      </c>
      <c r="GC88" t="e">
        <f>AND('UP133'!CP50,"AAAAAH6fzLg=")</f>
        <v>#VALUE!</v>
      </c>
      <c r="GD88" t="e">
        <f>AND('UP133'!CQ50,"AAAAAH6fzLk=")</f>
        <v>#VALUE!</v>
      </c>
      <c r="GE88" t="e">
        <f>AND('UP133'!CR50,"AAAAAH6fzLo=")</f>
        <v>#VALUE!</v>
      </c>
      <c r="GF88" t="e">
        <f>AND('UP133'!CS50,"AAAAAH6fzLs=")</f>
        <v>#VALUE!</v>
      </c>
      <c r="GG88" t="e">
        <f>AND('UP133'!CT50,"AAAAAH6fzLw=")</f>
        <v>#VALUE!</v>
      </c>
      <c r="GH88" t="e">
        <f>AND('UP133'!CU50,"AAAAAH6fzL0=")</f>
        <v>#VALUE!</v>
      </c>
      <c r="GI88" t="e">
        <f>AND('UP133'!CV50,"AAAAAH6fzL4=")</f>
        <v>#VALUE!</v>
      </c>
      <c r="GJ88" t="e">
        <f>AND('UP133'!CW50,"AAAAAH6fzL8=")</f>
        <v>#VALUE!</v>
      </c>
      <c r="GK88" t="e">
        <f>AND('UP133'!CX50,"AAAAAH6fzMA=")</f>
        <v>#VALUE!</v>
      </c>
      <c r="GL88" t="e">
        <f>AND('UP133'!CY50,"AAAAAH6fzME=")</f>
        <v>#VALUE!</v>
      </c>
      <c r="GM88" t="e">
        <f>AND('UP133'!CZ50,"AAAAAH6fzMI=")</f>
        <v>#VALUE!</v>
      </c>
      <c r="GN88" t="e">
        <f>AND('UP133'!DA50,"AAAAAH6fzMM=")</f>
        <v>#VALUE!</v>
      </c>
      <c r="GO88" t="e">
        <f>AND('UP133'!DB50,"AAAAAH6fzMQ=")</f>
        <v>#VALUE!</v>
      </c>
      <c r="GP88" t="e">
        <f>AND('UP133'!DC50,"AAAAAH6fzMU=")</f>
        <v>#VALUE!</v>
      </c>
      <c r="GQ88" t="e">
        <f>AND('UP133'!DD50,"AAAAAH6fzMY=")</f>
        <v>#VALUE!</v>
      </c>
      <c r="GR88" t="e">
        <f>AND('UP133'!DE50,"AAAAAH6fzMc=")</f>
        <v>#VALUE!</v>
      </c>
      <c r="GS88" t="e">
        <f>AND('UP133'!DF50,"AAAAAH6fzMg=")</f>
        <v>#VALUE!</v>
      </c>
      <c r="GT88" t="e">
        <f>AND('UP133'!DG50,"AAAAAH6fzMk=")</f>
        <v>#VALUE!</v>
      </c>
      <c r="GU88" t="e">
        <f>AND('UP133'!DH50,"AAAAAH6fzMo=")</f>
        <v>#VALUE!</v>
      </c>
      <c r="GV88" t="e">
        <f>AND('UP133'!DI50,"AAAAAH6fzMs=")</f>
        <v>#VALUE!</v>
      </c>
      <c r="GW88" t="e">
        <f>AND('UP133'!DJ50,"AAAAAH6fzMw=")</f>
        <v>#VALUE!</v>
      </c>
      <c r="GX88" t="e">
        <f>AND('UP133'!DK50,"AAAAAH6fzM0=")</f>
        <v>#VALUE!</v>
      </c>
      <c r="GY88" t="e">
        <f>AND('UP133'!DL50,"AAAAAH6fzM4=")</f>
        <v>#VALUE!</v>
      </c>
      <c r="GZ88" t="e">
        <f>AND('UP133'!DM50,"AAAAAH6fzM8=")</f>
        <v>#VALUE!</v>
      </c>
      <c r="HA88" t="e">
        <f>AND('UP133'!DN50,"AAAAAH6fzNA=")</f>
        <v>#VALUE!</v>
      </c>
      <c r="HB88" t="e">
        <f>AND('UP133'!DO50,"AAAAAH6fzNE=")</f>
        <v>#VALUE!</v>
      </c>
      <c r="HC88" t="e">
        <f>AND('UP133'!DP50,"AAAAAH6fzNI=")</f>
        <v>#VALUE!</v>
      </c>
      <c r="HD88" t="e">
        <f>AND('UP133'!DQ50,"AAAAAH6fzNM=")</f>
        <v>#VALUE!</v>
      </c>
      <c r="HE88" t="e">
        <f>AND('UP133'!DR50,"AAAAAH6fzNQ=")</f>
        <v>#VALUE!</v>
      </c>
      <c r="HF88" t="e">
        <f>AND('UP133'!DS50,"AAAAAH6fzNU=")</f>
        <v>#VALUE!</v>
      </c>
      <c r="HG88" t="e">
        <f>AND('UP133'!DT50,"AAAAAH6fzNY=")</f>
        <v>#VALUE!</v>
      </c>
      <c r="HH88" t="e">
        <f>AND('UP133'!DU50,"AAAAAH6fzNc=")</f>
        <v>#VALUE!</v>
      </c>
      <c r="HI88" t="e">
        <f>AND('UP133'!DV50,"AAAAAH6fzNg=")</f>
        <v>#VALUE!</v>
      </c>
      <c r="HJ88" t="e">
        <f>AND('UP133'!DW50,"AAAAAH6fzNk=")</f>
        <v>#VALUE!</v>
      </c>
      <c r="HK88" t="e">
        <f>AND('UP133'!DX50,"AAAAAH6fzNo=")</f>
        <v>#VALUE!</v>
      </c>
      <c r="HL88" t="e">
        <f>AND('UP133'!DY50,"AAAAAH6fzNs=")</f>
        <v>#VALUE!</v>
      </c>
      <c r="HM88" t="e">
        <f>AND('UP133'!DZ50,"AAAAAH6fzNw=")</f>
        <v>#VALUE!</v>
      </c>
      <c r="HN88" t="e">
        <f>AND('UP133'!EA50,"AAAAAH6fzN0=")</f>
        <v>#VALUE!</v>
      </c>
      <c r="HO88" t="e">
        <f>AND('UP133'!EB50,"AAAAAH6fzN4=")</f>
        <v>#VALUE!</v>
      </c>
      <c r="HP88" t="e">
        <f>AND('UP133'!EC50,"AAAAAH6fzN8=")</f>
        <v>#VALUE!</v>
      </c>
      <c r="HQ88" t="e">
        <f>AND('UP133'!ED50,"AAAAAH6fzOA=")</f>
        <v>#VALUE!</v>
      </c>
      <c r="HR88" t="e">
        <f>AND('UP133'!EE50,"AAAAAH6fzOE=")</f>
        <v>#VALUE!</v>
      </c>
      <c r="HS88" t="e">
        <f>AND('UP133'!EF50,"AAAAAH6fzOI=")</f>
        <v>#VALUE!</v>
      </c>
      <c r="HT88" t="e">
        <f>AND('UP133'!EG50,"AAAAAH6fzOM=")</f>
        <v>#VALUE!</v>
      </c>
      <c r="HU88" t="e">
        <f>AND('UP133'!EH50,"AAAAAH6fzOQ=")</f>
        <v>#VALUE!</v>
      </c>
      <c r="HV88" t="e">
        <f>AND('UP133'!EI50,"AAAAAH6fzOU=")</f>
        <v>#VALUE!</v>
      </c>
      <c r="HW88" t="e">
        <f>AND('UP133'!EJ50,"AAAAAH6fzOY=")</f>
        <v>#VALUE!</v>
      </c>
      <c r="HX88" t="e">
        <f>AND('UP133'!EK50,"AAAAAH6fzOc=")</f>
        <v>#VALUE!</v>
      </c>
      <c r="HY88" t="e">
        <f>AND('UP133'!EL50,"AAAAAH6fzOg=")</f>
        <v>#VALUE!</v>
      </c>
      <c r="HZ88" t="e">
        <f>AND('UP133'!EM50,"AAAAAH6fzOk=")</f>
        <v>#VALUE!</v>
      </c>
      <c r="IA88" t="e">
        <f>AND('UP133'!EN50,"AAAAAH6fzOo=")</f>
        <v>#VALUE!</v>
      </c>
      <c r="IB88" t="e">
        <f>AND('UP133'!EO50,"AAAAAH6fzOs=")</f>
        <v>#VALUE!</v>
      </c>
      <c r="IC88" t="e">
        <f>AND('UP133'!EP50,"AAAAAH6fzOw=")</f>
        <v>#VALUE!</v>
      </c>
      <c r="ID88" t="e">
        <f>AND('UP133'!EQ50,"AAAAAH6fzO0=")</f>
        <v>#VALUE!</v>
      </c>
      <c r="IE88" t="e">
        <f>AND('UP133'!ER50,"AAAAAH6fzO4=")</f>
        <v>#VALUE!</v>
      </c>
      <c r="IF88" t="e">
        <f>AND('UP133'!ES50,"AAAAAH6fzO8=")</f>
        <v>#VALUE!</v>
      </c>
      <c r="IG88" t="e">
        <f>AND('UP133'!ET50,"AAAAAH6fzPA=")</f>
        <v>#VALUE!</v>
      </c>
      <c r="IH88" t="e">
        <f>AND('UP133'!EU50,"AAAAAH6fzPE=")</f>
        <v>#VALUE!</v>
      </c>
      <c r="II88" t="e">
        <f>AND('UP133'!EV50,"AAAAAH6fzPI=")</f>
        <v>#VALUE!</v>
      </c>
      <c r="IJ88" t="e">
        <f>AND('UP133'!EW50,"AAAAAH6fzPM=")</f>
        <v>#VALUE!</v>
      </c>
      <c r="IK88" t="e">
        <f>AND('UP133'!EX50,"AAAAAH6fzPQ=")</f>
        <v>#VALUE!</v>
      </c>
      <c r="IL88" t="e">
        <f>AND('UP133'!EY50,"AAAAAH6fzPU=")</f>
        <v>#VALUE!</v>
      </c>
      <c r="IM88" t="e">
        <f>AND('UP133'!EZ50,"AAAAAH6fzPY=")</f>
        <v>#VALUE!</v>
      </c>
      <c r="IN88" t="e">
        <f>AND('UP133'!FA50,"AAAAAH6fzPc=")</f>
        <v>#VALUE!</v>
      </c>
      <c r="IO88" t="e">
        <f>AND('UP133'!FB50,"AAAAAH6fzPg=")</f>
        <v>#VALUE!</v>
      </c>
      <c r="IP88" t="e">
        <f>AND('UP133'!FC50,"AAAAAH6fzPk=")</f>
        <v>#VALUE!</v>
      </c>
      <c r="IQ88" t="e">
        <f>AND('UP133'!FD50,"AAAAAH6fzPo=")</f>
        <v>#VALUE!</v>
      </c>
      <c r="IR88" t="e">
        <f>AND('UP133'!FE50,"AAAAAH6fzPs=")</f>
        <v>#VALUE!</v>
      </c>
      <c r="IS88" t="e">
        <f>AND('UP133'!FF50,"AAAAAH6fzPw=")</f>
        <v>#VALUE!</v>
      </c>
      <c r="IT88" t="e">
        <f>AND('UP133'!FG50,"AAAAAH6fzP0=")</f>
        <v>#VALUE!</v>
      </c>
      <c r="IU88" t="e">
        <f>AND('UP133'!FH50,"AAAAAH6fzP4=")</f>
        <v>#VALUE!</v>
      </c>
      <c r="IV88" t="e">
        <f>AND('UP133'!FI50,"AAAAAH6fzP8=")</f>
        <v>#VALUE!</v>
      </c>
    </row>
    <row r="89" spans="1:256">
      <c r="A89" t="e">
        <f>AND('UP133'!FJ50,"AAAAAHn29wA=")</f>
        <v>#VALUE!</v>
      </c>
      <c r="B89" t="e">
        <f>AND('UP133'!FK50,"AAAAAHn29wE=")</f>
        <v>#VALUE!</v>
      </c>
      <c r="C89" t="e">
        <f>AND('UP133'!FL50,"AAAAAHn29wI=")</f>
        <v>#VALUE!</v>
      </c>
      <c r="D89" t="e">
        <f>AND('UP133'!FM50,"AAAAAHn29wM=")</f>
        <v>#VALUE!</v>
      </c>
      <c r="E89" t="e">
        <f>AND('UP133'!FN50,"AAAAAHn29wQ=")</f>
        <v>#VALUE!</v>
      </c>
      <c r="F89" t="e">
        <f>AND('UP133'!FO50,"AAAAAHn29wU=")</f>
        <v>#VALUE!</v>
      </c>
      <c r="G89" t="e">
        <f>AND('UP133'!FP50,"AAAAAHn29wY=")</f>
        <v>#VALUE!</v>
      </c>
      <c r="H89" t="e">
        <f>AND('UP133'!FQ50,"AAAAAHn29wc=")</f>
        <v>#VALUE!</v>
      </c>
      <c r="I89" t="e">
        <f>AND('UP133'!FR50,"AAAAAHn29wg=")</f>
        <v>#VALUE!</v>
      </c>
      <c r="J89" t="e">
        <f>AND('UP133'!FS50,"AAAAAHn29wk=")</f>
        <v>#VALUE!</v>
      </c>
      <c r="K89" t="e">
        <f>AND('UP133'!FT50,"AAAAAHn29wo=")</f>
        <v>#VALUE!</v>
      </c>
      <c r="L89" t="e">
        <f>AND('UP133'!FU50,"AAAAAHn29ws=")</f>
        <v>#VALUE!</v>
      </c>
      <c r="M89" t="e">
        <f>AND('UP133'!FV50,"AAAAAHn29ww=")</f>
        <v>#VALUE!</v>
      </c>
      <c r="N89" t="e">
        <f>AND('UP133'!FW50,"AAAAAHn29w0=")</f>
        <v>#VALUE!</v>
      </c>
      <c r="O89" t="e">
        <f>AND('UP133'!FX50,"AAAAAHn29w4=")</f>
        <v>#VALUE!</v>
      </c>
      <c r="P89" t="e">
        <f>AND('UP133'!FY50,"AAAAAHn29w8=")</f>
        <v>#VALUE!</v>
      </c>
      <c r="Q89" t="e">
        <f>AND('UP133'!FZ50,"AAAAAHn29xA=")</f>
        <v>#VALUE!</v>
      </c>
      <c r="R89" t="e">
        <f>AND('UP133'!GA50,"AAAAAHn29xE=")</f>
        <v>#VALUE!</v>
      </c>
      <c r="S89" t="e">
        <f>AND('UP133'!GB50,"AAAAAHn29xI=")</f>
        <v>#VALUE!</v>
      </c>
      <c r="T89" t="e">
        <f>AND('UP133'!GC50,"AAAAAHn29xM=")</f>
        <v>#VALUE!</v>
      </c>
      <c r="U89" t="e">
        <f>AND('UP133'!GD50,"AAAAAHn29xQ=")</f>
        <v>#VALUE!</v>
      </c>
      <c r="V89" t="e">
        <f>AND('UP133'!GE50,"AAAAAHn29xU=")</f>
        <v>#VALUE!</v>
      </c>
      <c r="W89" t="e">
        <f>AND('UP133'!GF50,"AAAAAHn29xY=")</f>
        <v>#VALUE!</v>
      </c>
      <c r="X89" t="e">
        <f>AND('UP133'!GG50,"AAAAAHn29xc=")</f>
        <v>#VALUE!</v>
      </c>
      <c r="Y89" t="e">
        <f>AND('UP133'!GH50,"AAAAAHn29xg=")</f>
        <v>#VALUE!</v>
      </c>
      <c r="Z89" t="e">
        <f>AND('UP133'!GI50,"AAAAAHn29xk=")</f>
        <v>#VALUE!</v>
      </c>
      <c r="AA89" t="e">
        <f>AND('UP133'!GJ50,"AAAAAHn29xo=")</f>
        <v>#VALUE!</v>
      </c>
      <c r="AB89" t="e">
        <f>AND('UP133'!GK50,"AAAAAHn29xs=")</f>
        <v>#VALUE!</v>
      </c>
      <c r="AC89" t="e">
        <f>AND('UP133'!GL50,"AAAAAHn29xw=")</f>
        <v>#VALUE!</v>
      </c>
      <c r="AD89" t="e">
        <f>AND('UP133'!GM50,"AAAAAHn29x0=")</f>
        <v>#VALUE!</v>
      </c>
      <c r="AE89" t="e">
        <f>AND('UP133'!GN50,"AAAAAHn29x4=")</f>
        <v>#VALUE!</v>
      </c>
      <c r="AF89" t="e">
        <f>AND('UP133'!GO50,"AAAAAHn29x8=")</f>
        <v>#VALUE!</v>
      </c>
      <c r="AG89" t="e">
        <f>AND('UP133'!GP50,"AAAAAHn29yA=")</f>
        <v>#VALUE!</v>
      </c>
      <c r="AH89" t="e">
        <f>AND('UP133'!GQ50,"AAAAAHn29yE=")</f>
        <v>#VALUE!</v>
      </c>
      <c r="AI89" t="e">
        <f>AND('UP133'!GR50,"AAAAAHn29yI=")</f>
        <v>#VALUE!</v>
      </c>
      <c r="AJ89" t="e">
        <f>AND('UP133'!GS50,"AAAAAHn29yM=")</f>
        <v>#VALUE!</v>
      </c>
      <c r="AK89" t="e">
        <f>AND('UP133'!GT50,"AAAAAHn29yQ=")</f>
        <v>#VALUE!</v>
      </c>
      <c r="AL89" t="e">
        <f>AND('UP133'!GU50,"AAAAAHn29yU=")</f>
        <v>#VALUE!</v>
      </c>
      <c r="AM89" t="e">
        <f>AND('UP133'!GV50,"AAAAAHn29yY=")</f>
        <v>#VALUE!</v>
      </c>
      <c r="AN89" t="e">
        <f>AND('UP133'!GW50,"AAAAAHn29yc=")</f>
        <v>#VALUE!</v>
      </c>
      <c r="AO89" t="e">
        <f>AND('UP133'!GX50,"AAAAAHn29yg=")</f>
        <v>#VALUE!</v>
      </c>
      <c r="AP89" t="e">
        <f>AND('UP133'!GY50,"AAAAAHn29yk=")</f>
        <v>#VALUE!</v>
      </c>
      <c r="AQ89" t="e">
        <f>AND('UP133'!GZ50,"AAAAAHn29yo=")</f>
        <v>#VALUE!</v>
      </c>
      <c r="AR89" t="e">
        <f>AND('UP133'!HA50,"AAAAAHn29ys=")</f>
        <v>#VALUE!</v>
      </c>
      <c r="AS89" t="e">
        <f>AND('UP133'!HB50,"AAAAAHn29yw=")</f>
        <v>#VALUE!</v>
      </c>
      <c r="AT89" t="e">
        <f>AND('UP133'!HC50,"AAAAAHn29y0=")</f>
        <v>#VALUE!</v>
      </c>
      <c r="AU89" t="e">
        <f>AND('UP133'!HD50,"AAAAAHn29y4=")</f>
        <v>#VALUE!</v>
      </c>
      <c r="AV89" t="e">
        <f>AND('UP133'!HE50,"AAAAAHn29y8=")</f>
        <v>#VALUE!</v>
      </c>
      <c r="AW89" t="e">
        <f>AND('UP133'!HF50,"AAAAAHn29zA=")</f>
        <v>#VALUE!</v>
      </c>
      <c r="AX89" t="e">
        <f>AND('UP133'!HG50,"AAAAAHn29zE=")</f>
        <v>#VALUE!</v>
      </c>
      <c r="AY89" t="e">
        <f>AND('UP133'!HH50,"AAAAAHn29zI=")</f>
        <v>#VALUE!</v>
      </c>
      <c r="AZ89" t="e">
        <f>AND('UP133'!HI50,"AAAAAHn29zM=")</f>
        <v>#VALUE!</v>
      </c>
      <c r="BA89" t="e">
        <f>AND('UP133'!HJ50,"AAAAAHn29zQ=")</f>
        <v>#VALUE!</v>
      </c>
      <c r="BB89" t="e">
        <f>AND('UP133'!HK50,"AAAAAHn29zU=")</f>
        <v>#VALUE!</v>
      </c>
      <c r="BC89" t="e">
        <f>AND('UP133'!HL50,"AAAAAHn29zY=")</f>
        <v>#VALUE!</v>
      </c>
      <c r="BD89" t="e">
        <f>AND('UP133'!HM50,"AAAAAHn29zc=")</f>
        <v>#VALUE!</v>
      </c>
      <c r="BE89" t="e">
        <f>AND('UP133'!HN50,"AAAAAHn29zg=")</f>
        <v>#VALUE!</v>
      </c>
      <c r="BF89" t="e">
        <f>AND('UP133'!HO50,"AAAAAHn29zk=")</f>
        <v>#VALUE!</v>
      </c>
      <c r="BG89" t="e">
        <f>AND('UP133'!HP50,"AAAAAHn29zo=")</f>
        <v>#VALUE!</v>
      </c>
      <c r="BH89" t="e">
        <f>AND('UP133'!HQ50,"AAAAAHn29zs=")</f>
        <v>#VALUE!</v>
      </c>
      <c r="BI89" t="e">
        <f>AND('UP133'!HR50,"AAAAAHn29zw=")</f>
        <v>#VALUE!</v>
      </c>
      <c r="BJ89" t="e">
        <f>AND('UP133'!HS50,"AAAAAHn29z0=")</f>
        <v>#VALUE!</v>
      </c>
      <c r="BK89" t="e">
        <f>AND('UP133'!HT50,"AAAAAHn29z4=")</f>
        <v>#VALUE!</v>
      </c>
      <c r="BL89" t="e">
        <f>AND('UP133'!HU50,"AAAAAHn29z8=")</f>
        <v>#VALUE!</v>
      </c>
      <c r="BM89" t="e">
        <f>AND('UP133'!HV50,"AAAAAHn290A=")</f>
        <v>#VALUE!</v>
      </c>
      <c r="BN89" t="e">
        <f>AND('UP133'!HW50,"AAAAAHn290E=")</f>
        <v>#VALUE!</v>
      </c>
      <c r="BO89" t="e">
        <f>AND('UP133'!HX50,"AAAAAHn290I=")</f>
        <v>#VALUE!</v>
      </c>
      <c r="BP89" t="e">
        <f>AND('UP133'!HY50,"AAAAAHn290M=")</f>
        <v>#VALUE!</v>
      </c>
      <c r="BQ89" t="e">
        <f>AND('UP133'!HZ50,"AAAAAHn290Q=")</f>
        <v>#VALUE!</v>
      </c>
      <c r="BR89" t="e">
        <f>AND('UP133'!IA50,"AAAAAHn290U=")</f>
        <v>#VALUE!</v>
      </c>
      <c r="BS89" t="e">
        <f>AND('UP133'!IB50,"AAAAAHn290Y=")</f>
        <v>#VALUE!</v>
      </c>
      <c r="BT89" t="e">
        <f>AND('UP133'!IC50,"AAAAAHn290c=")</f>
        <v>#VALUE!</v>
      </c>
      <c r="BU89" t="e">
        <f>AND('UP133'!ID50,"AAAAAHn290g=")</f>
        <v>#VALUE!</v>
      </c>
      <c r="BV89" t="e">
        <f>AND('UP133'!IE50,"AAAAAHn290k=")</f>
        <v>#VALUE!</v>
      </c>
      <c r="BW89" t="e">
        <f>AND('UP133'!IF50,"AAAAAHn290o=")</f>
        <v>#VALUE!</v>
      </c>
      <c r="BX89" t="e">
        <f>AND('UP133'!IG50,"AAAAAHn290s=")</f>
        <v>#VALUE!</v>
      </c>
      <c r="BY89" t="e">
        <f>AND('UP133'!IH50,"AAAAAHn290w=")</f>
        <v>#VALUE!</v>
      </c>
      <c r="BZ89" t="e">
        <f>AND('UP133'!II50,"AAAAAHn2900=")</f>
        <v>#VALUE!</v>
      </c>
      <c r="CA89" t="e">
        <f>AND('UP133'!IJ50,"AAAAAHn2904=")</f>
        <v>#VALUE!</v>
      </c>
      <c r="CB89" t="e">
        <f>AND('UP133'!IK50,"AAAAAHn2908=")</f>
        <v>#VALUE!</v>
      </c>
      <c r="CC89" t="e">
        <f>AND('UP133'!IL50,"AAAAAHn291A=")</f>
        <v>#VALUE!</v>
      </c>
      <c r="CD89" t="e">
        <f>AND('UP133'!IM50,"AAAAAHn291E=")</f>
        <v>#VALUE!</v>
      </c>
      <c r="CE89" t="e">
        <f>AND('UP133'!IN50,"AAAAAHn291I=")</f>
        <v>#VALUE!</v>
      </c>
      <c r="CF89" t="e">
        <f>AND('UP133'!IO50,"AAAAAHn291M=")</f>
        <v>#VALUE!</v>
      </c>
      <c r="CG89" t="e">
        <f>AND('UP133'!IP50,"AAAAAHn291Q=")</f>
        <v>#VALUE!</v>
      </c>
      <c r="CH89" t="e">
        <f>AND('UP133'!IQ50,"AAAAAHn291U=")</f>
        <v>#VALUE!</v>
      </c>
      <c r="CI89">
        <f>IF('UP133'!51:51,"AAAAAHn291Y=",0)</f>
        <v>0</v>
      </c>
      <c r="CJ89" t="e">
        <f>AND('UP133'!A51,"AAAAAHn291c=")</f>
        <v>#VALUE!</v>
      </c>
      <c r="CK89" t="e">
        <f>AND('UP133'!B51,"AAAAAHn291g=")</f>
        <v>#VALUE!</v>
      </c>
      <c r="CL89" t="e">
        <f>AND('UP133'!C51,"AAAAAHn291k=")</f>
        <v>#VALUE!</v>
      </c>
      <c r="CM89" t="e">
        <f>AND('UP133'!D51,"AAAAAHn291o=")</f>
        <v>#VALUE!</v>
      </c>
      <c r="CN89" t="e">
        <f>AND('UP133'!E51,"AAAAAHn291s=")</f>
        <v>#VALUE!</v>
      </c>
      <c r="CO89" t="e">
        <f>AND('UP133'!F51,"AAAAAHn291w=")</f>
        <v>#VALUE!</v>
      </c>
      <c r="CP89" t="e">
        <f>AND('UP133'!G51,"AAAAAHn2910=")</f>
        <v>#VALUE!</v>
      </c>
      <c r="CQ89" t="e">
        <f>AND('UP133'!H51,"AAAAAHn2914=")</f>
        <v>#VALUE!</v>
      </c>
      <c r="CR89" t="e">
        <f>AND('UP133'!I51,"AAAAAHn2918=")</f>
        <v>#VALUE!</v>
      </c>
      <c r="CS89" t="e">
        <f>AND('UP133'!J51,"AAAAAHn292A=")</f>
        <v>#VALUE!</v>
      </c>
      <c r="CT89" t="e">
        <f>AND('UP133'!K51,"AAAAAHn292E=")</f>
        <v>#VALUE!</v>
      </c>
      <c r="CU89" t="e">
        <f>AND('UP133'!L51,"AAAAAHn292I=")</f>
        <v>#VALUE!</v>
      </c>
      <c r="CV89" t="e">
        <f>AND('UP133'!M51,"AAAAAHn292M=")</f>
        <v>#VALUE!</v>
      </c>
      <c r="CW89" t="e">
        <f>AND('UP133'!N51,"AAAAAHn292Q=")</f>
        <v>#VALUE!</v>
      </c>
      <c r="CX89" t="e">
        <f>AND('UP133'!O51,"AAAAAHn292U=")</f>
        <v>#VALUE!</v>
      </c>
      <c r="CY89" t="e">
        <f>AND('UP133'!P51,"AAAAAHn292Y=")</f>
        <v>#VALUE!</v>
      </c>
      <c r="CZ89" t="e">
        <f>AND('UP133'!Q51,"AAAAAHn292c=")</f>
        <v>#VALUE!</v>
      </c>
      <c r="DA89" t="e">
        <f>AND('UP133'!R51,"AAAAAHn292g=")</f>
        <v>#VALUE!</v>
      </c>
      <c r="DB89" t="e">
        <f>AND('UP133'!S51,"AAAAAHn292k=")</f>
        <v>#VALUE!</v>
      </c>
      <c r="DC89" t="e">
        <f>AND('UP133'!T51,"AAAAAHn292o=")</f>
        <v>#VALUE!</v>
      </c>
      <c r="DD89" t="e">
        <f>AND('UP133'!U51,"AAAAAHn292s=")</f>
        <v>#VALUE!</v>
      </c>
      <c r="DE89" t="e">
        <f>AND('UP133'!V51,"AAAAAHn292w=")</f>
        <v>#VALUE!</v>
      </c>
      <c r="DF89" t="e">
        <f>AND('UP133'!W51,"AAAAAHn2920=")</f>
        <v>#VALUE!</v>
      </c>
      <c r="DG89" t="e">
        <f>AND('UP133'!X51,"AAAAAHn2924=")</f>
        <v>#VALUE!</v>
      </c>
      <c r="DH89" t="e">
        <f>AND('UP133'!Y51,"AAAAAHn2928=")</f>
        <v>#VALUE!</v>
      </c>
      <c r="DI89" t="e">
        <f>AND('UP133'!Z51,"AAAAAHn293A=")</f>
        <v>#VALUE!</v>
      </c>
      <c r="DJ89" t="e">
        <f>AND('UP133'!AA51,"AAAAAHn293E=")</f>
        <v>#VALUE!</v>
      </c>
      <c r="DK89" t="e">
        <f>AND('UP133'!AB51,"AAAAAHn293I=")</f>
        <v>#VALUE!</v>
      </c>
      <c r="DL89" t="e">
        <f>AND('UP133'!AC51,"AAAAAHn293M=")</f>
        <v>#VALUE!</v>
      </c>
      <c r="DM89" t="e">
        <f>AND('UP133'!AD51,"AAAAAHn293Q=")</f>
        <v>#VALUE!</v>
      </c>
      <c r="DN89" t="e">
        <f>AND('UP133'!AE51,"AAAAAHn293U=")</f>
        <v>#VALUE!</v>
      </c>
      <c r="DO89" t="e">
        <f>AND('UP133'!AF51,"AAAAAHn293Y=")</f>
        <v>#VALUE!</v>
      </c>
      <c r="DP89" t="e">
        <f>AND('UP133'!AG51,"AAAAAHn293c=")</f>
        <v>#VALUE!</v>
      </c>
      <c r="DQ89" t="e">
        <f>AND('UP133'!AH51,"AAAAAHn293g=")</f>
        <v>#VALUE!</v>
      </c>
      <c r="DR89" t="e">
        <f>AND('UP133'!AI51,"AAAAAHn293k=")</f>
        <v>#VALUE!</v>
      </c>
      <c r="DS89" t="e">
        <f>AND('UP133'!AJ51,"AAAAAHn293o=")</f>
        <v>#VALUE!</v>
      </c>
      <c r="DT89" t="e">
        <f>AND('UP133'!AK51,"AAAAAHn293s=")</f>
        <v>#VALUE!</v>
      </c>
      <c r="DU89" t="e">
        <f>AND('UP133'!AL51,"AAAAAHn293w=")</f>
        <v>#VALUE!</v>
      </c>
      <c r="DV89" t="e">
        <f>AND('UP133'!AM51,"AAAAAHn2930=")</f>
        <v>#VALUE!</v>
      </c>
      <c r="DW89" t="e">
        <f>AND('UP133'!AN51,"AAAAAHn2934=")</f>
        <v>#VALUE!</v>
      </c>
      <c r="DX89" t="e">
        <f>AND('UP133'!AO51,"AAAAAHn2938=")</f>
        <v>#VALUE!</v>
      </c>
      <c r="DY89" t="e">
        <f>AND('UP133'!AP51,"AAAAAHn294A=")</f>
        <v>#VALUE!</v>
      </c>
      <c r="DZ89" t="e">
        <f>AND('UP133'!AQ51,"AAAAAHn294E=")</f>
        <v>#VALUE!</v>
      </c>
      <c r="EA89" t="e">
        <f>AND('UP133'!AR51,"AAAAAHn294I=")</f>
        <v>#VALUE!</v>
      </c>
      <c r="EB89" t="e">
        <f>AND('UP133'!AS51,"AAAAAHn294M=")</f>
        <v>#VALUE!</v>
      </c>
      <c r="EC89" t="e">
        <f>AND('UP133'!AT51,"AAAAAHn294Q=")</f>
        <v>#VALUE!</v>
      </c>
      <c r="ED89" t="e">
        <f>AND('UP133'!AU51,"AAAAAHn294U=")</f>
        <v>#VALUE!</v>
      </c>
      <c r="EE89" t="e">
        <f>AND('UP133'!AV51,"AAAAAHn294Y=")</f>
        <v>#VALUE!</v>
      </c>
      <c r="EF89" t="e">
        <f>AND('UP133'!AW51,"AAAAAHn294c=")</f>
        <v>#VALUE!</v>
      </c>
      <c r="EG89" t="e">
        <f>AND('UP133'!AX51,"AAAAAHn294g=")</f>
        <v>#VALUE!</v>
      </c>
      <c r="EH89" t="e">
        <f>AND('UP133'!AY51,"AAAAAHn294k=")</f>
        <v>#VALUE!</v>
      </c>
      <c r="EI89" t="e">
        <f>AND('UP133'!AZ51,"AAAAAHn294o=")</f>
        <v>#VALUE!</v>
      </c>
      <c r="EJ89" t="e">
        <f>AND('UP133'!BA51,"AAAAAHn294s=")</f>
        <v>#VALUE!</v>
      </c>
      <c r="EK89" t="e">
        <f>AND('UP133'!BB51,"AAAAAHn294w=")</f>
        <v>#VALUE!</v>
      </c>
      <c r="EL89" t="e">
        <f>AND('UP133'!BC51,"AAAAAHn2940=")</f>
        <v>#VALUE!</v>
      </c>
      <c r="EM89" t="e">
        <f>AND('UP133'!BD51,"AAAAAHn2944=")</f>
        <v>#VALUE!</v>
      </c>
      <c r="EN89" t="e">
        <f>AND('UP133'!BE51,"AAAAAHn2948=")</f>
        <v>#VALUE!</v>
      </c>
      <c r="EO89" t="e">
        <f>AND('UP133'!BF51,"AAAAAHn295A=")</f>
        <v>#VALUE!</v>
      </c>
      <c r="EP89" t="e">
        <f>AND('UP133'!BG51,"AAAAAHn295E=")</f>
        <v>#VALUE!</v>
      </c>
      <c r="EQ89" t="e">
        <f>AND('UP133'!BH51,"AAAAAHn295I=")</f>
        <v>#VALUE!</v>
      </c>
      <c r="ER89" t="e">
        <f>AND('UP133'!BI51,"AAAAAHn295M=")</f>
        <v>#VALUE!</v>
      </c>
      <c r="ES89" t="e">
        <f>AND('UP133'!BJ51,"AAAAAHn295Q=")</f>
        <v>#VALUE!</v>
      </c>
      <c r="ET89" t="e">
        <f>AND('UP133'!BK51,"AAAAAHn295U=")</f>
        <v>#VALUE!</v>
      </c>
      <c r="EU89" t="e">
        <f>AND('UP133'!BL51,"AAAAAHn295Y=")</f>
        <v>#VALUE!</v>
      </c>
      <c r="EV89" t="e">
        <f>AND('UP133'!BM51,"AAAAAHn295c=")</f>
        <v>#VALUE!</v>
      </c>
      <c r="EW89" t="e">
        <f>AND('UP133'!BN51,"AAAAAHn295g=")</f>
        <v>#VALUE!</v>
      </c>
      <c r="EX89" t="e">
        <f>AND('UP133'!BO51,"AAAAAHn295k=")</f>
        <v>#VALUE!</v>
      </c>
      <c r="EY89" t="e">
        <f>AND('UP133'!BP51,"AAAAAHn295o=")</f>
        <v>#VALUE!</v>
      </c>
      <c r="EZ89" t="e">
        <f>AND('UP133'!BQ51,"AAAAAHn295s=")</f>
        <v>#VALUE!</v>
      </c>
      <c r="FA89" t="e">
        <f>AND('UP133'!BR51,"AAAAAHn295w=")</f>
        <v>#VALUE!</v>
      </c>
      <c r="FB89" t="e">
        <f>AND('UP133'!BS51,"AAAAAHn2950=")</f>
        <v>#VALUE!</v>
      </c>
      <c r="FC89" t="e">
        <f>AND('UP133'!BT51,"AAAAAHn2954=")</f>
        <v>#VALUE!</v>
      </c>
      <c r="FD89" t="e">
        <f>AND('UP133'!BU51,"AAAAAHn2958=")</f>
        <v>#VALUE!</v>
      </c>
      <c r="FE89" t="e">
        <f>AND('UP133'!BV51,"AAAAAHn296A=")</f>
        <v>#VALUE!</v>
      </c>
      <c r="FF89" t="e">
        <f>AND('UP133'!BW51,"AAAAAHn296E=")</f>
        <v>#VALUE!</v>
      </c>
      <c r="FG89" t="e">
        <f>AND('UP133'!BX51,"AAAAAHn296I=")</f>
        <v>#VALUE!</v>
      </c>
      <c r="FH89" t="e">
        <f>AND('UP133'!BY51,"AAAAAHn296M=")</f>
        <v>#VALUE!</v>
      </c>
      <c r="FI89" t="e">
        <f>AND('UP133'!BZ51,"AAAAAHn296Q=")</f>
        <v>#VALUE!</v>
      </c>
      <c r="FJ89" t="e">
        <f>AND('UP133'!CA51,"AAAAAHn296U=")</f>
        <v>#VALUE!</v>
      </c>
      <c r="FK89" t="e">
        <f>AND('UP133'!CB51,"AAAAAHn296Y=")</f>
        <v>#VALUE!</v>
      </c>
      <c r="FL89" t="e">
        <f>AND('UP133'!CC51,"AAAAAHn296c=")</f>
        <v>#VALUE!</v>
      </c>
      <c r="FM89" t="e">
        <f>AND('UP133'!CD51,"AAAAAHn296g=")</f>
        <v>#VALUE!</v>
      </c>
      <c r="FN89" t="e">
        <f>AND('UP133'!CE51,"AAAAAHn296k=")</f>
        <v>#VALUE!</v>
      </c>
      <c r="FO89" t="e">
        <f>AND('UP133'!CF51,"AAAAAHn296o=")</f>
        <v>#VALUE!</v>
      </c>
      <c r="FP89" t="e">
        <f>AND('UP133'!CG51,"AAAAAHn296s=")</f>
        <v>#VALUE!</v>
      </c>
      <c r="FQ89" t="e">
        <f>AND('UP133'!CH51,"AAAAAHn296w=")</f>
        <v>#VALUE!</v>
      </c>
      <c r="FR89" t="e">
        <f>AND('UP133'!CI51,"AAAAAHn2960=")</f>
        <v>#VALUE!</v>
      </c>
      <c r="FS89" t="e">
        <f>AND('UP133'!CJ51,"AAAAAHn2964=")</f>
        <v>#VALUE!</v>
      </c>
      <c r="FT89" t="e">
        <f>AND('UP133'!CK51,"AAAAAHn2968=")</f>
        <v>#VALUE!</v>
      </c>
      <c r="FU89" t="e">
        <f>AND('UP133'!CL51,"AAAAAHn297A=")</f>
        <v>#VALUE!</v>
      </c>
      <c r="FV89" t="e">
        <f>AND('UP133'!CM51,"AAAAAHn297E=")</f>
        <v>#VALUE!</v>
      </c>
      <c r="FW89" t="e">
        <f>AND('UP133'!CN51,"AAAAAHn297I=")</f>
        <v>#VALUE!</v>
      </c>
      <c r="FX89" t="e">
        <f>AND('UP133'!CO51,"AAAAAHn297M=")</f>
        <v>#VALUE!</v>
      </c>
      <c r="FY89" t="e">
        <f>AND('UP133'!CP51,"AAAAAHn297Q=")</f>
        <v>#VALUE!</v>
      </c>
      <c r="FZ89" t="e">
        <f>AND('UP133'!CQ51,"AAAAAHn297U=")</f>
        <v>#VALUE!</v>
      </c>
      <c r="GA89" t="e">
        <f>AND('UP133'!CR51,"AAAAAHn297Y=")</f>
        <v>#VALUE!</v>
      </c>
      <c r="GB89" t="e">
        <f>AND('UP133'!CS51,"AAAAAHn297c=")</f>
        <v>#VALUE!</v>
      </c>
      <c r="GC89" t="e">
        <f>AND('UP133'!CT51,"AAAAAHn297g=")</f>
        <v>#VALUE!</v>
      </c>
      <c r="GD89" t="e">
        <f>AND('UP133'!CU51,"AAAAAHn297k=")</f>
        <v>#VALUE!</v>
      </c>
      <c r="GE89" t="e">
        <f>AND('UP133'!CV51,"AAAAAHn297o=")</f>
        <v>#VALUE!</v>
      </c>
      <c r="GF89" t="e">
        <f>AND('UP133'!CW51,"AAAAAHn297s=")</f>
        <v>#VALUE!</v>
      </c>
      <c r="GG89" t="e">
        <f>AND('UP133'!CX51,"AAAAAHn297w=")</f>
        <v>#VALUE!</v>
      </c>
      <c r="GH89" t="e">
        <f>AND('UP133'!CY51,"AAAAAHn2970=")</f>
        <v>#VALUE!</v>
      </c>
      <c r="GI89" t="e">
        <f>AND('UP133'!CZ51,"AAAAAHn2974=")</f>
        <v>#VALUE!</v>
      </c>
      <c r="GJ89" t="e">
        <f>AND('UP133'!DA51,"AAAAAHn2978=")</f>
        <v>#VALUE!</v>
      </c>
      <c r="GK89" t="e">
        <f>AND('UP133'!DB51,"AAAAAHn298A=")</f>
        <v>#VALUE!</v>
      </c>
      <c r="GL89" t="e">
        <f>AND('UP133'!DC51,"AAAAAHn298E=")</f>
        <v>#VALUE!</v>
      </c>
      <c r="GM89" t="e">
        <f>AND('UP133'!DD51,"AAAAAHn298I=")</f>
        <v>#VALUE!</v>
      </c>
      <c r="GN89" t="e">
        <f>AND('UP133'!DE51,"AAAAAHn298M=")</f>
        <v>#VALUE!</v>
      </c>
      <c r="GO89" t="e">
        <f>AND('UP133'!DF51,"AAAAAHn298Q=")</f>
        <v>#VALUE!</v>
      </c>
      <c r="GP89" t="e">
        <f>AND('UP133'!DG51,"AAAAAHn298U=")</f>
        <v>#VALUE!</v>
      </c>
      <c r="GQ89" t="e">
        <f>AND('UP133'!DH51,"AAAAAHn298Y=")</f>
        <v>#VALUE!</v>
      </c>
      <c r="GR89" t="e">
        <f>AND('UP133'!DI51,"AAAAAHn298c=")</f>
        <v>#VALUE!</v>
      </c>
      <c r="GS89" t="e">
        <f>AND('UP133'!DJ51,"AAAAAHn298g=")</f>
        <v>#VALUE!</v>
      </c>
      <c r="GT89" t="e">
        <f>AND('UP133'!DK51,"AAAAAHn298k=")</f>
        <v>#VALUE!</v>
      </c>
      <c r="GU89" t="e">
        <f>AND('UP133'!DL51,"AAAAAHn298o=")</f>
        <v>#VALUE!</v>
      </c>
      <c r="GV89" t="e">
        <f>AND('UP133'!DM51,"AAAAAHn298s=")</f>
        <v>#VALUE!</v>
      </c>
      <c r="GW89" t="e">
        <f>AND('UP133'!DN51,"AAAAAHn298w=")</f>
        <v>#VALUE!</v>
      </c>
      <c r="GX89" t="e">
        <f>AND('UP133'!DO51,"AAAAAHn2980=")</f>
        <v>#VALUE!</v>
      </c>
      <c r="GY89" t="e">
        <f>AND('UP133'!DP51,"AAAAAHn2984=")</f>
        <v>#VALUE!</v>
      </c>
      <c r="GZ89" t="e">
        <f>AND('UP133'!DQ51,"AAAAAHn2988=")</f>
        <v>#VALUE!</v>
      </c>
      <c r="HA89" t="e">
        <f>AND('UP133'!DR51,"AAAAAHn299A=")</f>
        <v>#VALUE!</v>
      </c>
      <c r="HB89" t="e">
        <f>AND('UP133'!DS51,"AAAAAHn299E=")</f>
        <v>#VALUE!</v>
      </c>
      <c r="HC89" t="e">
        <f>AND('UP133'!DT51,"AAAAAHn299I=")</f>
        <v>#VALUE!</v>
      </c>
      <c r="HD89" t="e">
        <f>AND('UP133'!DU51,"AAAAAHn299M=")</f>
        <v>#VALUE!</v>
      </c>
      <c r="HE89" t="e">
        <f>AND('UP133'!DV51,"AAAAAHn299Q=")</f>
        <v>#VALUE!</v>
      </c>
      <c r="HF89" t="e">
        <f>AND('UP133'!DW51,"AAAAAHn299U=")</f>
        <v>#VALUE!</v>
      </c>
      <c r="HG89" t="e">
        <f>AND('UP133'!DX51,"AAAAAHn299Y=")</f>
        <v>#VALUE!</v>
      </c>
      <c r="HH89" t="e">
        <f>AND('UP133'!DY51,"AAAAAHn299c=")</f>
        <v>#VALUE!</v>
      </c>
      <c r="HI89" t="e">
        <f>AND('UP133'!DZ51,"AAAAAHn299g=")</f>
        <v>#VALUE!</v>
      </c>
      <c r="HJ89" t="e">
        <f>AND('UP133'!EA51,"AAAAAHn299k=")</f>
        <v>#VALUE!</v>
      </c>
      <c r="HK89" t="e">
        <f>AND('UP133'!EB51,"AAAAAHn299o=")</f>
        <v>#VALUE!</v>
      </c>
      <c r="HL89" t="e">
        <f>AND('UP133'!EC51,"AAAAAHn299s=")</f>
        <v>#VALUE!</v>
      </c>
      <c r="HM89" t="e">
        <f>AND('UP133'!ED51,"AAAAAHn299w=")</f>
        <v>#VALUE!</v>
      </c>
      <c r="HN89" t="e">
        <f>AND('UP133'!EE51,"AAAAAHn2990=")</f>
        <v>#VALUE!</v>
      </c>
      <c r="HO89" t="e">
        <f>AND('UP133'!EF51,"AAAAAHn2994=")</f>
        <v>#VALUE!</v>
      </c>
      <c r="HP89" t="e">
        <f>AND('UP133'!EG51,"AAAAAHn2998=")</f>
        <v>#VALUE!</v>
      </c>
      <c r="HQ89" t="e">
        <f>AND('UP133'!EH51,"AAAAAHn29+A=")</f>
        <v>#VALUE!</v>
      </c>
      <c r="HR89" t="e">
        <f>AND('UP133'!EI51,"AAAAAHn29+E=")</f>
        <v>#VALUE!</v>
      </c>
      <c r="HS89" t="e">
        <f>AND('UP133'!EJ51,"AAAAAHn29+I=")</f>
        <v>#VALUE!</v>
      </c>
      <c r="HT89" t="e">
        <f>AND('UP133'!EK51,"AAAAAHn29+M=")</f>
        <v>#VALUE!</v>
      </c>
      <c r="HU89" t="e">
        <f>AND('UP133'!EL51,"AAAAAHn29+Q=")</f>
        <v>#VALUE!</v>
      </c>
      <c r="HV89" t="e">
        <f>AND('UP133'!EM51,"AAAAAHn29+U=")</f>
        <v>#VALUE!</v>
      </c>
      <c r="HW89" t="e">
        <f>AND('UP133'!EN51,"AAAAAHn29+Y=")</f>
        <v>#VALUE!</v>
      </c>
      <c r="HX89" t="e">
        <f>AND('UP133'!EO51,"AAAAAHn29+c=")</f>
        <v>#VALUE!</v>
      </c>
      <c r="HY89" t="e">
        <f>AND('UP133'!EP51,"AAAAAHn29+g=")</f>
        <v>#VALUE!</v>
      </c>
      <c r="HZ89" t="e">
        <f>AND('UP133'!EQ51,"AAAAAHn29+k=")</f>
        <v>#VALUE!</v>
      </c>
      <c r="IA89" t="e">
        <f>AND('UP133'!ER51,"AAAAAHn29+o=")</f>
        <v>#VALUE!</v>
      </c>
      <c r="IB89" t="e">
        <f>AND('UP133'!ES51,"AAAAAHn29+s=")</f>
        <v>#VALUE!</v>
      </c>
      <c r="IC89" t="e">
        <f>AND('UP133'!ET51,"AAAAAHn29+w=")</f>
        <v>#VALUE!</v>
      </c>
      <c r="ID89" t="e">
        <f>AND('UP133'!EU51,"AAAAAHn29+0=")</f>
        <v>#VALUE!</v>
      </c>
      <c r="IE89" t="e">
        <f>AND('UP133'!EV51,"AAAAAHn29+4=")</f>
        <v>#VALUE!</v>
      </c>
      <c r="IF89" t="e">
        <f>AND('UP133'!EW51,"AAAAAHn29+8=")</f>
        <v>#VALUE!</v>
      </c>
      <c r="IG89" t="e">
        <f>AND('UP133'!EX51,"AAAAAHn29/A=")</f>
        <v>#VALUE!</v>
      </c>
      <c r="IH89" t="e">
        <f>AND('UP133'!EY51,"AAAAAHn29/E=")</f>
        <v>#VALUE!</v>
      </c>
      <c r="II89" t="e">
        <f>AND('UP133'!EZ51,"AAAAAHn29/I=")</f>
        <v>#VALUE!</v>
      </c>
      <c r="IJ89" t="e">
        <f>AND('UP133'!FA51,"AAAAAHn29/M=")</f>
        <v>#VALUE!</v>
      </c>
      <c r="IK89" t="e">
        <f>AND('UP133'!FB51,"AAAAAHn29/Q=")</f>
        <v>#VALUE!</v>
      </c>
      <c r="IL89" t="e">
        <f>AND('UP133'!FC51,"AAAAAHn29/U=")</f>
        <v>#VALUE!</v>
      </c>
      <c r="IM89" t="e">
        <f>AND('UP133'!FD51,"AAAAAHn29/Y=")</f>
        <v>#VALUE!</v>
      </c>
      <c r="IN89" t="e">
        <f>AND('UP133'!FE51,"AAAAAHn29/c=")</f>
        <v>#VALUE!</v>
      </c>
      <c r="IO89" t="e">
        <f>AND('UP133'!FF51,"AAAAAHn29/g=")</f>
        <v>#VALUE!</v>
      </c>
      <c r="IP89" t="e">
        <f>AND('UP133'!FG51,"AAAAAHn29/k=")</f>
        <v>#VALUE!</v>
      </c>
      <c r="IQ89" t="e">
        <f>AND('UP133'!FH51,"AAAAAHn29/o=")</f>
        <v>#VALUE!</v>
      </c>
      <c r="IR89" t="e">
        <f>AND('UP133'!FI51,"AAAAAHn29/s=")</f>
        <v>#VALUE!</v>
      </c>
      <c r="IS89" t="e">
        <f>AND('UP133'!FJ51,"AAAAAHn29/w=")</f>
        <v>#VALUE!</v>
      </c>
      <c r="IT89" t="e">
        <f>AND('UP133'!FK51,"AAAAAHn29/0=")</f>
        <v>#VALUE!</v>
      </c>
      <c r="IU89" t="e">
        <f>AND('UP133'!FL51,"AAAAAHn29/4=")</f>
        <v>#VALUE!</v>
      </c>
      <c r="IV89" t="e">
        <f>AND('UP133'!FM51,"AAAAAHn29/8=")</f>
        <v>#VALUE!</v>
      </c>
    </row>
    <row r="90" spans="1:256">
      <c r="A90" t="e">
        <f>AND('UP133'!FN51,"AAAAAH/1WwA=")</f>
        <v>#VALUE!</v>
      </c>
      <c r="B90" t="e">
        <f>AND('UP133'!FO51,"AAAAAH/1WwE=")</f>
        <v>#VALUE!</v>
      </c>
      <c r="C90" t="e">
        <f>AND('UP133'!FP51,"AAAAAH/1WwI=")</f>
        <v>#VALUE!</v>
      </c>
      <c r="D90" t="e">
        <f>AND('UP133'!FQ51,"AAAAAH/1WwM=")</f>
        <v>#VALUE!</v>
      </c>
      <c r="E90" t="e">
        <f>AND('UP133'!FR51,"AAAAAH/1WwQ=")</f>
        <v>#VALUE!</v>
      </c>
      <c r="F90" t="e">
        <f>AND('UP133'!FS51,"AAAAAH/1WwU=")</f>
        <v>#VALUE!</v>
      </c>
      <c r="G90" t="e">
        <f>AND('UP133'!FT51,"AAAAAH/1WwY=")</f>
        <v>#VALUE!</v>
      </c>
      <c r="H90" t="e">
        <f>AND('UP133'!FU51,"AAAAAH/1Wwc=")</f>
        <v>#VALUE!</v>
      </c>
      <c r="I90" t="e">
        <f>AND('UP133'!FV51,"AAAAAH/1Wwg=")</f>
        <v>#VALUE!</v>
      </c>
      <c r="J90" t="e">
        <f>AND('UP133'!FW51,"AAAAAH/1Wwk=")</f>
        <v>#VALUE!</v>
      </c>
      <c r="K90" t="e">
        <f>AND('UP133'!FX51,"AAAAAH/1Wwo=")</f>
        <v>#VALUE!</v>
      </c>
      <c r="L90" t="e">
        <f>AND('UP133'!FY51,"AAAAAH/1Wws=")</f>
        <v>#VALUE!</v>
      </c>
      <c r="M90" t="e">
        <f>AND('UP133'!FZ51,"AAAAAH/1Www=")</f>
        <v>#VALUE!</v>
      </c>
      <c r="N90" t="e">
        <f>AND('UP133'!GA51,"AAAAAH/1Ww0=")</f>
        <v>#VALUE!</v>
      </c>
      <c r="O90" t="e">
        <f>AND('UP133'!GB51,"AAAAAH/1Ww4=")</f>
        <v>#VALUE!</v>
      </c>
      <c r="P90" t="e">
        <f>AND('UP133'!GC51,"AAAAAH/1Ww8=")</f>
        <v>#VALUE!</v>
      </c>
      <c r="Q90" t="e">
        <f>AND('UP133'!GD51,"AAAAAH/1WxA=")</f>
        <v>#VALUE!</v>
      </c>
      <c r="R90" t="e">
        <f>AND('UP133'!GE51,"AAAAAH/1WxE=")</f>
        <v>#VALUE!</v>
      </c>
      <c r="S90" t="e">
        <f>AND('UP133'!GF51,"AAAAAH/1WxI=")</f>
        <v>#VALUE!</v>
      </c>
      <c r="T90" t="e">
        <f>AND('UP133'!GG51,"AAAAAH/1WxM=")</f>
        <v>#VALUE!</v>
      </c>
      <c r="U90" t="e">
        <f>AND('UP133'!GH51,"AAAAAH/1WxQ=")</f>
        <v>#VALUE!</v>
      </c>
      <c r="V90" t="e">
        <f>AND('UP133'!GI51,"AAAAAH/1WxU=")</f>
        <v>#VALUE!</v>
      </c>
      <c r="W90" t="e">
        <f>AND('UP133'!GJ51,"AAAAAH/1WxY=")</f>
        <v>#VALUE!</v>
      </c>
      <c r="X90" t="e">
        <f>AND('UP133'!GK51,"AAAAAH/1Wxc=")</f>
        <v>#VALUE!</v>
      </c>
      <c r="Y90" t="e">
        <f>AND('UP133'!GL51,"AAAAAH/1Wxg=")</f>
        <v>#VALUE!</v>
      </c>
      <c r="Z90" t="e">
        <f>AND('UP133'!GM51,"AAAAAH/1Wxk=")</f>
        <v>#VALUE!</v>
      </c>
      <c r="AA90" t="e">
        <f>AND('UP133'!GN51,"AAAAAH/1Wxo=")</f>
        <v>#VALUE!</v>
      </c>
      <c r="AB90" t="e">
        <f>AND('UP133'!GO51,"AAAAAH/1Wxs=")</f>
        <v>#VALUE!</v>
      </c>
      <c r="AC90" t="e">
        <f>AND('UP133'!GP51,"AAAAAH/1Wxw=")</f>
        <v>#VALUE!</v>
      </c>
      <c r="AD90" t="e">
        <f>AND('UP133'!GQ51,"AAAAAH/1Wx0=")</f>
        <v>#VALUE!</v>
      </c>
      <c r="AE90" t="e">
        <f>AND('UP133'!GR51,"AAAAAH/1Wx4=")</f>
        <v>#VALUE!</v>
      </c>
      <c r="AF90" t="e">
        <f>AND('UP133'!GS51,"AAAAAH/1Wx8=")</f>
        <v>#VALUE!</v>
      </c>
      <c r="AG90" t="e">
        <f>AND('UP133'!GT51,"AAAAAH/1WyA=")</f>
        <v>#VALUE!</v>
      </c>
      <c r="AH90" t="e">
        <f>AND('UP133'!GU51,"AAAAAH/1WyE=")</f>
        <v>#VALUE!</v>
      </c>
      <c r="AI90" t="e">
        <f>AND('UP133'!GV51,"AAAAAH/1WyI=")</f>
        <v>#VALUE!</v>
      </c>
      <c r="AJ90" t="e">
        <f>AND('UP133'!GW51,"AAAAAH/1WyM=")</f>
        <v>#VALUE!</v>
      </c>
      <c r="AK90" t="e">
        <f>AND('UP133'!GX51,"AAAAAH/1WyQ=")</f>
        <v>#VALUE!</v>
      </c>
      <c r="AL90" t="e">
        <f>AND('UP133'!GY51,"AAAAAH/1WyU=")</f>
        <v>#VALUE!</v>
      </c>
      <c r="AM90" t="e">
        <f>AND('UP133'!GZ51,"AAAAAH/1WyY=")</f>
        <v>#VALUE!</v>
      </c>
      <c r="AN90" t="e">
        <f>AND('UP133'!HA51,"AAAAAH/1Wyc=")</f>
        <v>#VALUE!</v>
      </c>
      <c r="AO90" t="e">
        <f>AND('UP133'!HB51,"AAAAAH/1Wyg=")</f>
        <v>#VALUE!</v>
      </c>
      <c r="AP90" t="e">
        <f>AND('UP133'!HC51,"AAAAAH/1Wyk=")</f>
        <v>#VALUE!</v>
      </c>
      <c r="AQ90" t="e">
        <f>AND('UP133'!HD51,"AAAAAH/1Wyo=")</f>
        <v>#VALUE!</v>
      </c>
      <c r="AR90" t="e">
        <f>AND('UP133'!HE51,"AAAAAH/1Wys=")</f>
        <v>#VALUE!</v>
      </c>
      <c r="AS90" t="e">
        <f>AND('UP133'!HF51,"AAAAAH/1Wyw=")</f>
        <v>#VALUE!</v>
      </c>
      <c r="AT90" t="e">
        <f>AND('UP133'!HG51,"AAAAAH/1Wy0=")</f>
        <v>#VALUE!</v>
      </c>
      <c r="AU90" t="e">
        <f>AND('UP133'!HH51,"AAAAAH/1Wy4=")</f>
        <v>#VALUE!</v>
      </c>
      <c r="AV90" t="e">
        <f>AND('UP133'!HI51,"AAAAAH/1Wy8=")</f>
        <v>#VALUE!</v>
      </c>
      <c r="AW90" t="e">
        <f>AND('UP133'!HJ51,"AAAAAH/1WzA=")</f>
        <v>#VALUE!</v>
      </c>
      <c r="AX90" t="e">
        <f>AND('UP133'!HK51,"AAAAAH/1WzE=")</f>
        <v>#VALUE!</v>
      </c>
      <c r="AY90" t="e">
        <f>AND('UP133'!HL51,"AAAAAH/1WzI=")</f>
        <v>#VALUE!</v>
      </c>
      <c r="AZ90" t="e">
        <f>AND('UP133'!HM51,"AAAAAH/1WzM=")</f>
        <v>#VALUE!</v>
      </c>
      <c r="BA90" t="e">
        <f>AND('UP133'!HN51,"AAAAAH/1WzQ=")</f>
        <v>#VALUE!</v>
      </c>
      <c r="BB90" t="e">
        <f>AND('UP133'!HO51,"AAAAAH/1WzU=")</f>
        <v>#VALUE!</v>
      </c>
      <c r="BC90" t="e">
        <f>AND('UP133'!HP51,"AAAAAH/1WzY=")</f>
        <v>#VALUE!</v>
      </c>
      <c r="BD90" t="e">
        <f>AND('UP133'!HQ51,"AAAAAH/1Wzc=")</f>
        <v>#VALUE!</v>
      </c>
      <c r="BE90" t="e">
        <f>AND('UP133'!HR51,"AAAAAH/1Wzg=")</f>
        <v>#VALUE!</v>
      </c>
      <c r="BF90" t="e">
        <f>AND('UP133'!HS51,"AAAAAH/1Wzk=")</f>
        <v>#VALUE!</v>
      </c>
      <c r="BG90" t="e">
        <f>AND('UP133'!HT51,"AAAAAH/1Wzo=")</f>
        <v>#VALUE!</v>
      </c>
      <c r="BH90" t="e">
        <f>AND('UP133'!HU51,"AAAAAH/1Wzs=")</f>
        <v>#VALUE!</v>
      </c>
      <c r="BI90" t="e">
        <f>AND('UP133'!HV51,"AAAAAH/1Wzw=")</f>
        <v>#VALUE!</v>
      </c>
      <c r="BJ90" t="e">
        <f>AND('UP133'!HW51,"AAAAAH/1Wz0=")</f>
        <v>#VALUE!</v>
      </c>
      <c r="BK90" t="e">
        <f>AND('UP133'!HX51,"AAAAAH/1Wz4=")</f>
        <v>#VALUE!</v>
      </c>
      <c r="BL90" t="e">
        <f>AND('UP133'!HY51,"AAAAAH/1Wz8=")</f>
        <v>#VALUE!</v>
      </c>
      <c r="BM90" t="e">
        <f>AND('UP133'!HZ51,"AAAAAH/1W0A=")</f>
        <v>#VALUE!</v>
      </c>
      <c r="BN90" t="e">
        <f>AND('UP133'!IA51,"AAAAAH/1W0E=")</f>
        <v>#VALUE!</v>
      </c>
      <c r="BO90" t="e">
        <f>AND('UP133'!IB51,"AAAAAH/1W0I=")</f>
        <v>#VALUE!</v>
      </c>
      <c r="BP90" t="e">
        <f>AND('UP133'!IC51,"AAAAAH/1W0M=")</f>
        <v>#VALUE!</v>
      </c>
      <c r="BQ90" t="e">
        <f>AND('UP133'!ID51,"AAAAAH/1W0Q=")</f>
        <v>#VALUE!</v>
      </c>
      <c r="BR90" t="e">
        <f>AND('UP133'!IE51,"AAAAAH/1W0U=")</f>
        <v>#VALUE!</v>
      </c>
      <c r="BS90" t="e">
        <f>AND('UP133'!IF51,"AAAAAH/1W0Y=")</f>
        <v>#VALUE!</v>
      </c>
      <c r="BT90" t="e">
        <f>AND('UP133'!IG51,"AAAAAH/1W0c=")</f>
        <v>#VALUE!</v>
      </c>
      <c r="BU90" t="e">
        <f>AND('UP133'!IH51,"AAAAAH/1W0g=")</f>
        <v>#VALUE!</v>
      </c>
      <c r="BV90" t="e">
        <f>AND('UP133'!II51,"AAAAAH/1W0k=")</f>
        <v>#VALUE!</v>
      </c>
      <c r="BW90" t="e">
        <f>AND('UP133'!IJ51,"AAAAAH/1W0o=")</f>
        <v>#VALUE!</v>
      </c>
      <c r="BX90" t="e">
        <f>AND('UP133'!IK51,"AAAAAH/1W0s=")</f>
        <v>#VALUE!</v>
      </c>
      <c r="BY90" t="e">
        <f>AND('UP133'!IL51,"AAAAAH/1W0w=")</f>
        <v>#VALUE!</v>
      </c>
      <c r="BZ90" t="e">
        <f>AND('UP133'!IM51,"AAAAAH/1W00=")</f>
        <v>#VALUE!</v>
      </c>
      <c r="CA90" t="e">
        <f>AND('UP133'!IN51,"AAAAAH/1W04=")</f>
        <v>#VALUE!</v>
      </c>
      <c r="CB90" t="e">
        <f>AND('UP133'!IO51,"AAAAAH/1W08=")</f>
        <v>#VALUE!</v>
      </c>
      <c r="CC90" t="e">
        <f>AND('UP133'!IP51,"AAAAAH/1W1A=")</f>
        <v>#VALUE!</v>
      </c>
      <c r="CD90" t="e">
        <f>AND('UP133'!IQ51,"AAAAAH/1W1E=")</f>
        <v>#VALUE!</v>
      </c>
      <c r="CE90">
        <f>IF('UP133'!52:52,"AAAAAH/1W1I=",0)</f>
        <v>0</v>
      </c>
      <c r="CF90" t="e">
        <f>AND('UP133'!A52,"AAAAAH/1W1M=")</f>
        <v>#VALUE!</v>
      </c>
      <c r="CG90" t="e">
        <f>AND('UP133'!B52,"AAAAAH/1W1Q=")</f>
        <v>#VALUE!</v>
      </c>
      <c r="CH90" t="e">
        <f>AND('UP133'!C52,"AAAAAH/1W1U=")</f>
        <v>#VALUE!</v>
      </c>
      <c r="CI90" t="e">
        <f>AND('UP133'!D52,"AAAAAH/1W1Y=")</f>
        <v>#VALUE!</v>
      </c>
      <c r="CJ90" t="e">
        <f>AND('UP133'!E52,"AAAAAH/1W1c=")</f>
        <v>#VALUE!</v>
      </c>
      <c r="CK90" t="e">
        <f>AND('UP133'!F52,"AAAAAH/1W1g=")</f>
        <v>#VALUE!</v>
      </c>
      <c r="CL90" t="e">
        <f>AND('UP133'!G52,"AAAAAH/1W1k=")</f>
        <v>#VALUE!</v>
      </c>
      <c r="CM90" t="e">
        <f>AND('UP133'!H52,"AAAAAH/1W1o=")</f>
        <v>#VALUE!</v>
      </c>
      <c r="CN90" t="e">
        <f>AND('UP133'!I52,"AAAAAH/1W1s=")</f>
        <v>#VALUE!</v>
      </c>
      <c r="CO90" t="e">
        <f>AND('UP133'!J52,"AAAAAH/1W1w=")</f>
        <v>#VALUE!</v>
      </c>
      <c r="CP90" t="e">
        <f>AND('UP133'!K52,"AAAAAH/1W10=")</f>
        <v>#VALUE!</v>
      </c>
      <c r="CQ90" t="e">
        <f>AND('UP133'!L52,"AAAAAH/1W14=")</f>
        <v>#VALUE!</v>
      </c>
      <c r="CR90" t="e">
        <f>AND('UP133'!M52,"AAAAAH/1W18=")</f>
        <v>#VALUE!</v>
      </c>
      <c r="CS90" t="e">
        <f>AND('UP133'!N52,"AAAAAH/1W2A=")</f>
        <v>#VALUE!</v>
      </c>
      <c r="CT90" t="e">
        <f>AND('UP133'!O52,"AAAAAH/1W2E=")</f>
        <v>#VALUE!</v>
      </c>
      <c r="CU90" t="e">
        <f>AND('UP133'!P52,"AAAAAH/1W2I=")</f>
        <v>#VALUE!</v>
      </c>
      <c r="CV90" t="e">
        <f>AND('UP133'!Q52,"AAAAAH/1W2M=")</f>
        <v>#VALUE!</v>
      </c>
      <c r="CW90" t="e">
        <f>AND('UP133'!R52,"AAAAAH/1W2Q=")</f>
        <v>#VALUE!</v>
      </c>
      <c r="CX90" t="e">
        <f>AND('UP133'!S52,"AAAAAH/1W2U=")</f>
        <v>#VALUE!</v>
      </c>
      <c r="CY90" t="e">
        <f>AND('UP133'!T52,"AAAAAH/1W2Y=")</f>
        <v>#VALUE!</v>
      </c>
      <c r="CZ90" t="e">
        <f>AND('UP133'!U52,"AAAAAH/1W2c=")</f>
        <v>#VALUE!</v>
      </c>
      <c r="DA90" t="e">
        <f>AND('UP133'!V52,"AAAAAH/1W2g=")</f>
        <v>#VALUE!</v>
      </c>
      <c r="DB90" t="e">
        <f>AND('UP133'!W52,"AAAAAH/1W2k=")</f>
        <v>#VALUE!</v>
      </c>
      <c r="DC90" t="e">
        <f>AND('UP133'!X52,"AAAAAH/1W2o=")</f>
        <v>#VALUE!</v>
      </c>
      <c r="DD90" t="e">
        <f>AND('UP133'!Y52,"AAAAAH/1W2s=")</f>
        <v>#VALUE!</v>
      </c>
      <c r="DE90" t="e">
        <f>AND('UP133'!Z52,"AAAAAH/1W2w=")</f>
        <v>#VALUE!</v>
      </c>
      <c r="DF90" t="e">
        <f>AND('UP133'!AA52,"AAAAAH/1W20=")</f>
        <v>#VALUE!</v>
      </c>
      <c r="DG90" t="e">
        <f>AND('UP133'!AB52,"AAAAAH/1W24=")</f>
        <v>#VALUE!</v>
      </c>
      <c r="DH90" t="e">
        <f>AND('UP133'!AC52,"AAAAAH/1W28=")</f>
        <v>#VALUE!</v>
      </c>
      <c r="DI90" t="e">
        <f>AND('UP133'!AD52,"AAAAAH/1W3A=")</f>
        <v>#VALUE!</v>
      </c>
      <c r="DJ90" t="e">
        <f>AND('UP133'!AE52,"AAAAAH/1W3E=")</f>
        <v>#VALUE!</v>
      </c>
      <c r="DK90" t="e">
        <f>AND('UP133'!AF52,"AAAAAH/1W3I=")</f>
        <v>#VALUE!</v>
      </c>
      <c r="DL90" t="e">
        <f>AND('UP133'!AG52,"AAAAAH/1W3M=")</f>
        <v>#VALUE!</v>
      </c>
      <c r="DM90" t="e">
        <f>AND('UP133'!AH52,"AAAAAH/1W3Q=")</f>
        <v>#VALUE!</v>
      </c>
      <c r="DN90" t="e">
        <f>AND('UP133'!AI52,"AAAAAH/1W3U=")</f>
        <v>#VALUE!</v>
      </c>
      <c r="DO90" t="e">
        <f>AND('UP133'!AJ52,"AAAAAH/1W3Y=")</f>
        <v>#VALUE!</v>
      </c>
      <c r="DP90" t="e">
        <f>AND('UP133'!AK52,"AAAAAH/1W3c=")</f>
        <v>#VALUE!</v>
      </c>
      <c r="DQ90" t="e">
        <f>AND('UP133'!AL52,"AAAAAH/1W3g=")</f>
        <v>#VALUE!</v>
      </c>
      <c r="DR90" t="e">
        <f>AND('UP133'!AM52,"AAAAAH/1W3k=")</f>
        <v>#VALUE!</v>
      </c>
      <c r="DS90" t="e">
        <f>AND('UP133'!AN52,"AAAAAH/1W3o=")</f>
        <v>#VALUE!</v>
      </c>
      <c r="DT90" t="e">
        <f>AND('UP133'!AO52,"AAAAAH/1W3s=")</f>
        <v>#VALUE!</v>
      </c>
      <c r="DU90" t="e">
        <f>AND('UP133'!AP52,"AAAAAH/1W3w=")</f>
        <v>#VALUE!</v>
      </c>
      <c r="DV90" t="e">
        <f>AND('UP133'!AQ52,"AAAAAH/1W30=")</f>
        <v>#VALUE!</v>
      </c>
      <c r="DW90" t="e">
        <f>AND('UP133'!AR52,"AAAAAH/1W34=")</f>
        <v>#VALUE!</v>
      </c>
      <c r="DX90" t="e">
        <f>AND('UP133'!AS52,"AAAAAH/1W38=")</f>
        <v>#VALUE!</v>
      </c>
      <c r="DY90" t="e">
        <f>AND('UP133'!AT52,"AAAAAH/1W4A=")</f>
        <v>#VALUE!</v>
      </c>
      <c r="DZ90" t="e">
        <f>AND('UP133'!AU52,"AAAAAH/1W4E=")</f>
        <v>#VALUE!</v>
      </c>
      <c r="EA90" t="e">
        <f>AND('UP133'!AV52,"AAAAAH/1W4I=")</f>
        <v>#VALUE!</v>
      </c>
      <c r="EB90" t="e">
        <f>AND('UP133'!AW52,"AAAAAH/1W4M=")</f>
        <v>#VALUE!</v>
      </c>
      <c r="EC90" t="e">
        <f>AND('UP133'!AX52,"AAAAAH/1W4Q=")</f>
        <v>#VALUE!</v>
      </c>
      <c r="ED90" t="e">
        <f>AND('UP133'!AY52,"AAAAAH/1W4U=")</f>
        <v>#VALUE!</v>
      </c>
      <c r="EE90" t="e">
        <f>AND('UP133'!AZ52,"AAAAAH/1W4Y=")</f>
        <v>#VALUE!</v>
      </c>
      <c r="EF90" t="e">
        <f>AND('UP133'!BA52,"AAAAAH/1W4c=")</f>
        <v>#VALUE!</v>
      </c>
      <c r="EG90" t="e">
        <f>AND('UP133'!BB52,"AAAAAH/1W4g=")</f>
        <v>#VALUE!</v>
      </c>
      <c r="EH90" t="e">
        <f>AND('UP133'!BC52,"AAAAAH/1W4k=")</f>
        <v>#VALUE!</v>
      </c>
      <c r="EI90" t="e">
        <f>AND('UP133'!BD52,"AAAAAH/1W4o=")</f>
        <v>#VALUE!</v>
      </c>
      <c r="EJ90" t="e">
        <f>AND('UP133'!BE52,"AAAAAH/1W4s=")</f>
        <v>#VALUE!</v>
      </c>
      <c r="EK90" t="e">
        <f>AND('UP133'!BF52,"AAAAAH/1W4w=")</f>
        <v>#VALUE!</v>
      </c>
      <c r="EL90" t="e">
        <f>AND('UP133'!BG52,"AAAAAH/1W40=")</f>
        <v>#VALUE!</v>
      </c>
      <c r="EM90" t="e">
        <f>AND('UP133'!BH52,"AAAAAH/1W44=")</f>
        <v>#VALUE!</v>
      </c>
      <c r="EN90" t="e">
        <f>AND('UP133'!BI52,"AAAAAH/1W48=")</f>
        <v>#VALUE!</v>
      </c>
      <c r="EO90" t="e">
        <f>AND('UP133'!BJ52,"AAAAAH/1W5A=")</f>
        <v>#VALUE!</v>
      </c>
      <c r="EP90" t="e">
        <f>AND('UP133'!BK52,"AAAAAH/1W5E=")</f>
        <v>#VALUE!</v>
      </c>
      <c r="EQ90" t="e">
        <f>AND('UP133'!BL52,"AAAAAH/1W5I=")</f>
        <v>#VALUE!</v>
      </c>
      <c r="ER90" t="e">
        <f>AND('UP133'!BM52,"AAAAAH/1W5M=")</f>
        <v>#VALUE!</v>
      </c>
      <c r="ES90" t="e">
        <f>AND('UP133'!BN52,"AAAAAH/1W5Q=")</f>
        <v>#VALUE!</v>
      </c>
      <c r="ET90" t="e">
        <f>AND('UP133'!BO52,"AAAAAH/1W5U=")</f>
        <v>#VALUE!</v>
      </c>
      <c r="EU90" t="e">
        <f>AND('UP133'!BP52,"AAAAAH/1W5Y=")</f>
        <v>#VALUE!</v>
      </c>
      <c r="EV90" t="e">
        <f>AND('UP133'!BQ52,"AAAAAH/1W5c=")</f>
        <v>#VALUE!</v>
      </c>
      <c r="EW90" t="e">
        <f>AND('UP133'!BR52,"AAAAAH/1W5g=")</f>
        <v>#VALUE!</v>
      </c>
      <c r="EX90" t="e">
        <f>AND('UP133'!BS52,"AAAAAH/1W5k=")</f>
        <v>#VALUE!</v>
      </c>
      <c r="EY90" t="e">
        <f>AND('UP133'!BT52,"AAAAAH/1W5o=")</f>
        <v>#VALUE!</v>
      </c>
      <c r="EZ90" t="e">
        <f>AND('UP133'!BU52,"AAAAAH/1W5s=")</f>
        <v>#VALUE!</v>
      </c>
      <c r="FA90" t="e">
        <f>AND('UP133'!BV52,"AAAAAH/1W5w=")</f>
        <v>#VALUE!</v>
      </c>
      <c r="FB90" t="e">
        <f>AND('UP133'!BW52,"AAAAAH/1W50=")</f>
        <v>#VALUE!</v>
      </c>
      <c r="FC90" t="e">
        <f>AND('UP133'!BX52,"AAAAAH/1W54=")</f>
        <v>#VALUE!</v>
      </c>
      <c r="FD90" t="e">
        <f>AND('UP133'!BY52,"AAAAAH/1W58=")</f>
        <v>#VALUE!</v>
      </c>
      <c r="FE90" t="e">
        <f>AND('UP133'!BZ52,"AAAAAH/1W6A=")</f>
        <v>#VALUE!</v>
      </c>
      <c r="FF90" t="e">
        <f>AND('UP133'!CA52,"AAAAAH/1W6E=")</f>
        <v>#VALUE!</v>
      </c>
      <c r="FG90" t="e">
        <f>AND('UP133'!CB52,"AAAAAH/1W6I=")</f>
        <v>#VALUE!</v>
      </c>
      <c r="FH90" t="e">
        <f>AND('UP133'!CC52,"AAAAAH/1W6M=")</f>
        <v>#VALUE!</v>
      </c>
      <c r="FI90" t="e">
        <f>AND('UP133'!CD52,"AAAAAH/1W6Q=")</f>
        <v>#VALUE!</v>
      </c>
      <c r="FJ90" t="e">
        <f>AND('UP133'!CE52,"AAAAAH/1W6U=")</f>
        <v>#VALUE!</v>
      </c>
      <c r="FK90" t="e">
        <f>AND('UP133'!CF52,"AAAAAH/1W6Y=")</f>
        <v>#VALUE!</v>
      </c>
      <c r="FL90" t="e">
        <f>AND('UP133'!CG52,"AAAAAH/1W6c=")</f>
        <v>#VALUE!</v>
      </c>
      <c r="FM90" t="e">
        <f>AND('UP133'!CH52,"AAAAAH/1W6g=")</f>
        <v>#VALUE!</v>
      </c>
      <c r="FN90" t="e">
        <f>AND('UP133'!CI52,"AAAAAH/1W6k=")</f>
        <v>#VALUE!</v>
      </c>
      <c r="FO90" t="e">
        <f>AND('UP133'!CJ52,"AAAAAH/1W6o=")</f>
        <v>#VALUE!</v>
      </c>
      <c r="FP90" t="e">
        <f>AND('UP133'!CK52,"AAAAAH/1W6s=")</f>
        <v>#VALUE!</v>
      </c>
      <c r="FQ90" t="e">
        <f>AND('UP133'!CL52,"AAAAAH/1W6w=")</f>
        <v>#VALUE!</v>
      </c>
      <c r="FR90" t="e">
        <f>AND('UP133'!CM52,"AAAAAH/1W60=")</f>
        <v>#VALUE!</v>
      </c>
      <c r="FS90" t="e">
        <f>AND('UP133'!CN52,"AAAAAH/1W64=")</f>
        <v>#VALUE!</v>
      </c>
      <c r="FT90" t="e">
        <f>AND('UP133'!CO52,"AAAAAH/1W68=")</f>
        <v>#VALUE!</v>
      </c>
      <c r="FU90" t="e">
        <f>AND('UP133'!CP52,"AAAAAH/1W7A=")</f>
        <v>#VALUE!</v>
      </c>
      <c r="FV90" t="e">
        <f>AND('UP133'!CQ52,"AAAAAH/1W7E=")</f>
        <v>#VALUE!</v>
      </c>
      <c r="FW90" t="e">
        <f>AND('UP133'!CR52,"AAAAAH/1W7I=")</f>
        <v>#VALUE!</v>
      </c>
      <c r="FX90" t="e">
        <f>AND('UP133'!CS52,"AAAAAH/1W7M=")</f>
        <v>#VALUE!</v>
      </c>
      <c r="FY90" t="e">
        <f>AND('UP133'!CT52,"AAAAAH/1W7Q=")</f>
        <v>#VALUE!</v>
      </c>
      <c r="FZ90" t="e">
        <f>AND('UP133'!CU52,"AAAAAH/1W7U=")</f>
        <v>#VALUE!</v>
      </c>
      <c r="GA90" t="e">
        <f>AND('UP133'!CV52,"AAAAAH/1W7Y=")</f>
        <v>#VALUE!</v>
      </c>
      <c r="GB90" t="e">
        <f>AND('UP133'!CW52,"AAAAAH/1W7c=")</f>
        <v>#VALUE!</v>
      </c>
      <c r="GC90" t="e">
        <f>AND('UP133'!CX52,"AAAAAH/1W7g=")</f>
        <v>#VALUE!</v>
      </c>
      <c r="GD90" t="e">
        <f>AND('UP133'!CY52,"AAAAAH/1W7k=")</f>
        <v>#VALUE!</v>
      </c>
      <c r="GE90" t="e">
        <f>AND('UP133'!CZ52,"AAAAAH/1W7o=")</f>
        <v>#VALUE!</v>
      </c>
      <c r="GF90" t="e">
        <f>AND('UP133'!DA52,"AAAAAH/1W7s=")</f>
        <v>#VALUE!</v>
      </c>
      <c r="GG90" t="e">
        <f>AND('UP133'!DB52,"AAAAAH/1W7w=")</f>
        <v>#VALUE!</v>
      </c>
      <c r="GH90" t="e">
        <f>AND('UP133'!DC52,"AAAAAH/1W70=")</f>
        <v>#VALUE!</v>
      </c>
      <c r="GI90" t="e">
        <f>AND('UP133'!DD52,"AAAAAH/1W74=")</f>
        <v>#VALUE!</v>
      </c>
      <c r="GJ90" t="e">
        <f>AND('UP133'!DE52,"AAAAAH/1W78=")</f>
        <v>#VALUE!</v>
      </c>
      <c r="GK90" t="e">
        <f>AND('UP133'!DF52,"AAAAAH/1W8A=")</f>
        <v>#VALUE!</v>
      </c>
      <c r="GL90" t="e">
        <f>AND('UP133'!DG52,"AAAAAH/1W8E=")</f>
        <v>#VALUE!</v>
      </c>
      <c r="GM90" t="e">
        <f>AND('UP133'!DH52,"AAAAAH/1W8I=")</f>
        <v>#VALUE!</v>
      </c>
      <c r="GN90" t="e">
        <f>AND('UP133'!DI52,"AAAAAH/1W8M=")</f>
        <v>#VALUE!</v>
      </c>
      <c r="GO90" t="e">
        <f>AND('UP133'!DJ52,"AAAAAH/1W8Q=")</f>
        <v>#VALUE!</v>
      </c>
      <c r="GP90" t="e">
        <f>AND('UP133'!DK52,"AAAAAH/1W8U=")</f>
        <v>#VALUE!</v>
      </c>
      <c r="GQ90" t="e">
        <f>AND('UP133'!DL52,"AAAAAH/1W8Y=")</f>
        <v>#VALUE!</v>
      </c>
      <c r="GR90" t="e">
        <f>AND('UP133'!DM52,"AAAAAH/1W8c=")</f>
        <v>#VALUE!</v>
      </c>
      <c r="GS90" t="e">
        <f>AND('UP133'!DN52,"AAAAAH/1W8g=")</f>
        <v>#VALUE!</v>
      </c>
      <c r="GT90" t="e">
        <f>AND('UP133'!DO52,"AAAAAH/1W8k=")</f>
        <v>#VALUE!</v>
      </c>
      <c r="GU90" t="e">
        <f>AND('UP133'!DP52,"AAAAAH/1W8o=")</f>
        <v>#VALUE!</v>
      </c>
      <c r="GV90" t="e">
        <f>AND('UP133'!DQ52,"AAAAAH/1W8s=")</f>
        <v>#VALUE!</v>
      </c>
      <c r="GW90" t="e">
        <f>AND('UP133'!DR52,"AAAAAH/1W8w=")</f>
        <v>#VALUE!</v>
      </c>
      <c r="GX90" t="e">
        <f>AND('UP133'!DS52,"AAAAAH/1W80=")</f>
        <v>#VALUE!</v>
      </c>
      <c r="GY90" t="e">
        <f>AND('UP133'!DT52,"AAAAAH/1W84=")</f>
        <v>#VALUE!</v>
      </c>
      <c r="GZ90" t="e">
        <f>AND('UP133'!DU52,"AAAAAH/1W88=")</f>
        <v>#VALUE!</v>
      </c>
      <c r="HA90" t="e">
        <f>AND('UP133'!DV52,"AAAAAH/1W9A=")</f>
        <v>#VALUE!</v>
      </c>
      <c r="HB90" t="e">
        <f>AND('UP133'!DW52,"AAAAAH/1W9E=")</f>
        <v>#VALUE!</v>
      </c>
      <c r="HC90" t="e">
        <f>AND('UP133'!DX52,"AAAAAH/1W9I=")</f>
        <v>#VALUE!</v>
      </c>
      <c r="HD90" t="e">
        <f>AND('UP133'!DY52,"AAAAAH/1W9M=")</f>
        <v>#VALUE!</v>
      </c>
      <c r="HE90" t="e">
        <f>AND('UP133'!DZ52,"AAAAAH/1W9Q=")</f>
        <v>#VALUE!</v>
      </c>
      <c r="HF90" t="e">
        <f>AND('UP133'!EA52,"AAAAAH/1W9U=")</f>
        <v>#VALUE!</v>
      </c>
      <c r="HG90" t="e">
        <f>AND('UP133'!EB52,"AAAAAH/1W9Y=")</f>
        <v>#VALUE!</v>
      </c>
      <c r="HH90" t="e">
        <f>AND('UP133'!EC52,"AAAAAH/1W9c=")</f>
        <v>#VALUE!</v>
      </c>
      <c r="HI90" t="e">
        <f>AND('UP133'!ED52,"AAAAAH/1W9g=")</f>
        <v>#VALUE!</v>
      </c>
      <c r="HJ90" t="e">
        <f>AND('UP133'!EE52,"AAAAAH/1W9k=")</f>
        <v>#VALUE!</v>
      </c>
      <c r="HK90" t="e">
        <f>AND('UP133'!EF52,"AAAAAH/1W9o=")</f>
        <v>#VALUE!</v>
      </c>
      <c r="HL90" t="e">
        <f>AND('UP133'!EG52,"AAAAAH/1W9s=")</f>
        <v>#VALUE!</v>
      </c>
      <c r="HM90" t="e">
        <f>AND('UP133'!EH52,"AAAAAH/1W9w=")</f>
        <v>#VALUE!</v>
      </c>
      <c r="HN90" t="e">
        <f>AND('UP133'!EI52,"AAAAAH/1W90=")</f>
        <v>#VALUE!</v>
      </c>
      <c r="HO90" t="e">
        <f>AND('UP133'!EJ52,"AAAAAH/1W94=")</f>
        <v>#VALUE!</v>
      </c>
      <c r="HP90" t="e">
        <f>AND('UP133'!EK52,"AAAAAH/1W98=")</f>
        <v>#VALUE!</v>
      </c>
      <c r="HQ90" t="e">
        <f>AND('UP133'!EL52,"AAAAAH/1W+A=")</f>
        <v>#VALUE!</v>
      </c>
      <c r="HR90" t="e">
        <f>AND('UP133'!EM52,"AAAAAH/1W+E=")</f>
        <v>#VALUE!</v>
      </c>
      <c r="HS90" t="e">
        <f>AND('UP133'!EN52,"AAAAAH/1W+I=")</f>
        <v>#VALUE!</v>
      </c>
      <c r="HT90" t="e">
        <f>AND('UP133'!EO52,"AAAAAH/1W+M=")</f>
        <v>#VALUE!</v>
      </c>
      <c r="HU90" t="e">
        <f>AND('UP133'!EP52,"AAAAAH/1W+Q=")</f>
        <v>#VALUE!</v>
      </c>
      <c r="HV90" t="e">
        <f>AND('UP133'!EQ52,"AAAAAH/1W+U=")</f>
        <v>#VALUE!</v>
      </c>
      <c r="HW90" t="e">
        <f>AND('UP133'!ER52,"AAAAAH/1W+Y=")</f>
        <v>#VALUE!</v>
      </c>
      <c r="HX90" t="e">
        <f>AND('UP133'!ES52,"AAAAAH/1W+c=")</f>
        <v>#VALUE!</v>
      </c>
      <c r="HY90" t="e">
        <f>AND('UP133'!ET52,"AAAAAH/1W+g=")</f>
        <v>#VALUE!</v>
      </c>
      <c r="HZ90" t="e">
        <f>AND('UP133'!EU52,"AAAAAH/1W+k=")</f>
        <v>#VALUE!</v>
      </c>
      <c r="IA90" t="e">
        <f>AND('UP133'!EV52,"AAAAAH/1W+o=")</f>
        <v>#VALUE!</v>
      </c>
      <c r="IB90" t="e">
        <f>AND('UP133'!EW52,"AAAAAH/1W+s=")</f>
        <v>#VALUE!</v>
      </c>
      <c r="IC90" t="e">
        <f>AND('UP133'!EX52,"AAAAAH/1W+w=")</f>
        <v>#VALUE!</v>
      </c>
      <c r="ID90" t="e">
        <f>AND('UP133'!EY52,"AAAAAH/1W+0=")</f>
        <v>#VALUE!</v>
      </c>
      <c r="IE90" t="e">
        <f>AND('UP133'!EZ52,"AAAAAH/1W+4=")</f>
        <v>#VALUE!</v>
      </c>
      <c r="IF90" t="e">
        <f>AND('UP133'!FA52,"AAAAAH/1W+8=")</f>
        <v>#VALUE!</v>
      </c>
      <c r="IG90" t="e">
        <f>AND('UP133'!FB52,"AAAAAH/1W/A=")</f>
        <v>#VALUE!</v>
      </c>
      <c r="IH90" t="e">
        <f>AND('UP133'!FC52,"AAAAAH/1W/E=")</f>
        <v>#VALUE!</v>
      </c>
      <c r="II90" t="e">
        <f>AND('UP133'!FD52,"AAAAAH/1W/I=")</f>
        <v>#VALUE!</v>
      </c>
      <c r="IJ90" t="e">
        <f>AND('UP133'!FE52,"AAAAAH/1W/M=")</f>
        <v>#VALUE!</v>
      </c>
      <c r="IK90" t="e">
        <f>AND('UP133'!FF52,"AAAAAH/1W/Q=")</f>
        <v>#VALUE!</v>
      </c>
      <c r="IL90" t="e">
        <f>AND('UP133'!FG52,"AAAAAH/1W/U=")</f>
        <v>#VALUE!</v>
      </c>
      <c r="IM90" t="e">
        <f>AND('UP133'!FH52,"AAAAAH/1W/Y=")</f>
        <v>#VALUE!</v>
      </c>
      <c r="IN90" t="e">
        <f>AND('UP133'!FI52,"AAAAAH/1W/c=")</f>
        <v>#VALUE!</v>
      </c>
      <c r="IO90" t="e">
        <f>AND('UP133'!FJ52,"AAAAAH/1W/g=")</f>
        <v>#VALUE!</v>
      </c>
      <c r="IP90" t="e">
        <f>AND('UP133'!FK52,"AAAAAH/1W/k=")</f>
        <v>#VALUE!</v>
      </c>
      <c r="IQ90" t="e">
        <f>AND('UP133'!FL52,"AAAAAH/1W/o=")</f>
        <v>#VALUE!</v>
      </c>
      <c r="IR90" t="e">
        <f>AND('UP133'!FM52,"AAAAAH/1W/s=")</f>
        <v>#VALUE!</v>
      </c>
      <c r="IS90" t="e">
        <f>AND('UP133'!FN52,"AAAAAH/1W/w=")</f>
        <v>#VALUE!</v>
      </c>
      <c r="IT90" t="e">
        <f>AND('UP133'!FO52,"AAAAAH/1W/0=")</f>
        <v>#VALUE!</v>
      </c>
      <c r="IU90" t="e">
        <f>AND('UP133'!FP52,"AAAAAH/1W/4=")</f>
        <v>#VALUE!</v>
      </c>
      <c r="IV90" t="e">
        <f>AND('UP133'!FQ52,"AAAAAH/1W/8=")</f>
        <v>#VALUE!</v>
      </c>
    </row>
    <row r="91" spans="1:256">
      <c r="A91" t="e">
        <f>AND('UP133'!FR52,"AAAAAHv//wA=")</f>
        <v>#VALUE!</v>
      </c>
      <c r="B91" t="e">
        <f>AND('UP133'!FS52,"AAAAAHv//wE=")</f>
        <v>#VALUE!</v>
      </c>
      <c r="C91" t="e">
        <f>AND('UP133'!FT52,"AAAAAHv//wI=")</f>
        <v>#VALUE!</v>
      </c>
      <c r="D91" t="e">
        <f>AND('UP133'!FU52,"AAAAAHv//wM=")</f>
        <v>#VALUE!</v>
      </c>
      <c r="E91" t="e">
        <f>AND('UP133'!FV52,"AAAAAHv//wQ=")</f>
        <v>#VALUE!</v>
      </c>
      <c r="F91" t="e">
        <f>AND('UP133'!FW52,"AAAAAHv//wU=")</f>
        <v>#VALUE!</v>
      </c>
      <c r="G91" t="e">
        <f>AND('UP133'!FX52,"AAAAAHv//wY=")</f>
        <v>#VALUE!</v>
      </c>
      <c r="H91" t="e">
        <f>AND('UP133'!FY52,"AAAAAHv//wc=")</f>
        <v>#VALUE!</v>
      </c>
      <c r="I91" t="e">
        <f>AND('UP133'!FZ52,"AAAAAHv//wg=")</f>
        <v>#VALUE!</v>
      </c>
      <c r="J91" t="e">
        <f>AND('UP133'!GA52,"AAAAAHv//wk=")</f>
        <v>#VALUE!</v>
      </c>
      <c r="K91" t="e">
        <f>AND('UP133'!GB52,"AAAAAHv//wo=")</f>
        <v>#VALUE!</v>
      </c>
      <c r="L91" t="e">
        <f>AND('UP133'!GC52,"AAAAAHv//ws=")</f>
        <v>#VALUE!</v>
      </c>
      <c r="M91" t="e">
        <f>AND('UP133'!GD52,"AAAAAHv//ww=")</f>
        <v>#VALUE!</v>
      </c>
      <c r="N91" t="e">
        <f>AND('UP133'!GE52,"AAAAAHv//w0=")</f>
        <v>#VALUE!</v>
      </c>
      <c r="O91" t="e">
        <f>AND('UP133'!GF52,"AAAAAHv//w4=")</f>
        <v>#VALUE!</v>
      </c>
      <c r="P91" t="e">
        <f>AND('UP133'!GG52,"AAAAAHv//w8=")</f>
        <v>#VALUE!</v>
      </c>
      <c r="Q91" t="e">
        <f>AND('UP133'!GH52,"AAAAAHv//xA=")</f>
        <v>#VALUE!</v>
      </c>
      <c r="R91" t="e">
        <f>AND('UP133'!GI52,"AAAAAHv//xE=")</f>
        <v>#VALUE!</v>
      </c>
      <c r="S91" t="e">
        <f>AND('UP133'!GJ52,"AAAAAHv//xI=")</f>
        <v>#VALUE!</v>
      </c>
      <c r="T91" t="e">
        <f>AND('UP133'!GK52,"AAAAAHv//xM=")</f>
        <v>#VALUE!</v>
      </c>
      <c r="U91" t="e">
        <f>AND('UP133'!GL52,"AAAAAHv//xQ=")</f>
        <v>#VALUE!</v>
      </c>
      <c r="V91" t="e">
        <f>AND('UP133'!GM52,"AAAAAHv//xU=")</f>
        <v>#VALUE!</v>
      </c>
      <c r="W91" t="e">
        <f>AND('UP133'!GN52,"AAAAAHv//xY=")</f>
        <v>#VALUE!</v>
      </c>
      <c r="X91" t="e">
        <f>AND('UP133'!GO52,"AAAAAHv//xc=")</f>
        <v>#VALUE!</v>
      </c>
      <c r="Y91" t="e">
        <f>AND('UP133'!GP52,"AAAAAHv//xg=")</f>
        <v>#VALUE!</v>
      </c>
      <c r="Z91" t="e">
        <f>AND('UP133'!GQ52,"AAAAAHv//xk=")</f>
        <v>#VALUE!</v>
      </c>
      <c r="AA91" t="e">
        <f>AND('UP133'!GR52,"AAAAAHv//xo=")</f>
        <v>#VALUE!</v>
      </c>
      <c r="AB91" t="e">
        <f>AND('UP133'!GS52,"AAAAAHv//xs=")</f>
        <v>#VALUE!</v>
      </c>
      <c r="AC91" t="e">
        <f>AND('UP133'!GT52,"AAAAAHv//xw=")</f>
        <v>#VALUE!</v>
      </c>
      <c r="AD91" t="e">
        <f>AND('UP133'!GU52,"AAAAAHv//x0=")</f>
        <v>#VALUE!</v>
      </c>
      <c r="AE91" t="e">
        <f>AND('UP133'!GV52,"AAAAAHv//x4=")</f>
        <v>#VALUE!</v>
      </c>
      <c r="AF91" t="e">
        <f>AND('UP133'!GW52,"AAAAAHv//x8=")</f>
        <v>#VALUE!</v>
      </c>
      <c r="AG91" t="e">
        <f>AND('UP133'!GX52,"AAAAAHv//yA=")</f>
        <v>#VALUE!</v>
      </c>
      <c r="AH91" t="e">
        <f>AND('UP133'!GY52,"AAAAAHv//yE=")</f>
        <v>#VALUE!</v>
      </c>
      <c r="AI91" t="e">
        <f>AND('UP133'!GZ52,"AAAAAHv//yI=")</f>
        <v>#VALUE!</v>
      </c>
      <c r="AJ91" t="e">
        <f>AND('UP133'!HA52,"AAAAAHv//yM=")</f>
        <v>#VALUE!</v>
      </c>
      <c r="AK91" t="e">
        <f>AND('UP133'!HB52,"AAAAAHv//yQ=")</f>
        <v>#VALUE!</v>
      </c>
      <c r="AL91" t="e">
        <f>AND('UP133'!HC52,"AAAAAHv//yU=")</f>
        <v>#VALUE!</v>
      </c>
      <c r="AM91" t="e">
        <f>AND('UP133'!HD52,"AAAAAHv//yY=")</f>
        <v>#VALUE!</v>
      </c>
      <c r="AN91" t="e">
        <f>AND('UP133'!HE52,"AAAAAHv//yc=")</f>
        <v>#VALUE!</v>
      </c>
      <c r="AO91" t="e">
        <f>AND('UP133'!HF52,"AAAAAHv//yg=")</f>
        <v>#VALUE!</v>
      </c>
      <c r="AP91" t="e">
        <f>AND('UP133'!HG52,"AAAAAHv//yk=")</f>
        <v>#VALUE!</v>
      </c>
      <c r="AQ91" t="e">
        <f>AND('UP133'!HH52,"AAAAAHv//yo=")</f>
        <v>#VALUE!</v>
      </c>
      <c r="AR91" t="e">
        <f>AND('UP133'!HI52,"AAAAAHv//ys=")</f>
        <v>#VALUE!</v>
      </c>
      <c r="AS91" t="e">
        <f>AND('UP133'!HJ52,"AAAAAHv//yw=")</f>
        <v>#VALUE!</v>
      </c>
      <c r="AT91" t="e">
        <f>AND('UP133'!HK52,"AAAAAHv//y0=")</f>
        <v>#VALUE!</v>
      </c>
      <c r="AU91" t="e">
        <f>AND('UP133'!HL52,"AAAAAHv//y4=")</f>
        <v>#VALUE!</v>
      </c>
      <c r="AV91" t="e">
        <f>AND('UP133'!HM52,"AAAAAHv//y8=")</f>
        <v>#VALUE!</v>
      </c>
      <c r="AW91" t="e">
        <f>AND('UP133'!HN52,"AAAAAHv//zA=")</f>
        <v>#VALUE!</v>
      </c>
      <c r="AX91" t="e">
        <f>AND('UP133'!HO52,"AAAAAHv//zE=")</f>
        <v>#VALUE!</v>
      </c>
      <c r="AY91" t="e">
        <f>AND('UP133'!HP52,"AAAAAHv//zI=")</f>
        <v>#VALUE!</v>
      </c>
      <c r="AZ91" t="e">
        <f>AND('UP133'!HQ52,"AAAAAHv//zM=")</f>
        <v>#VALUE!</v>
      </c>
      <c r="BA91" t="e">
        <f>AND('UP133'!HR52,"AAAAAHv//zQ=")</f>
        <v>#VALUE!</v>
      </c>
      <c r="BB91" t="e">
        <f>AND('UP133'!HS52,"AAAAAHv//zU=")</f>
        <v>#VALUE!</v>
      </c>
      <c r="BC91" t="e">
        <f>AND('UP133'!HT52,"AAAAAHv//zY=")</f>
        <v>#VALUE!</v>
      </c>
      <c r="BD91" t="e">
        <f>AND('UP133'!HU52,"AAAAAHv//zc=")</f>
        <v>#VALUE!</v>
      </c>
      <c r="BE91" t="e">
        <f>AND('UP133'!HV52,"AAAAAHv//zg=")</f>
        <v>#VALUE!</v>
      </c>
      <c r="BF91" t="e">
        <f>AND('UP133'!HW52,"AAAAAHv//zk=")</f>
        <v>#VALUE!</v>
      </c>
      <c r="BG91" t="e">
        <f>AND('UP133'!HX52,"AAAAAHv//zo=")</f>
        <v>#VALUE!</v>
      </c>
      <c r="BH91" t="e">
        <f>AND('UP133'!HY52,"AAAAAHv//zs=")</f>
        <v>#VALUE!</v>
      </c>
      <c r="BI91" t="e">
        <f>AND('UP133'!HZ52,"AAAAAHv//zw=")</f>
        <v>#VALUE!</v>
      </c>
      <c r="BJ91" t="e">
        <f>AND('UP133'!IA52,"AAAAAHv//z0=")</f>
        <v>#VALUE!</v>
      </c>
      <c r="BK91" t="e">
        <f>AND('UP133'!IB52,"AAAAAHv//z4=")</f>
        <v>#VALUE!</v>
      </c>
      <c r="BL91" t="e">
        <f>AND('UP133'!IC52,"AAAAAHv//z8=")</f>
        <v>#VALUE!</v>
      </c>
      <c r="BM91" t="e">
        <f>AND('UP133'!ID52,"AAAAAHv//0A=")</f>
        <v>#VALUE!</v>
      </c>
      <c r="BN91" t="e">
        <f>AND('UP133'!IE52,"AAAAAHv//0E=")</f>
        <v>#VALUE!</v>
      </c>
      <c r="BO91" t="e">
        <f>AND('UP133'!IF52,"AAAAAHv//0I=")</f>
        <v>#VALUE!</v>
      </c>
      <c r="BP91" t="e">
        <f>AND('UP133'!IG52,"AAAAAHv//0M=")</f>
        <v>#VALUE!</v>
      </c>
      <c r="BQ91" t="e">
        <f>AND('UP133'!IH52,"AAAAAHv//0Q=")</f>
        <v>#VALUE!</v>
      </c>
      <c r="BR91" t="e">
        <f>AND('UP133'!II52,"AAAAAHv//0U=")</f>
        <v>#VALUE!</v>
      </c>
      <c r="BS91" t="e">
        <f>AND('UP133'!IJ52,"AAAAAHv//0Y=")</f>
        <v>#VALUE!</v>
      </c>
      <c r="BT91" t="e">
        <f>AND('UP133'!IK52,"AAAAAHv//0c=")</f>
        <v>#VALUE!</v>
      </c>
      <c r="BU91" t="e">
        <f>AND('UP133'!IL52,"AAAAAHv//0g=")</f>
        <v>#VALUE!</v>
      </c>
      <c r="BV91" t="e">
        <f>AND('UP133'!IM52,"AAAAAHv//0k=")</f>
        <v>#VALUE!</v>
      </c>
      <c r="BW91" t="e">
        <f>AND('UP133'!IN52,"AAAAAHv//0o=")</f>
        <v>#VALUE!</v>
      </c>
      <c r="BX91" t="e">
        <f>AND('UP133'!IO52,"AAAAAHv//0s=")</f>
        <v>#VALUE!</v>
      </c>
      <c r="BY91" t="e">
        <f>AND('UP133'!IP52,"AAAAAHv//0w=")</f>
        <v>#VALUE!</v>
      </c>
      <c r="BZ91" t="e">
        <f>AND('UP133'!IQ52,"AAAAAHv//00=")</f>
        <v>#VALUE!</v>
      </c>
      <c r="CA91">
        <f>IF('UP133'!53:53,"AAAAAHv//04=",0)</f>
        <v>0</v>
      </c>
      <c r="CB91" t="e">
        <f>AND('UP133'!A53,"AAAAAHv//08=")</f>
        <v>#VALUE!</v>
      </c>
      <c r="CC91" t="e">
        <f>AND('UP133'!B53,"AAAAAHv//1A=")</f>
        <v>#VALUE!</v>
      </c>
      <c r="CD91" t="e">
        <f>AND('UP133'!C53,"AAAAAHv//1E=")</f>
        <v>#VALUE!</v>
      </c>
      <c r="CE91" t="e">
        <f>AND('UP133'!D53,"AAAAAHv//1I=")</f>
        <v>#VALUE!</v>
      </c>
      <c r="CF91" t="e">
        <f>AND('UP133'!E53,"AAAAAHv//1M=")</f>
        <v>#VALUE!</v>
      </c>
      <c r="CG91" t="e">
        <f>AND('UP133'!F53,"AAAAAHv//1Q=")</f>
        <v>#VALUE!</v>
      </c>
      <c r="CH91" t="e">
        <f>AND('UP133'!G53,"AAAAAHv//1U=")</f>
        <v>#VALUE!</v>
      </c>
      <c r="CI91" t="e">
        <f>AND('UP133'!H53,"AAAAAHv//1Y=")</f>
        <v>#VALUE!</v>
      </c>
      <c r="CJ91" t="e">
        <f>AND('UP133'!I53,"AAAAAHv//1c=")</f>
        <v>#VALUE!</v>
      </c>
      <c r="CK91" t="e">
        <f>AND('UP133'!J53,"AAAAAHv//1g=")</f>
        <v>#VALUE!</v>
      </c>
      <c r="CL91" t="e">
        <f>AND('UP133'!K53,"AAAAAHv//1k=")</f>
        <v>#VALUE!</v>
      </c>
      <c r="CM91" t="e">
        <f>AND('UP133'!L53,"AAAAAHv//1o=")</f>
        <v>#VALUE!</v>
      </c>
      <c r="CN91" t="e">
        <f>AND('UP133'!M53,"AAAAAHv//1s=")</f>
        <v>#VALUE!</v>
      </c>
      <c r="CO91" t="e">
        <f>AND('UP133'!N53,"AAAAAHv//1w=")</f>
        <v>#VALUE!</v>
      </c>
      <c r="CP91" t="e">
        <f>AND('UP133'!O53,"AAAAAHv//10=")</f>
        <v>#VALUE!</v>
      </c>
      <c r="CQ91" t="e">
        <f>AND('UP133'!P53,"AAAAAHv//14=")</f>
        <v>#VALUE!</v>
      </c>
      <c r="CR91" t="e">
        <f>AND('UP133'!Q53,"AAAAAHv//18=")</f>
        <v>#VALUE!</v>
      </c>
      <c r="CS91" t="e">
        <f>AND('UP133'!R53,"AAAAAHv//2A=")</f>
        <v>#VALUE!</v>
      </c>
      <c r="CT91" t="e">
        <f>AND('UP133'!S53,"AAAAAHv//2E=")</f>
        <v>#VALUE!</v>
      </c>
      <c r="CU91" t="e">
        <f>AND('UP133'!T53,"AAAAAHv//2I=")</f>
        <v>#VALUE!</v>
      </c>
      <c r="CV91" t="e">
        <f>AND('UP133'!U53,"AAAAAHv//2M=")</f>
        <v>#VALUE!</v>
      </c>
      <c r="CW91" t="e">
        <f>AND('UP133'!V53,"AAAAAHv//2Q=")</f>
        <v>#VALUE!</v>
      </c>
      <c r="CX91" t="e">
        <f>AND('UP133'!W53,"AAAAAHv//2U=")</f>
        <v>#VALUE!</v>
      </c>
      <c r="CY91" t="e">
        <f>AND('UP133'!X53,"AAAAAHv//2Y=")</f>
        <v>#VALUE!</v>
      </c>
      <c r="CZ91" t="e">
        <f>AND('UP133'!Y53,"AAAAAHv//2c=")</f>
        <v>#VALUE!</v>
      </c>
      <c r="DA91" t="e">
        <f>AND('UP133'!Z53,"AAAAAHv//2g=")</f>
        <v>#VALUE!</v>
      </c>
      <c r="DB91" t="e">
        <f>AND('UP133'!AA53,"AAAAAHv//2k=")</f>
        <v>#VALUE!</v>
      </c>
      <c r="DC91" t="e">
        <f>AND('UP133'!AB53,"AAAAAHv//2o=")</f>
        <v>#VALUE!</v>
      </c>
      <c r="DD91" t="e">
        <f>AND('UP133'!AC53,"AAAAAHv//2s=")</f>
        <v>#VALUE!</v>
      </c>
      <c r="DE91" t="e">
        <f>AND('UP133'!AD53,"AAAAAHv//2w=")</f>
        <v>#VALUE!</v>
      </c>
      <c r="DF91" t="e">
        <f>AND('UP133'!AE53,"AAAAAHv//20=")</f>
        <v>#VALUE!</v>
      </c>
      <c r="DG91" t="e">
        <f>AND('UP133'!AF53,"AAAAAHv//24=")</f>
        <v>#VALUE!</v>
      </c>
      <c r="DH91" t="e">
        <f>AND('UP133'!AG53,"AAAAAHv//28=")</f>
        <v>#VALUE!</v>
      </c>
      <c r="DI91" t="e">
        <f>AND('UP133'!AH53,"AAAAAHv//3A=")</f>
        <v>#VALUE!</v>
      </c>
      <c r="DJ91" t="e">
        <f>AND('UP133'!AI53,"AAAAAHv//3E=")</f>
        <v>#VALUE!</v>
      </c>
      <c r="DK91" t="e">
        <f>AND('UP133'!AJ53,"AAAAAHv//3I=")</f>
        <v>#VALUE!</v>
      </c>
      <c r="DL91" t="e">
        <f>AND('UP133'!AK53,"AAAAAHv//3M=")</f>
        <v>#VALUE!</v>
      </c>
      <c r="DM91" t="e">
        <f>AND('UP133'!AL53,"AAAAAHv//3Q=")</f>
        <v>#VALUE!</v>
      </c>
      <c r="DN91" t="e">
        <f>AND('UP133'!AM53,"AAAAAHv//3U=")</f>
        <v>#VALUE!</v>
      </c>
      <c r="DO91" t="e">
        <f>AND('UP133'!AN53,"AAAAAHv//3Y=")</f>
        <v>#VALUE!</v>
      </c>
      <c r="DP91" t="e">
        <f>AND('UP133'!AO53,"AAAAAHv//3c=")</f>
        <v>#VALUE!</v>
      </c>
      <c r="DQ91" t="e">
        <f>AND('UP133'!AP53,"AAAAAHv//3g=")</f>
        <v>#VALUE!</v>
      </c>
      <c r="DR91" t="e">
        <f>AND('UP133'!AQ53,"AAAAAHv//3k=")</f>
        <v>#VALUE!</v>
      </c>
      <c r="DS91" t="e">
        <f>AND('UP133'!AR53,"AAAAAHv//3o=")</f>
        <v>#VALUE!</v>
      </c>
      <c r="DT91" t="e">
        <f>AND('UP133'!AS53,"AAAAAHv//3s=")</f>
        <v>#VALUE!</v>
      </c>
      <c r="DU91" t="e">
        <f>AND('UP133'!AT53,"AAAAAHv//3w=")</f>
        <v>#VALUE!</v>
      </c>
      <c r="DV91" t="e">
        <f>AND('UP133'!AU53,"AAAAAHv//30=")</f>
        <v>#VALUE!</v>
      </c>
      <c r="DW91" t="e">
        <f>AND('UP133'!AV53,"AAAAAHv//34=")</f>
        <v>#VALUE!</v>
      </c>
      <c r="DX91" t="e">
        <f>AND('UP133'!AW53,"AAAAAHv//38=")</f>
        <v>#VALUE!</v>
      </c>
      <c r="DY91" t="e">
        <f>AND('UP133'!AX53,"AAAAAHv//4A=")</f>
        <v>#VALUE!</v>
      </c>
      <c r="DZ91" t="e">
        <f>AND('UP133'!AY53,"AAAAAHv//4E=")</f>
        <v>#VALUE!</v>
      </c>
      <c r="EA91" t="e">
        <f>AND('UP133'!AZ53,"AAAAAHv//4I=")</f>
        <v>#VALUE!</v>
      </c>
      <c r="EB91" t="e">
        <f>AND('UP133'!BA53,"AAAAAHv//4M=")</f>
        <v>#VALUE!</v>
      </c>
      <c r="EC91" t="e">
        <f>AND('UP133'!BB53,"AAAAAHv//4Q=")</f>
        <v>#VALUE!</v>
      </c>
      <c r="ED91" t="e">
        <f>AND('UP133'!BC53,"AAAAAHv//4U=")</f>
        <v>#VALUE!</v>
      </c>
      <c r="EE91" t="e">
        <f>AND('UP133'!BD53,"AAAAAHv//4Y=")</f>
        <v>#VALUE!</v>
      </c>
      <c r="EF91" t="e">
        <f>AND('UP133'!BE53,"AAAAAHv//4c=")</f>
        <v>#VALUE!</v>
      </c>
      <c r="EG91" t="e">
        <f>AND('UP133'!BF53,"AAAAAHv//4g=")</f>
        <v>#VALUE!</v>
      </c>
      <c r="EH91" t="e">
        <f>AND('UP133'!BG53,"AAAAAHv//4k=")</f>
        <v>#VALUE!</v>
      </c>
      <c r="EI91" t="e">
        <f>AND('UP133'!BH53,"AAAAAHv//4o=")</f>
        <v>#VALUE!</v>
      </c>
      <c r="EJ91" t="e">
        <f>AND('UP133'!BI53,"AAAAAHv//4s=")</f>
        <v>#VALUE!</v>
      </c>
      <c r="EK91" t="e">
        <f>AND('UP133'!BJ53,"AAAAAHv//4w=")</f>
        <v>#VALUE!</v>
      </c>
      <c r="EL91" t="e">
        <f>AND('UP133'!BK53,"AAAAAHv//40=")</f>
        <v>#VALUE!</v>
      </c>
      <c r="EM91" t="e">
        <f>AND('UP133'!BL53,"AAAAAHv//44=")</f>
        <v>#VALUE!</v>
      </c>
      <c r="EN91" t="e">
        <f>AND('UP133'!BM53,"AAAAAHv//48=")</f>
        <v>#VALUE!</v>
      </c>
      <c r="EO91" t="e">
        <f>AND('UP133'!BN53,"AAAAAHv//5A=")</f>
        <v>#VALUE!</v>
      </c>
      <c r="EP91" t="e">
        <f>AND('UP133'!BO53,"AAAAAHv//5E=")</f>
        <v>#VALUE!</v>
      </c>
      <c r="EQ91" t="e">
        <f>AND('UP133'!BP53,"AAAAAHv//5I=")</f>
        <v>#VALUE!</v>
      </c>
      <c r="ER91" t="e">
        <f>AND('UP133'!BQ53,"AAAAAHv//5M=")</f>
        <v>#VALUE!</v>
      </c>
      <c r="ES91" t="e">
        <f>AND('UP133'!BR53,"AAAAAHv//5Q=")</f>
        <v>#VALUE!</v>
      </c>
      <c r="ET91" t="e">
        <f>AND('UP133'!BS53,"AAAAAHv//5U=")</f>
        <v>#VALUE!</v>
      </c>
      <c r="EU91" t="e">
        <f>AND('UP133'!BT53,"AAAAAHv//5Y=")</f>
        <v>#VALUE!</v>
      </c>
      <c r="EV91" t="e">
        <f>AND('UP133'!BU53,"AAAAAHv//5c=")</f>
        <v>#VALUE!</v>
      </c>
      <c r="EW91" t="e">
        <f>AND('UP133'!BV53,"AAAAAHv//5g=")</f>
        <v>#VALUE!</v>
      </c>
      <c r="EX91" t="e">
        <f>AND('UP133'!BW53,"AAAAAHv//5k=")</f>
        <v>#VALUE!</v>
      </c>
      <c r="EY91" t="e">
        <f>AND('UP133'!BX53,"AAAAAHv//5o=")</f>
        <v>#VALUE!</v>
      </c>
      <c r="EZ91" t="e">
        <f>AND('UP133'!BY53,"AAAAAHv//5s=")</f>
        <v>#VALUE!</v>
      </c>
      <c r="FA91" t="e">
        <f>AND('UP133'!BZ53,"AAAAAHv//5w=")</f>
        <v>#VALUE!</v>
      </c>
      <c r="FB91" t="e">
        <f>AND('UP133'!CA53,"AAAAAHv//50=")</f>
        <v>#VALUE!</v>
      </c>
      <c r="FC91" t="e">
        <f>AND('UP133'!CB53,"AAAAAHv//54=")</f>
        <v>#VALUE!</v>
      </c>
      <c r="FD91" t="e">
        <f>AND('UP133'!CC53,"AAAAAHv//58=")</f>
        <v>#VALUE!</v>
      </c>
      <c r="FE91" t="e">
        <f>AND('UP133'!CD53,"AAAAAHv//6A=")</f>
        <v>#VALUE!</v>
      </c>
      <c r="FF91" t="e">
        <f>AND('UP133'!CE53,"AAAAAHv//6E=")</f>
        <v>#VALUE!</v>
      </c>
      <c r="FG91" t="e">
        <f>AND('UP133'!CF53,"AAAAAHv//6I=")</f>
        <v>#VALUE!</v>
      </c>
      <c r="FH91" t="e">
        <f>AND('UP133'!CG53,"AAAAAHv//6M=")</f>
        <v>#VALUE!</v>
      </c>
      <c r="FI91" t="e">
        <f>AND('UP133'!CH53,"AAAAAHv//6Q=")</f>
        <v>#VALUE!</v>
      </c>
      <c r="FJ91" t="e">
        <f>AND('UP133'!CI53,"AAAAAHv//6U=")</f>
        <v>#VALUE!</v>
      </c>
      <c r="FK91" t="e">
        <f>AND('UP133'!CJ53,"AAAAAHv//6Y=")</f>
        <v>#VALUE!</v>
      </c>
      <c r="FL91" t="e">
        <f>AND('UP133'!CK53,"AAAAAHv//6c=")</f>
        <v>#VALUE!</v>
      </c>
      <c r="FM91" t="e">
        <f>AND('UP133'!CL53,"AAAAAHv//6g=")</f>
        <v>#VALUE!</v>
      </c>
      <c r="FN91" t="e">
        <f>AND('UP133'!CM53,"AAAAAHv//6k=")</f>
        <v>#VALUE!</v>
      </c>
      <c r="FO91" t="e">
        <f>AND('UP133'!CN53,"AAAAAHv//6o=")</f>
        <v>#VALUE!</v>
      </c>
      <c r="FP91" t="e">
        <f>AND('UP133'!CO53,"AAAAAHv//6s=")</f>
        <v>#VALUE!</v>
      </c>
      <c r="FQ91" t="e">
        <f>AND('UP133'!CP53,"AAAAAHv//6w=")</f>
        <v>#VALUE!</v>
      </c>
      <c r="FR91" t="e">
        <f>AND('UP133'!CQ53,"AAAAAHv//60=")</f>
        <v>#VALUE!</v>
      </c>
      <c r="FS91" t="e">
        <f>AND('UP133'!CR53,"AAAAAHv//64=")</f>
        <v>#VALUE!</v>
      </c>
      <c r="FT91" t="e">
        <f>AND('UP133'!CS53,"AAAAAHv//68=")</f>
        <v>#VALUE!</v>
      </c>
      <c r="FU91" t="e">
        <f>AND('UP133'!CT53,"AAAAAHv//7A=")</f>
        <v>#VALUE!</v>
      </c>
      <c r="FV91" t="e">
        <f>AND('UP133'!CU53,"AAAAAHv//7E=")</f>
        <v>#VALUE!</v>
      </c>
      <c r="FW91" t="e">
        <f>AND('UP133'!CV53,"AAAAAHv//7I=")</f>
        <v>#VALUE!</v>
      </c>
      <c r="FX91" t="e">
        <f>AND('UP133'!CW53,"AAAAAHv//7M=")</f>
        <v>#VALUE!</v>
      </c>
      <c r="FY91" t="e">
        <f>AND('UP133'!CX53,"AAAAAHv//7Q=")</f>
        <v>#VALUE!</v>
      </c>
      <c r="FZ91" t="e">
        <f>AND('UP133'!CY53,"AAAAAHv//7U=")</f>
        <v>#VALUE!</v>
      </c>
      <c r="GA91" t="e">
        <f>AND('UP133'!CZ53,"AAAAAHv//7Y=")</f>
        <v>#VALUE!</v>
      </c>
      <c r="GB91" t="e">
        <f>AND('UP133'!DA53,"AAAAAHv//7c=")</f>
        <v>#VALUE!</v>
      </c>
      <c r="GC91" t="e">
        <f>AND('UP133'!DB53,"AAAAAHv//7g=")</f>
        <v>#VALUE!</v>
      </c>
      <c r="GD91" t="e">
        <f>AND('UP133'!DC53,"AAAAAHv//7k=")</f>
        <v>#VALUE!</v>
      </c>
      <c r="GE91" t="e">
        <f>AND('UP133'!DD53,"AAAAAHv//7o=")</f>
        <v>#VALUE!</v>
      </c>
      <c r="GF91" t="e">
        <f>AND('UP133'!DE53,"AAAAAHv//7s=")</f>
        <v>#VALUE!</v>
      </c>
      <c r="GG91" t="e">
        <f>AND('UP133'!DF53,"AAAAAHv//7w=")</f>
        <v>#VALUE!</v>
      </c>
      <c r="GH91" t="e">
        <f>AND('UP133'!DG53,"AAAAAHv//70=")</f>
        <v>#VALUE!</v>
      </c>
      <c r="GI91" t="e">
        <f>AND('UP133'!DH53,"AAAAAHv//74=")</f>
        <v>#VALUE!</v>
      </c>
      <c r="GJ91" t="e">
        <f>AND('UP133'!DI53,"AAAAAHv//78=")</f>
        <v>#VALUE!</v>
      </c>
      <c r="GK91" t="e">
        <f>AND('UP133'!DJ53,"AAAAAHv//8A=")</f>
        <v>#VALUE!</v>
      </c>
      <c r="GL91" t="e">
        <f>AND('UP133'!DK53,"AAAAAHv//8E=")</f>
        <v>#VALUE!</v>
      </c>
      <c r="GM91" t="e">
        <f>AND('UP133'!DL53,"AAAAAHv//8I=")</f>
        <v>#VALUE!</v>
      </c>
      <c r="GN91" t="e">
        <f>AND('UP133'!DM53,"AAAAAHv//8M=")</f>
        <v>#VALUE!</v>
      </c>
      <c r="GO91" t="e">
        <f>AND('UP133'!DN53,"AAAAAHv//8Q=")</f>
        <v>#VALUE!</v>
      </c>
      <c r="GP91" t="e">
        <f>AND('UP133'!DO53,"AAAAAHv//8U=")</f>
        <v>#VALUE!</v>
      </c>
      <c r="GQ91" t="e">
        <f>AND('UP133'!DP53,"AAAAAHv//8Y=")</f>
        <v>#VALUE!</v>
      </c>
      <c r="GR91" t="e">
        <f>AND('UP133'!DQ53,"AAAAAHv//8c=")</f>
        <v>#VALUE!</v>
      </c>
      <c r="GS91" t="e">
        <f>AND('UP133'!DR53,"AAAAAHv//8g=")</f>
        <v>#VALUE!</v>
      </c>
      <c r="GT91" t="e">
        <f>AND('UP133'!DS53,"AAAAAHv//8k=")</f>
        <v>#VALUE!</v>
      </c>
      <c r="GU91" t="e">
        <f>AND('UP133'!DT53,"AAAAAHv//8o=")</f>
        <v>#VALUE!</v>
      </c>
      <c r="GV91" t="e">
        <f>AND('UP133'!DU53,"AAAAAHv//8s=")</f>
        <v>#VALUE!</v>
      </c>
      <c r="GW91" t="e">
        <f>AND('UP133'!DV53,"AAAAAHv//8w=")</f>
        <v>#VALUE!</v>
      </c>
      <c r="GX91" t="e">
        <f>AND('UP133'!DW53,"AAAAAHv//80=")</f>
        <v>#VALUE!</v>
      </c>
      <c r="GY91" t="e">
        <f>AND('UP133'!DX53,"AAAAAHv//84=")</f>
        <v>#VALUE!</v>
      </c>
      <c r="GZ91" t="e">
        <f>AND('UP133'!DY53,"AAAAAHv//88=")</f>
        <v>#VALUE!</v>
      </c>
      <c r="HA91" t="e">
        <f>AND('UP133'!DZ53,"AAAAAHv//9A=")</f>
        <v>#VALUE!</v>
      </c>
      <c r="HB91" t="e">
        <f>AND('UP133'!EA53,"AAAAAHv//9E=")</f>
        <v>#VALUE!</v>
      </c>
      <c r="HC91" t="e">
        <f>AND('UP133'!EB53,"AAAAAHv//9I=")</f>
        <v>#VALUE!</v>
      </c>
      <c r="HD91" t="e">
        <f>AND('UP133'!EC53,"AAAAAHv//9M=")</f>
        <v>#VALUE!</v>
      </c>
      <c r="HE91" t="e">
        <f>AND('UP133'!ED53,"AAAAAHv//9Q=")</f>
        <v>#VALUE!</v>
      </c>
      <c r="HF91" t="e">
        <f>AND('UP133'!EE53,"AAAAAHv//9U=")</f>
        <v>#VALUE!</v>
      </c>
      <c r="HG91" t="e">
        <f>AND('UP133'!EF53,"AAAAAHv//9Y=")</f>
        <v>#VALUE!</v>
      </c>
      <c r="HH91" t="e">
        <f>AND('UP133'!EG53,"AAAAAHv//9c=")</f>
        <v>#VALUE!</v>
      </c>
      <c r="HI91" t="e">
        <f>AND('UP133'!EH53,"AAAAAHv//9g=")</f>
        <v>#VALUE!</v>
      </c>
      <c r="HJ91" t="e">
        <f>AND('UP133'!EI53,"AAAAAHv//9k=")</f>
        <v>#VALUE!</v>
      </c>
      <c r="HK91" t="e">
        <f>AND('UP133'!EJ53,"AAAAAHv//9o=")</f>
        <v>#VALUE!</v>
      </c>
      <c r="HL91" t="e">
        <f>AND('UP133'!EK53,"AAAAAHv//9s=")</f>
        <v>#VALUE!</v>
      </c>
      <c r="HM91" t="e">
        <f>AND('UP133'!EL53,"AAAAAHv//9w=")</f>
        <v>#VALUE!</v>
      </c>
      <c r="HN91" t="e">
        <f>AND('UP133'!EM53,"AAAAAHv//90=")</f>
        <v>#VALUE!</v>
      </c>
      <c r="HO91" t="e">
        <f>AND('UP133'!EN53,"AAAAAHv//94=")</f>
        <v>#VALUE!</v>
      </c>
      <c r="HP91" t="e">
        <f>AND('UP133'!EO53,"AAAAAHv//98=")</f>
        <v>#VALUE!</v>
      </c>
      <c r="HQ91" t="e">
        <f>AND('UP133'!EP53,"AAAAAHv//+A=")</f>
        <v>#VALUE!</v>
      </c>
      <c r="HR91" t="e">
        <f>AND('UP133'!EQ53,"AAAAAHv//+E=")</f>
        <v>#VALUE!</v>
      </c>
      <c r="HS91" t="e">
        <f>AND('UP133'!ER53,"AAAAAHv//+I=")</f>
        <v>#VALUE!</v>
      </c>
      <c r="HT91" t="e">
        <f>AND('UP133'!ES53,"AAAAAHv//+M=")</f>
        <v>#VALUE!</v>
      </c>
      <c r="HU91" t="e">
        <f>AND('UP133'!ET53,"AAAAAHv//+Q=")</f>
        <v>#VALUE!</v>
      </c>
      <c r="HV91" t="e">
        <f>AND('UP133'!EU53,"AAAAAHv//+U=")</f>
        <v>#VALUE!</v>
      </c>
      <c r="HW91" t="e">
        <f>AND('UP133'!EV53,"AAAAAHv//+Y=")</f>
        <v>#VALUE!</v>
      </c>
      <c r="HX91" t="e">
        <f>AND('UP133'!EW53,"AAAAAHv//+c=")</f>
        <v>#VALUE!</v>
      </c>
      <c r="HY91" t="e">
        <f>AND('UP133'!EX53,"AAAAAHv//+g=")</f>
        <v>#VALUE!</v>
      </c>
      <c r="HZ91" t="e">
        <f>AND('UP133'!EY53,"AAAAAHv//+k=")</f>
        <v>#VALUE!</v>
      </c>
      <c r="IA91" t="e">
        <f>AND('UP133'!EZ53,"AAAAAHv//+o=")</f>
        <v>#VALUE!</v>
      </c>
      <c r="IB91" t="e">
        <f>AND('UP133'!FA53,"AAAAAHv//+s=")</f>
        <v>#VALUE!</v>
      </c>
      <c r="IC91" t="e">
        <f>AND('UP133'!FB53,"AAAAAHv//+w=")</f>
        <v>#VALUE!</v>
      </c>
      <c r="ID91" t="e">
        <f>AND('UP133'!FC53,"AAAAAHv//+0=")</f>
        <v>#VALUE!</v>
      </c>
      <c r="IE91" t="e">
        <f>AND('UP133'!FD53,"AAAAAHv//+4=")</f>
        <v>#VALUE!</v>
      </c>
      <c r="IF91" t="e">
        <f>AND('UP133'!FE53,"AAAAAHv//+8=")</f>
        <v>#VALUE!</v>
      </c>
      <c r="IG91" t="e">
        <f>AND('UP133'!FF53,"AAAAAHv///A=")</f>
        <v>#VALUE!</v>
      </c>
      <c r="IH91" t="e">
        <f>AND('UP133'!FG53,"AAAAAHv///E=")</f>
        <v>#VALUE!</v>
      </c>
      <c r="II91" t="e">
        <f>AND('UP133'!FH53,"AAAAAHv///I=")</f>
        <v>#VALUE!</v>
      </c>
      <c r="IJ91" t="e">
        <f>AND('UP133'!FI53,"AAAAAHv///M=")</f>
        <v>#VALUE!</v>
      </c>
      <c r="IK91" t="e">
        <f>AND('UP133'!FJ53,"AAAAAHv///Q=")</f>
        <v>#VALUE!</v>
      </c>
      <c r="IL91" t="e">
        <f>AND('UP133'!FK53,"AAAAAHv///U=")</f>
        <v>#VALUE!</v>
      </c>
      <c r="IM91" t="e">
        <f>AND('UP133'!FL53,"AAAAAHv///Y=")</f>
        <v>#VALUE!</v>
      </c>
      <c r="IN91" t="e">
        <f>AND('UP133'!FM53,"AAAAAHv///c=")</f>
        <v>#VALUE!</v>
      </c>
      <c r="IO91" t="e">
        <f>AND('UP133'!FN53,"AAAAAHv///g=")</f>
        <v>#VALUE!</v>
      </c>
      <c r="IP91" t="e">
        <f>AND('UP133'!FO53,"AAAAAHv///k=")</f>
        <v>#VALUE!</v>
      </c>
      <c r="IQ91" t="e">
        <f>AND('UP133'!FP53,"AAAAAHv///o=")</f>
        <v>#VALUE!</v>
      </c>
      <c r="IR91" t="e">
        <f>AND('UP133'!FQ53,"AAAAAHv///s=")</f>
        <v>#VALUE!</v>
      </c>
      <c r="IS91" t="e">
        <f>AND('UP133'!FR53,"AAAAAHv///w=")</f>
        <v>#VALUE!</v>
      </c>
      <c r="IT91" t="e">
        <f>AND('UP133'!FS53,"AAAAAHv///0=")</f>
        <v>#VALUE!</v>
      </c>
      <c r="IU91" t="e">
        <f>AND('UP133'!FT53,"AAAAAHv///4=")</f>
        <v>#VALUE!</v>
      </c>
      <c r="IV91" t="e">
        <f>AND('UP133'!FU53,"AAAAAHv///8=")</f>
        <v>#VALUE!</v>
      </c>
    </row>
    <row r="92" spans="1:256">
      <c r="A92" t="e">
        <f>AND('UP133'!FV53,"AAAAAH//TwA=")</f>
        <v>#VALUE!</v>
      </c>
      <c r="B92" t="e">
        <f>AND('UP133'!FW53,"AAAAAH//TwE=")</f>
        <v>#VALUE!</v>
      </c>
      <c r="C92" t="e">
        <f>AND('UP133'!FX53,"AAAAAH//TwI=")</f>
        <v>#VALUE!</v>
      </c>
      <c r="D92" t="e">
        <f>AND('UP133'!FY53,"AAAAAH//TwM=")</f>
        <v>#VALUE!</v>
      </c>
      <c r="E92" t="e">
        <f>AND('UP133'!FZ53,"AAAAAH//TwQ=")</f>
        <v>#VALUE!</v>
      </c>
      <c r="F92" t="e">
        <f>AND('UP133'!GA53,"AAAAAH//TwU=")</f>
        <v>#VALUE!</v>
      </c>
      <c r="G92" t="e">
        <f>AND('UP133'!GB53,"AAAAAH//TwY=")</f>
        <v>#VALUE!</v>
      </c>
      <c r="H92" t="e">
        <f>AND('UP133'!GC53,"AAAAAH//Twc=")</f>
        <v>#VALUE!</v>
      </c>
      <c r="I92" t="e">
        <f>AND('UP133'!GD53,"AAAAAH//Twg=")</f>
        <v>#VALUE!</v>
      </c>
      <c r="J92" t="e">
        <f>AND('UP133'!GE53,"AAAAAH//Twk=")</f>
        <v>#VALUE!</v>
      </c>
      <c r="K92" t="e">
        <f>AND('UP133'!GF53,"AAAAAH//Two=")</f>
        <v>#VALUE!</v>
      </c>
      <c r="L92" t="e">
        <f>AND('UP133'!GG53,"AAAAAH//Tws=")</f>
        <v>#VALUE!</v>
      </c>
      <c r="M92" t="e">
        <f>AND('UP133'!GH53,"AAAAAH//Tww=")</f>
        <v>#VALUE!</v>
      </c>
      <c r="N92" t="e">
        <f>AND('UP133'!GI53,"AAAAAH//Tw0=")</f>
        <v>#VALUE!</v>
      </c>
      <c r="O92" t="e">
        <f>AND('UP133'!GJ53,"AAAAAH//Tw4=")</f>
        <v>#VALUE!</v>
      </c>
      <c r="P92" t="e">
        <f>AND('UP133'!GK53,"AAAAAH//Tw8=")</f>
        <v>#VALUE!</v>
      </c>
      <c r="Q92" t="e">
        <f>AND('UP133'!GL53,"AAAAAH//TxA=")</f>
        <v>#VALUE!</v>
      </c>
      <c r="R92" t="e">
        <f>AND('UP133'!GM53,"AAAAAH//TxE=")</f>
        <v>#VALUE!</v>
      </c>
      <c r="S92" t="e">
        <f>AND('UP133'!GN53,"AAAAAH//TxI=")</f>
        <v>#VALUE!</v>
      </c>
      <c r="T92" t="e">
        <f>AND('UP133'!GO53,"AAAAAH//TxM=")</f>
        <v>#VALUE!</v>
      </c>
      <c r="U92" t="e">
        <f>AND('UP133'!GP53,"AAAAAH//TxQ=")</f>
        <v>#VALUE!</v>
      </c>
      <c r="V92" t="e">
        <f>AND('UP133'!GQ53,"AAAAAH//TxU=")</f>
        <v>#VALUE!</v>
      </c>
      <c r="W92" t="e">
        <f>AND('UP133'!GR53,"AAAAAH//TxY=")</f>
        <v>#VALUE!</v>
      </c>
      <c r="X92" t="e">
        <f>AND('UP133'!GS53,"AAAAAH//Txc=")</f>
        <v>#VALUE!</v>
      </c>
      <c r="Y92" t="e">
        <f>AND('UP133'!GT53,"AAAAAH//Txg=")</f>
        <v>#VALUE!</v>
      </c>
      <c r="Z92" t="e">
        <f>AND('UP133'!GU53,"AAAAAH//Txk=")</f>
        <v>#VALUE!</v>
      </c>
      <c r="AA92" t="e">
        <f>AND('UP133'!GV53,"AAAAAH//Txo=")</f>
        <v>#VALUE!</v>
      </c>
      <c r="AB92" t="e">
        <f>AND('UP133'!GW53,"AAAAAH//Txs=")</f>
        <v>#VALUE!</v>
      </c>
      <c r="AC92" t="e">
        <f>AND('UP133'!GX53,"AAAAAH//Txw=")</f>
        <v>#VALUE!</v>
      </c>
      <c r="AD92" t="e">
        <f>AND('UP133'!GY53,"AAAAAH//Tx0=")</f>
        <v>#VALUE!</v>
      </c>
      <c r="AE92" t="e">
        <f>AND('UP133'!GZ53,"AAAAAH//Tx4=")</f>
        <v>#VALUE!</v>
      </c>
      <c r="AF92" t="e">
        <f>AND('UP133'!HA53,"AAAAAH//Tx8=")</f>
        <v>#VALUE!</v>
      </c>
      <c r="AG92" t="e">
        <f>AND('UP133'!HB53,"AAAAAH//TyA=")</f>
        <v>#VALUE!</v>
      </c>
      <c r="AH92" t="e">
        <f>AND('UP133'!HC53,"AAAAAH//TyE=")</f>
        <v>#VALUE!</v>
      </c>
      <c r="AI92" t="e">
        <f>AND('UP133'!HD53,"AAAAAH//TyI=")</f>
        <v>#VALUE!</v>
      </c>
      <c r="AJ92" t="e">
        <f>AND('UP133'!HE53,"AAAAAH//TyM=")</f>
        <v>#VALUE!</v>
      </c>
      <c r="AK92" t="e">
        <f>AND('UP133'!HF53,"AAAAAH//TyQ=")</f>
        <v>#VALUE!</v>
      </c>
      <c r="AL92" t="e">
        <f>AND('UP133'!HG53,"AAAAAH//TyU=")</f>
        <v>#VALUE!</v>
      </c>
      <c r="AM92" t="e">
        <f>AND('UP133'!HH53,"AAAAAH//TyY=")</f>
        <v>#VALUE!</v>
      </c>
      <c r="AN92" t="e">
        <f>AND('UP133'!HI53,"AAAAAH//Tyc=")</f>
        <v>#VALUE!</v>
      </c>
      <c r="AO92" t="e">
        <f>AND('UP133'!HJ53,"AAAAAH//Tyg=")</f>
        <v>#VALUE!</v>
      </c>
      <c r="AP92" t="e">
        <f>AND('UP133'!HK53,"AAAAAH//Tyk=")</f>
        <v>#VALUE!</v>
      </c>
      <c r="AQ92" t="e">
        <f>AND('UP133'!HL53,"AAAAAH//Tyo=")</f>
        <v>#VALUE!</v>
      </c>
      <c r="AR92" t="e">
        <f>AND('UP133'!HM53,"AAAAAH//Tys=")</f>
        <v>#VALUE!</v>
      </c>
      <c r="AS92" t="e">
        <f>AND('UP133'!HN53,"AAAAAH//Tyw=")</f>
        <v>#VALUE!</v>
      </c>
      <c r="AT92" t="e">
        <f>AND('UP133'!HO53,"AAAAAH//Ty0=")</f>
        <v>#VALUE!</v>
      </c>
      <c r="AU92" t="e">
        <f>AND('UP133'!HP53,"AAAAAH//Ty4=")</f>
        <v>#VALUE!</v>
      </c>
      <c r="AV92" t="e">
        <f>AND('UP133'!HQ53,"AAAAAH//Ty8=")</f>
        <v>#VALUE!</v>
      </c>
      <c r="AW92" t="e">
        <f>AND('UP133'!HR53,"AAAAAH//TzA=")</f>
        <v>#VALUE!</v>
      </c>
      <c r="AX92" t="e">
        <f>AND('UP133'!HS53,"AAAAAH//TzE=")</f>
        <v>#VALUE!</v>
      </c>
      <c r="AY92" t="e">
        <f>AND('UP133'!HT53,"AAAAAH//TzI=")</f>
        <v>#VALUE!</v>
      </c>
      <c r="AZ92" t="e">
        <f>AND('UP133'!HU53,"AAAAAH//TzM=")</f>
        <v>#VALUE!</v>
      </c>
      <c r="BA92" t="e">
        <f>AND('UP133'!HV53,"AAAAAH//TzQ=")</f>
        <v>#VALUE!</v>
      </c>
      <c r="BB92" t="e">
        <f>AND('UP133'!HW53,"AAAAAH//TzU=")</f>
        <v>#VALUE!</v>
      </c>
      <c r="BC92" t="e">
        <f>AND('UP133'!HX53,"AAAAAH//TzY=")</f>
        <v>#VALUE!</v>
      </c>
      <c r="BD92" t="e">
        <f>AND('UP133'!HY53,"AAAAAH//Tzc=")</f>
        <v>#VALUE!</v>
      </c>
      <c r="BE92" t="e">
        <f>AND('UP133'!HZ53,"AAAAAH//Tzg=")</f>
        <v>#VALUE!</v>
      </c>
      <c r="BF92" t="e">
        <f>AND('UP133'!IA53,"AAAAAH//Tzk=")</f>
        <v>#VALUE!</v>
      </c>
      <c r="BG92" t="e">
        <f>AND('UP133'!IB53,"AAAAAH//Tzo=")</f>
        <v>#VALUE!</v>
      </c>
      <c r="BH92" t="e">
        <f>AND('UP133'!IC53,"AAAAAH//Tzs=")</f>
        <v>#VALUE!</v>
      </c>
      <c r="BI92" t="e">
        <f>AND('UP133'!ID53,"AAAAAH//Tzw=")</f>
        <v>#VALUE!</v>
      </c>
      <c r="BJ92" t="e">
        <f>AND('UP133'!IE53,"AAAAAH//Tz0=")</f>
        <v>#VALUE!</v>
      </c>
      <c r="BK92" t="e">
        <f>AND('UP133'!IF53,"AAAAAH//Tz4=")</f>
        <v>#VALUE!</v>
      </c>
      <c r="BL92" t="e">
        <f>AND('UP133'!IG53,"AAAAAH//Tz8=")</f>
        <v>#VALUE!</v>
      </c>
      <c r="BM92" t="e">
        <f>AND('UP133'!IH53,"AAAAAH//T0A=")</f>
        <v>#VALUE!</v>
      </c>
      <c r="BN92" t="e">
        <f>AND('UP133'!II53,"AAAAAH//T0E=")</f>
        <v>#VALUE!</v>
      </c>
      <c r="BO92" t="e">
        <f>AND('UP133'!IJ53,"AAAAAH//T0I=")</f>
        <v>#VALUE!</v>
      </c>
      <c r="BP92" t="e">
        <f>AND('UP133'!IK53,"AAAAAH//T0M=")</f>
        <v>#VALUE!</v>
      </c>
      <c r="BQ92" t="e">
        <f>AND('UP133'!IL53,"AAAAAH//T0Q=")</f>
        <v>#VALUE!</v>
      </c>
      <c r="BR92" t="e">
        <f>AND('UP133'!IM53,"AAAAAH//T0U=")</f>
        <v>#VALUE!</v>
      </c>
      <c r="BS92" t="e">
        <f>AND('UP133'!IN53,"AAAAAH//T0Y=")</f>
        <v>#VALUE!</v>
      </c>
      <c r="BT92" t="e">
        <f>AND('UP133'!IO53,"AAAAAH//T0c=")</f>
        <v>#VALUE!</v>
      </c>
      <c r="BU92" t="e">
        <f>AND('UP133'!IP53,"AAAAAH//T0g=")</f>
        <v>#VALUE!</v>
      </c>
      <c r="BV92" t="e">
        <f>AND('UP133'!IQ53,"AAAAAH//T0k=")</f>
        <v>#VALUE!</v>
      </c>
      <c r="BW92">
        <f>IF('UP133'!54:54,"AAAAAH//T0o=",0)</f>
        <v>0</v>
      </c>
      <c r="BX92" t="e">
        <f>AND('UP133'!A54,"AAAAAH//T0s=")</f>
        <v>#VALUE!</v>
      </c>
      <c r="BY92" t="e">
        <f>AND('UP133'!B54,"AAAAAH//T0w=")</f>
        <v>#VALUE!</v>
      </c>
      <c r="BZ92" t="e">
        <f>AND('UP133'!C54,"AAAAAH//T00=")</f>
        <v>#VALUE!</v>
      </c>
      <c r="CA92" t="e">
        <f>AND('UP133'!D54,"AAAAAH//T04=")</f>
        <v>#VALUE!</v>
      </c>
      <c r="CB92" t="e">
        <f>AND('UP133'!E54,"AAAAAH//T08=")</f>
        <v>#VALUE!</v>
      </c>
      <c r="CC92" t="e">
        <f>AND('UP133'!F54,"AAAAAH//T1A=")</f>
        <v>#VALUE!</v>
      </c>
      <c r="CD92" t="e">
        <f>AND('UP133'!G54,"AAAAAH//T1E=")</f>
        <v>#VALUE!</v>
      </c>
      <c r="CE92" t="e">
        <f>AND('UP133'!H54,"AAAAAH//T1I=")</f>
        <v>#VALUE!</v>
      </c>
      <c r="CF92" t="e">
        <f>AND('UP133'!I54,"AAAAAH//T1M=")</f>
        <v>#VALUE!</v>
      </c>
      <c r="CG92" t="e">
        <f>AND('UP133'!J54,"AAAAAH//T1Q=")</f>
        <v>#VALUE!</v>
      </c>
      <c r="CH92" t="e">
        <f>AND('UP133'!K54,"AAAAAH//T1U=")</f>
        <v>#VALUE!</v>
      </c>
      <c r="CI92" t="e">
        <f>AND('UP133'!L54,"AAAAAH//T1Y=")</f>
        <v>#VALUE!</v>
      </c>
      <c r="CJ92" t="e">
        <f>AND('UP133'!M54,"AAAAAH//T1c=")</f>
        <v>#VALUE!</v>
      </c>
      <c r="CK92" t="e">
        <f>AND('UP133'!N54,"AAAAAH//T1g=")</f>
        <v>#VALUE!</v>
      </c>
      <c r="CL92" t="e">
        <f>AND('UP133'!O54,"AAAAAH//T1k=")</f>
        <v>#VALUE!</v>
      </c>
      <c r="CM92" t="e">
        <f>AND('UP133'!P54,"AAAAAH//T1o=")</f>
        <v>#VALUE!</v>
      </c>
      <c r="CN92" t="e">
        <f>AND('UP133'!Q54,"AAAAAH//T1s=")</f>
        <v>#VALUE!</v>
      </c>
      <c r="CO92" t="e">
        <f>AND('UP133'!R54,"AAAAAH//T1w=")</f>
        <v>#VALUE!</v>
      </c>
      <c r="CP92" t="e">
        <f>AND('UP133'!S54,"AAAAAH//T10=")</f>
        <v>#VALUE!</v>
      </c>
      <c r="CQ92" t="e">
        <f>AND('UP133'!T54,"AAAAAH//T14=")</f>
        <v>#VALUE!</v>
      </c>
      <c r="CR92" t="e">
        <f>AND('UP133'!U54,"AAAAAH//T18=")</f>
        <v>#VALUE!</v>
      </c>
      <c r="CS92" t="e">
        <f>AND('UP133'!V54,"AAAAAH//T2A=")</f>
        <v>#VALUE!</v>
      </c>
      <c r="CT92" t="e">
        <f>AND('UP133'!W54,"AAAAAH//T2E=")</f>
        <v>#VALUE!</v>
      </c>
      <c r="CU92" t="e">
        <f>AND('UP133'!X54,"AAAAAH//T2I=")</f>
        <v>#VALUE!</v>
      </c>
      <c r="CV92" t="e">
        <f>AND('UP133'!Y54,"AAAAAH//T2M=")</f>
        <v>#VALUE!</v>
      </c>
      <c r="CW92" t="e">
        <f>AND('UP133'!Z54,"AAAAAH//T2Q=")</f>
        <v>#VALUE!</v>
      </c>
      <c r="CX92" t="e">
        <f>AND('UP133'!AA54,"AAAAAH//T2U=")</f>
        <v>#VALUE!</v>
      </c>
      <c r="CY92" t="e">
        <f>AND('UP133'!AB54,"AAAAAH//T2Y=")</f>
        <v>#VALUE!</v>
      </c>
      <c r="CZ92" t="e">
        <f>AND('UP133'!AC54,"AAAAAH//T2c=")</f>
        <v>#VALUE!</v>
      </c>
      <c r="DA92" t="e">
        <f>AND('UP133'!AD54,"AAAAAH//T2g=")</f>
        <v>#VALUE!</v>
      </c>
      <c r="DB92" t="e">
        <f>AND('UP133'!AE54,"AAAAAH//T2k=")</f>
        <v>#VALUE!</v>
      </c>
      <c r="DC92" t="e">
        <f>AND('UP133'!AF54,"AAAAAH//T2o=")</f>
        <v>#VALUE!</v>
      </c>
      <c r="DD92" t="e">
        <f>AND('UP133'!AG54,"AAAAAH//T2s=")</f>
        <v>#VALUE!</v>
      </c>
      <c r="DE92" t="e">
        <f>AND('UP133'!AH54,"AAAAAH//T2w=")</f>
        <v>#VALUE!</v>
      </c>
      <c r="DF92" t="e">
        <f>AND('UP133'!AI54,"AAAAAH//T20=")</f>
        <v>#VALUE!</v>
      </c>
      <c r="DG92" t="e">
        <f>AND('UP133'!AJ54,"AAAAAH//T24=")</f>
        <v>#VALUE!</v>
      </c>
      <c r="DH92" t="e">
        <f>AND('UP133'!AK54,"AAAAAH//T28=")</f>
        <v>#VALUE!</v>
      </c>
      <c r="DI92" t="e">
        <f>AND('UP133'!AL54,"AAAAAH//T3A=")</f>
        <v>#VALUE!</v>
      </c>
      <c r="DJ92" t="e">
        <f>AND('UP133'!AM54,"AAAAAH//T3E=")</f>
        <v>#VALUE!</v>
      </c>
      <c r="DK92" t="e">
        <f>AND('UP133'!AN54,"AAAAAH//T3I=")</f>
        <v>#VALUE!</v>
      </c>
      <c r="DL92" t="e">
        <f>AND('UP133'!AO54,"AAAAAH//T3M=")</f>
        <v>#VALUE!</v>
      </c>
      <c r="DM92" t="e">
        <f>AND('UP133'!AP54,"AAAAAH//T3Q=")</f>
        <v>#VALUE!</v>
      </c>
      <c r="DN92" t="e">
        <f>AND('UP133'!AQ54,"AAAAAH//T3U=")</f>
        <v>#VALUE!</v>
      </c>
      <c r="DO92" t="e">
        <f>AND('UP133'!AR54,"AAAAAH//T3Y=")</f>
        <v>#VALUE!</v>
      </c>
      <c r="DP92" t="e">
        <f>AND('UP133'!AS54,"AAAAAH//T3c=")</f>
        <v>#VALUE!</v>
      </c>
      <c r="DQ92" t="e">
        <f>AND('UP133'!AT54,"AAAAAH//T3g=")</f>
        <v>#VALUE!</v>
      </c>
      <c r="DR92" t="e">
        <f>AND('UP133'!AU54,"AAAAAH//T3k=")</f>
        <v>#VALUE!</v>
      </c>
      <c r="DS92" t="e">
        <f>AND('UP133'!AV54,"AAAAAH//T3o=")</f>
        <v>#VALUE!</v>
      </c>
      <c r="DT92" t="e">
        <f>AND('UP133'!AW54,"AAAAAH//T3s=")</f>
        <v>#VALUE!</v>
      </c>
      <c r="DU92" t="e">
        <f>AND('UP133'!AX54,"AAAAAH//T3w=")</f>
        <v>#VALUE!</v>
      </c>
      <c r="DV92" t="e">
        <f>AND('UP133'!AY54,"AAAAAH//T30=")</f>
        <v>#VALUE!</v>
      </c>
      <c r="DW92" t="e">
        <f>AND('UP133'!AZ54,"AAAAAH//T34=")</f>
        <v>#VALUE!</v>
      </c>
      <c r="DX92" t="e">
        <f>AND('UP133'!BA54,"AAAAAH//T38=")</f>
        <v>#VALUE!</v>
      </c>
      <c r="DY92" t="e">
        <f>AND('UP133'!BB54,"AAAAAH//T4A=")</f>
        <v>#VALUE!</v>
      </c>
      <c r="DZ92" t="e">
        <f>AND('UP133'!BC54,"AAAAAH//T4E=")</f>
        <v>#VALUE!</v>
      </c>
      <c r="EA92" t="e">
        <f>AND('UP133'!BD54,"AAAAAH//T4I=")</f>
        <v>#VALUE!</v>
      </c>
      <c r="EB92" t="e">
        <f>AND('UP133'!BE54,"AAAAAH//T4M=")</f>
        <v>#VALUE!</v>
      </c>
      <c r="EC92" t="e">
        <f>AND('UP133'!BF54,"AAAAAH//T4Q=")</f>
        <v>#VALUE!</v>
      </c>
      <c r="ED92" t="e">
        <f>AND('UP133'!BG54,"AAAAAH//T4U=")</f>
        <v>#VALUE!</v>
      </c>
      <c r="EE92" t="e">
        <f>AND('UP133'!BH54,"AAAAAH//T4Y=")</f>
        <v>#VALUE!</v>
      </c>
      <c r="EF92" t="e">
        <f>AND('UP133'!BI54,"AAAAAH//T4c=")</f>
        <v>#VALUE!</v>
      </c>
      <c r="EG92" t="e">
        <f>AND('UP133'!BJ54,"AAAAAH//T4g=")</f>
        <v>#VALUE!</v>
      </c>
      <c r="EH92" t="e">
        <f>AND('UP133'!BK54,"AAAAAH//T4k=")</f>
        <v>#VALUE!</v>
      </c>
      <c r="EI92" t="e">
        <f>AND('UP133'!BL54,"AAAAAH//T4o=")</f>
        <v>#VALUE!</v>
      </c>
      <c r="EJ92" t="e">
        <f>AND('UP133'!BM54,"AAAAAH//T4s=")</f>
        <v>#VALUE!</v>
      </c>
      <c r="EK92" t="e">
        <f>AND('UP133'!BN54,"AAAAAH//T4w=")</f>
        <v>#VALUE!</v>
      </c>
      <c r="EL92" t="e">
        <f>AND('UP133'!BO54,"AAAAAH//T40=")</f>
        <v>#VALUE!</v>
      </c>
      <c r="EM92" t="e">
        <f>AND('UP133'!BP54,"AAAAAH//T44=")</f>
        <v>#VALUE!</v>
      </c>
      <c r="EN92" t="e">
        <f>AND('UP133'!BQ54,"AAAAAH//T48=")</f>
        <v>#VALUE!</v>
      </c>
      <c r="EO92" t="e">
        <f>AND('UP133'!BR54,"AAAAAH//T5A=")</f>
        <v>#VALUE!</v>
      </c>
      <c r="EP92" t="e">
        <f>AND('UP133'!BS54,"AAAAAH//T5E=")</f>
        <v>#VALUE!</v>
      </c>
      <c r="EQ92" t="e">
        <f>AND('UP133'!BT54,"AAAAAH//T5I=")</f>
        <v>#VALUE!</v>
      </c>
      <c r="ER92" t="e">
        <f>AND('UP133'!BU54,"AAAAAH//T5M=")</f>
        <v>#VALUE!</v>
      </c>
      <c r="ES92" t="e">
        <f>AND('UP133'!BV54,"AAAAAH//T5Q=")</f>
        <v>#VALUE!</v>
      </c>
      <c r="ET92" t="e">
        <f>AND('UP133'!BW54,"AAAAAH//T5U=")</f>
        <v>#VALUE!</v>
      </c>
      <c r="EU92" t="e">
        <f>AND('UP133'!BX54,"AAAAAH//T5Y=")</f>
        <v>#VALUE!</v>
      </c>
      <c r="EV92" t="e">
        <f>AND('UP133'!BY54,"AAAAAH//T5c=")</f>
        <v>#VALUE!</v>
      </c>
      <c r="EW92" t="e">
        <f>AND('UP133'!BZ54,"AAAAAH//T5g=")</f>
        <v>#VALUE!</v>
      </c>
      <c r="EX92" t="e">
        <f>AND('UP133'!CA54,"AAAAAH//T5k=")</f>
        <v>#VALUE!</v>
      </c>
      <c r="EY92" t="e">
        <f>AND('UP133'!CB54,"AAAAAH//T5o=")</f>
        <v>#VALUE!</v>
      </c>
      <c r="EZ92" t="e">
        <f>AND('UP133'!CC54,"AAAAAH//T5s=")</f>
        <v>#VALUE!</v>
      </c>
      <c r="FA92" t="e">
        <f>AND('UP133'!CD54,"AAAAAH//T5w=")</f>
        <v>#VALUE!</v>
      </c>
      <c r="FB92" t="e">
        <f>AND('UP133'!CE54,"AAAAAH//T50=")</f>
        <v>#VALUE!</v>
      </c>
      <c r="FC92" t="e">
        <f>AND('UP133'!CF54,"AAAAAH//T54=")</f>
        <v>#VALUE!</v>
      </c>
      <c r="FD92" t="e">
        <f>AND('UP133'!CG54,"AAAAAH//T58=")</f>
        <v>#VALUE!</v>
      </c>
      <c r="FE92" t="e">
        <f>AND('UP133'!CH54,"AAAAAH//T6A=")</f>
        <v>#VALUE!</v>
      </c>
      <c r="FF92" t="e">
        <f>AND('UP133'!CI54,"AAAAAH//T6E=")</f>
        <v>#VALUE!</v>
      </c>
      <c r="FG92" t="e">
        <f>AND('UP133'!CJ54,"AAAAAH//T6I=")</f>
        <v>#VALUE!</v>
      </c>
      <c r="FH92" t="e">
        <f>AND('UP133'!CK54,"AAAAAH//T6M=")</f>
        <v>#VALUE!</v>
      </c>
      <c r="FI92" t="e">
        <f>AND('UP133'!CL54,"AAAAAH//T6Q=")</f>
        <v>#VALUE!</v>
      </c>
      <c r="FJ92" t="e">
        <f>AND('UP133'!CM54,"AAAAAH//T6U=")</f>
        <v>#VALUE!</v>
      </c>
      <c r="FK92" t="e">
        <f>AND('UP133'!CN54,"AAAAAH//T6Y=")</f>
        <v>#VALUE!</v>
      </c>
      <c r="FL92" t="e">
        <f>AND('UP133'!CO54,"AAAAAH//T6c=")</f>
        <v>#VALUE!</v>
      </c>
      <c r="FM92" t="e">
        <f>AND('UP133'!CP54,"AAAAAH//T6g=")</f>
        <v>#VALUE!</v>
      </c>
      <c r="FN92" t="e">
        <f>AND('UP133'!CQ54,"AAAAAH//T6k=")</f>
        <v>#VALUE!</v>
      </c>
      <c r="FO92" t="e">
        <f>AND('UP133'!CR54,"AAAAAH//T6o=")</f>
        <v>#VALUE!</v>
      </c>
      <c r="FP92" t="e">
        <f>AND('UP133'!CS54,"AAAAAH//T6s=")</f>
        <v>#VALUE!</v>
      </c>
      <c r="FQ92" t="e">
        <f>AND('UP133'!CT54,"AAAAAH//T6w=")</f>
        <v>#VALUE!</v>
      </c>
      <c r="FR92" t="e">
        <f>AND('UP133'!CU54,"AAAAAH//T60=")</f>
        <v>#VALUE!</v>
      </c>
      <c r="FS92" t="e">
        <f>AND('UP133'!CV54,"AAAAAH//T64=")</f>
        <v>#VALUE!</v>
      </c>
      <c r="FT92" t="e">
        <f>AND('UP133'!CW54,"AAAAAH//T68=")</f>
        <v>#VALUE!</v>
      </c>
      <c r="FU92" t="e">
        <f>AND('UP133'!CX54,"AAAAAH//T7A=")</f>
        <v>#VALUE!</v>
      </c>
      <c r="FV92" t="e">
        <f>AND('UP133'!CY54,"AAAAAH//T7E=")</f>
        <v>#VALUE!</v>
      </c>
      <c r="FW92" t="e">
        <f>AND('UP133'!CZ54,"AAAAAH//T7I=")</f>
        <v>#VALUE!</v>
      </c>
      <c r="FX92" t="e">
        <f>AND('UP133'!DA54,"AAAAAH//T7M=")</f>
        <v>#VALUE!</v>
      </c>
      <c r="FY92" t="e">
        <f>AND('UP133'!DB54,"AAAAAH//T7Q=")</f>
        <v>#VALUE!</v>
      </c>
      <c r="FZ92" t="e">
        <f>AND('UP133'!DC54,"AAAAAH//T7U=")</f>
        <v>#VALUE!</v>
      </c>
      <c r="GA92" t="e">
        <f>AND('UP133'!DD54,"AAAAAH//T7Y=")</f>
        <v>#VALUE!</v>
      </c>
      <c r="GB92" t="e">
        <f>AND('UP133'!DE54,"AAAAAH//T7c=")</f>
        <v>#VALUE!</v>
      </c>
      <c r="GC92" t="e">
        <f>AND('UP133'!DF54,"AAAAAH//T7g=")</f>
        <v>#VALUE!</v>
      </c>
      <c r="GD92" t="e">
        <f>AND('UP133'!DG54,"AAAAAH//T7k=")</f>
        <v>#VALUE!</v>
      </c>
      <c r="GE92" t="e">
        <f>AND('UP133'!DH54,"AAAAAH//T7o=")</f>
        <v>#VALUE!</v>
      </c>
      <c r="GF92" t="e">
        <f>AND('UP133'!DI54,"AAAAAH//T7s=")</f>
        <v>#VALUE!</v>
      </c>
      <c r="GG92" t="e">
        <f>AND('UP133'!DJ54,"AAAAAH//T7w=")</f>
        <v>#VALUE!</v>
      </c>
      <c r="GH92" t="e">
        <f>AND('UP133'!DK54,"AAAAAH//T70=")</f>
        <v>#VALUE!</v>
      </c>
      <c r="GI92" t="e">
        <f>AND('UP133'!DL54,"AAAAAH//T74=")</f>
        <v>#VALUE!</v>
      </c>
      <c r="GJ92" t="e">
        <f>AND('UP133'!DM54,"AAAAAH//T78=")</f>
        <v>#VALUE!</v>
      </c>
      <c r="GK92" t="e">
        <f>AND('UP133'!DN54,"AAAAAH//T8A=")</f>
        <v>#VALUE!</v>
      </c>
      <c r="GL92" t="e">
        <f>AND('UP133'!DO54,"AAAAAH//T8E=")</f>
        <v>#VALUE!</v>
      </c>
      <c r="GM92" t="e">
        <f>AND('UP133'!DP54,"AAAAAH//T8I=")</f>
        <v>#VALUE!</v>
      </c>
      <c r="GN92" t="e">
        <f>AND('UP133'!DQ54,"AAAAAH//T8M=")</f>
        <v>#VALUE!</v>
      </c>
      <c r="GO92" t="e">
        <f>AND('UP133'!DR54,"AAAAAH//T8Q=")</f>
        <v>#VALUE!</v>
      </c>
      <c r="GP92" t="e">
        <f>AND('UP133'!DS54,"AAAAAH//T8U=")</f>
        <v>#VALUE!</v>
      </c>
      <c r="GQ92" t="e">
        <f>AND('UP133'!DT54,"AAAAAH//T8Y=")</f>
        <v>#VALUE!</v>
      </c>
      <c r="GR92" t="e">
        <f>AND('UP133'!DU54,"AAAAAH//T8c=")</f>
        <v>#VALUE!</v>
      </c>
      <c r="GS92" t="e">
        <f>AND('UP133'!DV54,"AAAAAH//T8g=")</f>
        <v>#VALUE!</v>
      </c>
      <c r="GT92" t="e">
        <f>AND('UP133'!DW54,"AAAAAH//T8k=")</f>
        <v>#VALUE!</v>
      </c>
      <c r="GU92" t="e">
        <f>AND('UP133'!DX54,"AAAAAH//T8o=")</f>
        <v>#VALUE!</v>
      </c>
      <c r="GV92" t="e">
        <f>AND('UP133'!DY54,"AAAAAH//T8s=")</f>
        <v>#VALUE!</v>
      </c>
      <c r="GW92" t="e">
        <f>AND('UP133'!DZ54,"AAAAAH//T8w=")</f>
        <v>#VALUE!</v>
      </c>
      <c r="GX92" t="e">
        <f>AND('UP133'!EA54,"AAAAAH//T80=")</f>
        <v>#VALUE!</v>
      </c>
      <c r="GY92" t="e">
        <f>AND('UP133'!EB54,"AAAAAH//T84=")</f>
        <v>#VALUE!</v>
      </c>
      <c r="GZ92" t="e">
        <f>AND('UP133'!EC54,"AAAAAH//T88=")</f>
        <v>#VALUE!</v>
      </c>
      <c r="HA92" t="e">
        <f>AND('UP133'!ED54,"AAAAAH//T9A=")</f>
        <v>#VALUE!</v>
      </c>
      <c r="HB92" t="e">
        <f>AND('UP133'!EE54,"AAAAAH//T9E=")</f>
        <v>#VALUE!</v>
      </c>
      <c r="HC92" t="e">
        <f>AND('UP133'!EF54,"AAAAAH//T9I=")</f>
        <v>#VALUE!</v>
      </c>
      <c r="HD92" t="e">
        <f>AND('UP133'!EG54,"AAAAAH//T9M=")</f>
        <v>#VALUE!</v>
      </c>
      <c r="HE92" t="e">
        <f>AND('UP133'!EH54,"AAAAAH//T9Q=")</f>
        <v>#VALUE!</v>
      </c>
      <c r="HF92" t="e">
        <f>AND('UP133'!EI54,"AAAAAH//T9U=")</f>
        <v>#VALUE!</v>
      </c>
      <c r="HG92" t="e">
        <f>AND('UP133'!EJ54,"AAAAAH//T9Y=")</f>
        <v>#VALUE!</v>
      </c>
      <c r="HH92" t="e">
        <f>AND('UP133'!EK54,"AAAAAH//T9c=")</f>
        <v>#VALUE!</v>
      </c>
      <c r="HI92" t="e">
        <f>AND('UP133'!EL54,"AAAAAH//T9g=")</f>
        <v>#VALUE!</v>
      </c>
      <c r="HJ92" t="e">
        <f>AND('UP133'!EM54,"AAAAAH//T9k=")</f>
        <v>#VALUE!</v>
      </c>
      <c r="HK92" t="e">
        <f>AND('UP133'!EN54,"AAAAAH//T9o=")</f>
        <v>#VALUE!</v>
      </c>
      <c r="HL92" t="e">
        <f>AND('UP133'!EO54,"AAAAAH//T9s=")</f>
        <v>#VALUE!</v>
      </c>
      <c r="HM92" t="e">
        <f>AND('UP133'!EP54,"AAAAAH//T9w=")</f>
        <v>#VALUE!</v>
      </c>
      <c r="HN92" t="e">
        <f>AND('UP133'!EQ54,"AAAAAH//T90=")</f>
        <v>#VALUE!</v>
      </c>
      <c r="HO92" t="e">
        <f>AND('UP133'!ER54,"AAAAAH//T94=")</f>
        <v>#VALUE!</v>
      </c>
      <c r="HP92" t="e">
        <f>AND('UP133'!ES54,"AAAAAH//T98=")</f>
        <v>#VALUE!</v>
      </c>
      <c r="HQ92" t="e">
        <f>AND('UP133'!ET54,"AAAAAH//T+A=")</f>
        <v>#VALUE!</v>
      </c>
      <c r="HR92" t="e">
        <f>AND('UP133'!EU54,"AAAAAH//T+E=")</f>
        <v>#VALUE!</v>
      </c>
      <c r="HS92" t="e">
        <f>AND('UP133'!EV54,"AAAAAH//T+I=")</f>
        <v>#VALUE!</v>
      </c>
      <c r="HT92" t="e">
        <f>AND('UP133'!EW54,"AAAAAH//T+M=")</f>
        <v>#VALUE!</v>
      </c>
      <c r="HU92" t="e">
        <f>AND('UP133'!EX54,"AAAAAH//T+Q=")</f>
        <v>#VALUE!</v>
      </c>
      <c r="HV92" t="e">
        <f>AND('UP133'!EY54,"AAAAAH//T+U=")</f>
        <v>#VALUE!</v>
      </c>
      <c r="HW92" t="e">
        <f>AND('UP133'!EZ54,"AAAAAH//T+Y=")</f>
        <v>#VALUE!</v>
      </c>
      <c r="HX92" t="e">
        <f>AND('UP133'!FA54,"AAAAAH//T+c=")</f>
        <v>#VALUE!</v>
      </c>
      <c r="HY92" t="e">
        <f>AND('UP133'!FB54,"AAAAAH//T+g=")</f>
        <v>#VALUE!</v>
      </c>
      <c r="HZ92" t="e">
        <f>AND('UP133'!FC54,"AAAAAH//T+k=")</f>
        <v>#VALUE!</v>
      </c>
      <c r="IA92" t="e">
        <f>AND('UP133'!FD54,"AAAAAH//T+o=")</f>
        <v>#VALUE!</v>
      </c>
      <c r="IB92" t="e">
        <f>AND('UP133'!FE54,"AAAAAH//T+s=")</f>
        <v>#VALUE!</v>
      </c>
      <c r="IC92" t="e">
        <f>AND('UP133'!FF54,"AAAAAH//T+w=")</f>
        <v>#VALUE!</v>
      </c>
      <c r="ID92" t="e">
        <f>AND('UP133'!FG54,"AAAAAH//T+0=")</f>
        <v>#VALUE!</v>
      </c>
      <c r="IE92" t="e">
        <f>AND('UP133'!FH54,"AAAAAH//T+4=")</f>
        <v>#VALUE!</v>
      </c>
      <c r="IF92" t="e">
        <f>AND('UP133'!FI54,"AAAAAH//T+8=")</f>
        <v>#VALUE!</v>
      </c>
      <c r="IG92" t="e">
        <f>AND('UP133'!FJ54,"AAAAAH//T/A=")</f>
        <v>#VALUE!</v>
      </c>
      <c r="IH92" t="e">
        <f>AND('UP133'!FK54,"AAAAAH//T/E=")</f>
        <v>#VALUE!</v>
      </c>
      <c r="II92" t="e">
        <f>AND('UP133'!FL54,"AAAAAH//T/I=")</f>
        <v>#VALUE!</v>
      </c>
      <c r="IJ92" t="e">
        <f>AND('UP133'!FM54,"AAAAAH//T/M=")</f>
        <v>#VALUE!</v>
      </c>
      <c r="IK92" t="e">
        <f>AND('UP133'!FN54,"AAAAAH//T/Q=")</f>
        <v>#VALUE!</v>
      </c>
      <c r="IL92" t="e">
        <f>AND('UP133'!FO54,"AAAAAH//T/U=")</f>
        <v>#VALUE!</v>
      </c>
      <c r="IM92" t="e">
        <f>AND('UP133'!FP54,"AAAAAH//T/Y=")</f>
        <v>#VALUE!</v>
      </c>
      <c r="IN92" t="e">
        <f>AND('UP133'!FQ54,"AAAAAH//T/c=")</f>
        <v>#VALUE!</v>
      </c>
      <c r="IO92" t="e">
        <f>AND('UP133'!FR54,"AAAAAH//T/g=")</f>
        <v>#VALUE!</v>
      </c>
      <c r="IP92" t="e">
        <f>AND('UP133'!FS54,"AAAAAH//T/k=")</f>
        <v>#VALUE!</v>
      </c>
      <c r="IQ92" t="e">
        <f>AND('UP133'!FT54,"AAAAAH//T/o=")</f>
        <v>#VALUE!</v>
      </c>
      <c r="IR92" t="e">
        <f>AND('UP133'!FU54,"AAAAAH//T/s=")</f>
        <v>#VALUE!</v>
      </c>
      <c r="IS92" t="e">
        <f>AND('UP133'!FV54,"AAAAAH//T/w=")</f>
        <v>#VALUE!</v>
      </c>
      <c r="IT92" t="e">
        <f>AND('UP133'!FW54,"AAAAAH//T/0=")</f>
        <v>#VALUE!</v>
      </c>
      <c r="IU92" t="e">
        <f>AND('UP133'!FX54,"AAAAAH//T/4=")</f>
        <v>#VALUE!</v>
      </c>
      <c r="IV92" t="e">
        <f>AND('UP133'!FY54,"AAAAAH//T/8=")</f>
        <v>#VALUE!</v>
      </c>
    </row>
    <row r="93" spans="1:256">
      <c r="A93" t="e">
        <f>AND('UP133'!FZ54,"AAAAAD/XJwA=")</f>
        <v>#VALUE!</v>
      </c>
      <c r="B93" t="e">
        <f>AND('UP133'!GA54,"AAAAAD/XJwE=")</f>
        <v>#VALUE!</v>
      </c>
      <c r="C93" t="e">
        <f>AND('UP133'!GB54,"AAAAAD/XJwI=")</f>
        <v>#VALUE!</v>
      </c>
      <c r="D93" t="e">
        <f>AND('UP133'!GC54,"AAAAAD/XJwM=")</f>
        <v>#VALUE!</v>
      </c>
      <c r="E93" t="e">
        <f>AND('UP133'!GD54,"AAAAAD/XJwQ=")</f>
        <v>#VALUE!</v>
      </c>
      <c r="F93" t="e">
        <f>AND('UP133'!GE54,"AAAAAD/XJwU=")</f>
        <v>#VALUE!</v>
      </c>
      <c r="G93" t="e">
        <f>AND('UP133'!GF54,"AAAAAD/XJwY=")</f>
        <v>#VALUE!</v>
      </c>
      <c r="H93" t="e">
        <f>AND('UP133'!GG54,"AAAAAD/XJwc=")</f>
        <v>#VALUE!</v>
      </c>
      <c r="I93" t="e">
        <f>AND('UP133'!GH54,"AAAAAD/XJwg=")</f>
        <v>#VALUE!</v>
      </c>
      <c r="J93" t="e">
        <f>AND('UP133'!GI54,"AAAAAD/XJwk=")</f>
        <v>#VALUE!</v>
      </c>
      <c r="K93" t="e">
        <f>AND('UP133'!GJ54,"AAAAAD/XJwo=")</f>
        <v>#VALUE!</v>
      </c>
      <c r="L93" t="e">
        <f>AND('UP133'!GK54,"AAAAAD/XJws=")</f>
        <v>#VALUE!</v>
      </c>
      <c r="M93" t="e">
        <f>AND('UP133'!GL54,"AAAAAD/XJww=")</f>
        <v>#VALUE!</v>
      </c>
      <c r="N93" t="e">
        <f>AND('UP133'!GM54,"AAAAAD/XJw0=")</f>
        <v>#VALUE!</v>
      </c>
      <c r="O93" t="e">
        <f>AND('UP133'!GN54,"AAAAAD/XJw4=")</f>
        <v>#VALUE!</v>
      </c>
      <c r="P93" t="e">
        <f>AND('UP133'!GO54,"AAAAAD/XJw8=")</f>
        <v>#VALUE!</v>
      </c>
      <c r="Q93" t="e">
        <f>AND('UP133'!GP54,"AAAAAD/XJxA=")</f>
        <v>#VALUE!</v>
      </c>
      <c r="R93" t="e">
        <f>AND('UP133'!GQ54,"AAAAAD/XJxE=")</f>
        <v>#VALUE!</v>
      </c>
      <c r="S93" t="e">
        <f>AND('UP133'!GR54,"AAAAAD/XJxI=")</f>
        <v>#VALUE!</v>
      </c>
      <c r="T93" t="e">
        <f>AND('UP133'!GS54,"AAAAAD/XJxM=")</f>
        <v>#VALUE!</v>
      </c>
      <c r="U93" t="e">
        <f>AND('UP133'!GT54,"AAAAAD/XJxQ=")</f>
        <v>#VALUE!</v>
      </c>
      <c r="V93" t="e">
        <f>AND('UP133'!GU54,"AAAAAD/XJxU=")</f>
        <v>#VALUE!</v>
      </c>
      <c r="W93" t="e">
        <f>AND('UP133'!GV54,"AAAAAD/XJxY=")</f>
        <v>#VALUE!</v>
      </c>
      <c r="X93" t="e">
        <f>AND('UP133'!GW54,"AAAAAD/XJxc=")</f>
        <v>#VALUE!</v>
      </c>
      <c r="Y93" t="e">
        <f>AND('UP133'!GX54,"AAAAAD/XJxg=")</f>
        <v>#VALUE!</v>
      </c>
      <c r="Z93" t="e">
        <f>AND('UP133'!GY54,"AAAAAD/XJxk=")</f>
        <v>#VALUE!</v>
      </c>
      <c r="AA93" t="e">
        <f>AND('UP133'!GZ54,"AAAAAD/XJxo=")</f>
        <v>#VALUE!</v>
      </c>
      <c r="AB93" t="e">
        <f>AND('UP133'!HA54,"AAAAAD/XJxs=")</f>
        <v>#VALUE!</v>
      </c>
      <c r="AC93" t="e">
        <f>AND('UP133'!HB54,"AAAAAD/XJxw=")</f>
        <v>#VALUE!</v>
      </c>
      <c r="AD93" t="e">
        <f>AND('UP133'!HC54,"AAAAAD/XJx0=")</f>
        <v>#VALUE!</v>
      </c>
      <c r="AE93" t="e">
        <f>AND('UP133'!HD54,"AAAAAD/XJx4=")</f>
        <v>#VALUE!</v>
      </c>
      <c r="AF93" t="e">
        <f>AND('UP133'!HE54,"AAAAAD/XJx8=")</f>
        <v>#VALUE!</v>
      </c>
      <c r="AG93" t="e">
        <f>AND('UP133'!HF54,"AAAAAD/XJyA=")</f>
        <v>#VALUE!</v>
      </c>
      <c r="AH93" t="e">
        <f>AND('UP133'!HG54,"AAAAAD/XJyE=")</f>
        <v>#VALUE!</v>
      </c>
      <c r="AI93" t="e">
        <f>AND('UP133'!HH54,"AAAAAD/XJyI=")</f>
        <v>#VALUE!</v>
      </c>
      <c r="AJ93" t="e">
        <f>AND('UP133'!HI54,"AAAAAD/XJyM=")</f>
        <v>#VALUE!</v>
      </c>
      <c r="AK93" t="e">
        <f>AND('UP133'!HJ54,"AAAAAD/XJyQ=")</f>
        <v>#VALUE!</v>
      </c>
      <c r="AL93" t="e">
        <f>AND('UP133'!HK54,"AAAAAD/XJyU=")</f>
        <v>#VALUE!</v>
      </c>
      <c r="AM93" t="e">
        <f>AND('UP133'!HL54,"AAAAAD/XJyY=")</f>
        <v>#VALUE!</v>
      </c>
      <c r="AN93" t="e">
        <f>AND('UP133'!HM54,"AAAAAD/XJyc=")</f>
        <v>#VALUE!</v>
      </c>
      <c r="AO93" t="e">
        <f>AND('UP133'!HN54,"AAAAAD/XJyg=")</f>
        <v>#VALUE!</v>
      </c>
      <c r="AP93" t="e">
        <f>AND('UP133'!HO54,"AAAAAD/XJyk=")</f>
        <v>#VALUE!</v>
      </c>
      <c r="AQ93" t="e">
        <f>AND('UP133'!HP54,"AAAAAD/XJyo=")</f>
        <v>#VALUE!</v>
      </c>
      <c r="AR93" t="e">
        <f>AND('UP133'!HQ54,"AAAAAD/XJys=")</f>
        <v>#VALUE!</v>
      </c>
      <c r="AS93" t="e">
        <f>AND('UP133'!HR54,"AAAAAD/XJyw=")</f>
        <v>#VALUE!</v>
      </c>
      <c r="AT93" t="e">
        <f>AND('UP133'!HS54,"AAAAAD/XJy0=")</f>
        <v>#VALUE!</v>
      </c>
      <c r="AU93" t="e">
        <f>AND('UP133'!HT54,"AAAAAD/XJy4=")</f>
        <v>#VALUE!</v>
      </c>
      <c r="AV93" t="e">
        <f>AND('UP133'!HU54,"AAAAAD/XJy8=")</f>
        <v>#VALUE!</v>
      </c>
      <c r="AW93" t="e">
        <f>AND('UP133'!HV54,"AAAAAD/XJzA=")</f>
        <v>#VALUE!</v>
      </c>
      <c r="AX93" t="e">
        <f>AND('UP133'!HW54,"AAAAAD/XJzE=")</f>
        <v>#VALUE!</v>
      </c>
      <c r="AY93" t="e">
        <f>AND('UP133'!HX54,"AAAAAD/XJzI=")</f>
        <v>#VALUE!</v>
      </c>
      <c r="AZ93" t="e">
        <f>AND('UP133'!HY54,"AAAAAD/XJzM=")</f>
        <v>#VALUE!</v>
      </c>
      <c r="BA93" t="e">
        <f>AND('UP133'!HZ54,"AAAAAD/XJzQ=")</f>
        <v>#VALUE!</v>
      </c>
      <c r="BB93" t="e">
        <f>AND('UP133'!IA54,"AAAAAD/XJzU=")</f>
        <v>#VALUE!</v>
      </c>
      <c r="BC93" t="e">
        <f>AND('UP133'!IB54,"AAAAAD/XJzY=")</f>
        <v>#VALUE!</v>
      </c>
      <c r="BD93" t="e">
        <f>AND('UP133'!IC54,"AAAAAD/XJzc=")</f>
        <v>#VALUE!</v>
      </c>
      <c r="BE93" t="e">
        <f>AND('UP133'!ID54,"AAAAAD/XJzg=")</f>
        <v>#VALUE!</v>
      </c>
      <c r="BF93" t="e">
        <f>AND('UP133'!IE54,"AAAAAD/XJzk=")</f>
        <v>#VALUE!</v>
      </c>
      <c r="BG93" t="e">
        <f>AND('UP133'!IF54,"AAAAAD/XJzo=")</f>
        <v>#VALUE!</v>
      </c>
      <c r="BH93" t="e">
        <f>AND('UP133'!IG54,"AAAAAD/XJzs=")</f>
        <v>#VALUE!</v>
      </c>
      <c r="BI93" t="e">
        <f>AND('UP133'!IH54,"AAAAAD/XJzw=")</f>
        <v>#VALUE!</v>
      </c>
      <c r="BJ93" t="e">
        <f>AND('UP133'!II54,"AAAAAD/XJz0=")</f>
        <v>#VALUE!</v>
      </c>
      <c r="BK93" t="e">
        <f>AND('UP133'!IJ54,"AAAAAD/XJz4=")</f>
        <v>#VALUE!</v>
      </c>
      <c r="BL93" t="e">
        <f>AND('UP133'!IK54,"AAAAAD/XJz8=")</f>
        <v>#VALUE!</v>
      </c>
      <c r="BM93" t="e">
        <f>AND('UP133'!IL54,"AAAAAD/XJ0A=")</f>
        <v>#VALUE!</v>
      </c>
      <c r="BN93" t="e">
        <f>AND('UP133'!IM54,"AAAAAD/XJ0E=")</f>
        <v>#VALUE!</v>
      </c>
      <c r="BO93" t="e">
        <f>AND('UP133'!IN54,"AAAAAD/XJ0I=")</f>
        <v>#VALUE!</v>
      </c>
      <c r="BP93" t="e">
        <f>AND('UP133'!IO54,"AAAAAD/XJ0M=")</f>
        <v>#VALUE!</v>
      </c>
      <c r="BQ93" t="e">
        <f>AND('UP133'!IP54,"AAAAAD/XJ0Q=")</f>
        <v>#VALUE!</v>
      </c>
      <c r="BR93" t="e">
        <f>AND('UP133'!IQ54,"AAAAAD/XJ0U=")</f>
        <v>#VALUE!</v>
      </c>
      <c r="BS93">
        <f>IF('UP133'!55:55,"AAAAAD/XJ0Y=",0)</f>
        <v>0</v>
      </c>
      <c r="BT93" t="e">
        <f>AND('UP133'!A55,"AAAAAD/XJ0c=")</f>
        <v>#VALUE!</v>
      </c>
      <c r="BU93" t="e">
        <f>AND('UP133'!B55,"AAAAAD/XJ0g=")</f>
        <v>#VALUE!</v>
      </c>
      <c r="BV93" t="e">
        <f>AND('UP133'!C55,"AAAAAD/XJ0k=")</f>
        <v>#VALUE!</v>
      </c>
      <c r="BW93" t="e">
        <f>AND('UP133'!D55,"AAAAAD/XJ0o=")</f>
        <v>#VALUE!</v>
      </c>
      <c r="BX93" t="e">
        <f>AND('UP133'!E55,"AAAAAD/XJ0s=")</f>
        <v>#VALUE!</v>
      </c>
      <c r="BY93" t="e">
        <f>AND('UP133'!F55,"AAAAAD/XJ0w=")</f>
        <v>#VALUE!</v>
      </c>
      <c r="BZ93" t="e">
        <f>AND('UP133'!G55,"AAAAAD/XJ00=")</f>
        <v>#VALUE!</v>
      </c>
      <c r="CA93" t="e">
        <f>AND('UP133'!H55,"AAAAAD/XJ04=")</f>
        <v>#VALUE!</v>
      </c>
      <c r="CB93" t="e">
        <f>AND('UP133'!I55,"AAAAAD/XJ08=")</f>
        <v>#VALUE!</v>
      </c>
      <c r="CC93" t="e">
        <f>AND('UP133'!J55,"AAAAAD/XJ1A=")</f>
        <v>#VALUE!</v>
      </c>
      <c r="CD93" t="e">
        <f>AND('UP133'!K55,"AAAAAD/XJ1E=")</f>
        <v>#VALUE!</v>
      </c>
      <c r="CE93" t="e">
        <f>AND('UP133'!L55,"AAAAAD/XJ1I=")</f>
        <v>#VALUE!</v>
      </c>
      <c r="CF93" t="e">
        <f>AND('UP133'!M55,"AAAAAD/XJ1M=")</f>
        <v>#VALUE!</v>
      </c>
      <c r="CG93" t="e">
        <f>AND('UP133'!N55,"AAAAAD/XJ1Q=")</f>
        <v>#VALUE!</v>
      </c>
      <c r="CH93" t="e">
        <f>AND('UP133'!O55,"AAAAAD/XJ1U=")</f>
        <v>#VALUE!</v>
      </c>
      <c r="CI93" t="e">
        <f>AND('UP133'!P55,"AAAAAD/XJ1Y=")</f>
        <v>#VALUE!</v>
      </c>
      <c r="CJ93" t="e">
        <f>AND('UP133'!Q55,"AAAAAD/XJ1c=")</f>
        <v>#VALUE!</v>
      </c>
      <c r="CK93" t="e">
        <f>AND('UP133'!R55,"AAAAAD/XJ1g=")</f>
        <v>#VALUE!</v>
      </c>
      <c r="CL93" t="e">
        <f>AND('UP133'!S55,"AAAAAD/XJ1k=")</f>
        <v>#VALUE!</v>
      </c>
      <c r="CM93" t="e">
        <f>AND('UP133'!T55,"AAAAAD/XJ1o=")</f>
        <v>#VALUE!</v>
      </c>
      <c r="CN93" t="e">
        <f>AND('UP133'!U55,"AAAAAD/XJ1s=")</f>
        <v>#VALUE!</v>
      </c>
      <c r="CO93" t="e">
        <f>AND('UP133'!V55,"AAAAAD/XJ1w=")</f>
        <v>#VALUE!</v>
      </c>
      <c r="CP93" t="e">
        <f>AND('UP133'!W55,"AAAAAD/XJ10=")</f>
        <v>#VALUE!</v>
      </c>
      <c r="CQ93" t="e">
        <f>AND('UP133'!X55,"AAAAAD/XJ14=")</f>
        <v>#VALUE!</v>
      </c>
      <c r="CR93" t="e">
        <f>AND('UP133'!Y55,"AAAAAD/XJ18=")</f>
        <v>#VALUE!</v>
      </c>
      <c r="CS93" t="e">
        <f>AND('UP133'!Z55,"AAAAAD/XJ2A=")</f>
        <v>#VALUE!</v>
      </c>
      <c r="CT93" t="e">
        <f>AND('UP133'!AA55,"AAAAAD/XJ2E=")</f>
        <v>#VALUE!</v>
      </c>
      <c r="CU93" t="e">
        <f>AND('UP133'!AB55,"AAAAAD/XJ2I=")</f>
        <v>#VALUE!</v>
      </c>
      <c r="CV93" t="e">
        <f>AND('UP133'!AC55,"AAAAAD/XJ2M=")</f>
        <v>#VALUE!</v>
      </c>
      <c r="CW93" t="e">
        <f>AND('UP133'!AD55,"AAAAAD/XJ2Q=")</f>
        <v>#VALUE!</v>
      </c>
      <c r="CX93" t="e">
        <f>AND('UP133'!AE55,"AAAAAD/XJ2U=")</f>
        <v>#VALUE!</v>
      </c>
      <c r="CY93" t="e">
        <f>AND('UP133'!AF55,"AAAAAD/XJ2Y=")</f>
        <v>#VALUE!</v>
      </c>
      <c r="CZ93" t="e">
        <f>AND('UP133'!AG55,"AAAAAD/XJ2c=")</f>
        <v>#VALUE!</v>
      </c>
      <c r="DA93" t="e">
        <f>AND('UP133'!AH55,"AAAAAD/XJ2g=")</f>
        <v>#VALUE!</v>
      </c>
      <c r="DB93" t="e">
        <f>AND('UP133'!AI55,"AAAAAD/XJ2k=")</f>
        <v>#VALUE!</v>
      </c>
      <c r="DC93" t="e">
        <f>AND('UP133'!AJ55,"AAAAAD/XJ2o=")</f>
        <v>#VALUE!</v>
      </c>
      <c r="DD93" t="e">
        <f>AND('UP133'!AK55,"AAAAAD/XJ2s=")</f>
        <v>#VALUE!</v>
      </c>
      <c r="DE93" t="e">
        <f>AND('UP133'!AL55,"AAAAAD/XJ2w=")</f>
        <v>#VALUE!</v>
      </c>
      <c r="DF93" t="e">
        <f>AND('UP133'!AM55,"AAAAAD/XJ20=")</f>
        <v>#VALUE!</v>
      </c>
      <c r="DG93" t="e">
        <f>AND('UP133'!AN55,"AAAAAD/XJ24=")</f>
        <v>#VALUE!</v>
      </c>
      <c r="DH93" t="e">
        <f>AND('UP133'!AO55,"AAAAAD/XJ28=")</f>
        <v>#VALUE!</v>
      </c>
      <c r="DI93" t="e">
        <f>AND('UP133'!AP55,"AAAAAD/XJ3A=")</f>
        <v>#VALUE!</v>
      </c>
      <c r="DJ93" t="e">
        <f>AND('UP133'!AQ55,"AAAAAD/XJ3E=")</f>
        <v>#VALUE!</v>
      </c>
      <c r="DK93" t="e">
        <f>AND('UP133'!AR55,"AAAAAD/XJ3I=")</f>
        <v>#VALUE!</v>
      </c>
      <c r="DL93" t="e">
        <f>AND('UP133'!AS55,"AAAAAD/XJ3M=")</f>
        <v>#VALUE!</v>
      </c>
      <c r="DM93" t="e">
        <f>AND('UP133'!AT55,"AAAAAD/XJ3Q=")</f>
        <v>#VALUE!</v>
      </c>
      <c r="DN93" t="e">
        <f>AND('UP133'!AU55,"AAAAAD/XJ3U=")</f>
        <v>#VALUE!</v>
      </c>
      <c r="DO93" t="e">
        <f>AND('UP133'!AV55,"AAAAAD/XJ3Y=")</f>
        <v>#VALUE!</v>
      </c>
      <c r="DP93" t="e">
        <f>AND('UP133'!AW55,"AAAAAD/XJ3c=")</f>
        <v>#VALUE!</v>
      </c>
      <c r="DQ93" t="e">
        <f>AND('UP133'!AX55,"AAAAAD/XJ3g=")</f>
        <v>#VALUE!</v>
      </c>
      <c r="DR93" t="e">
        <f>AND('UP133'!AY55,"AAAAAD/XJ3k=")</f>
        <v>#VALUE!</v>
      </c>
      <c r="DS93" t="e">
        <f>AND('UP133'!AZ55,"AAAAAD/XJ3o=")</f>
        <v>#VALUE!</v>
      </c>
      <c r="DT93" t="e">
        <f>AND('UP133'!BA55,"AAAAAD/XJ3s=")</f>
        <v>#VALUE!</v>
      </c>
      <c r="DU93" t="e">
        <f>AND('UP133'!BB55,"AAAAAD/XJ3w=")</f>
        <v>#VALUE!</v>
      </c>
      <c r="DV93" t="e">
        <f>AND('UP133'!BC55,"AAAAAD/XJ30=")</f>
        <v>#VALUE!</v>
      </c>
      <c r="DW93" t="e">
        <f>AND('UP133'!BD55,"AAAAAD/XJ34=")</f>
        <v>#VALUE!</v>
      </c>
      <c r="DX93" t="e">
        <f>AND('UP133'!BE55,"AAAAAD/XJ38=")</f>
        <v>#VALUE!</v>
      </c>
      <c r="DY93" t="e">
        <f>AND('UP133'!BF55,"AAAAAD/XJ4A=")</f>
        <v>#VALUE!</v>
      </c>
      <c r="DZ93" t="e">
        <f>AND('UP133'!BG55,"AAAAAD/XJ4E=")</f>
        <v>#VALUE!</v>
      </c>
      <c r="EA93" t="e">
        <f>AND('UP133'!BH55,"AAAAAD/XJ4I=")</f>
        <v>#VALUE!</v>
      </c>
      <c r="EB93" t="e">
        <f>AND('UP133'!BI55,"AAAAAD/XJ4M=")</f>
        <v>#VALUE!</v>
      </c>
      <c r="EC93" t="e">
        <f>AND('UP133'!BJ55,"AAAAAD/XJ4Q=")</f>
        <v>#VALUE!</v>
      </c>
      <c r="ED93" t="e">
        <f>AND('UP133'!BK55,"AAAAAD/XJ4U=")</f>
        <v>#VALUE!</v>
      </c>
      <c r="EE93" t="e">
        <f>AND('UP133'!BL55,"AAAAAD/XJ4Y=")</f>
        <v>#VALUE!</v>
      </c>
      <c r="EF93" t="e">
        <f>AND('UP133'!BM55,"AAAAAD/XJ4c=")</f>
        <v>#VALUE!</v>
      </c>
      <c r="EG93" t="e">
        <f>AND('UP133'!BN55,"AAAAAD/XJ4g=")</f>
        <v>#VALUE!</v>
      </c>
      <c r="EH93" t="e">
        <f>AND('UP133'!BO55,"AAAAAD/XJ4k=")</f>
        <v>#VALUE!</v>
      </c>
      <c r="EI93" t="e">
        <f>AND('UP133'!BP55,"AAAAAD/XJ4o=")</f>
        <v>#VALUE!</v>
      </c>
      <c r="EJ93" t="e">
        <f>AND('UP133'!BQ55,"AAAAAD/XJ4s=")</f>
        <v>#VALUE!</v>
      </c>
      <c r="EK93" t="e">
        <f>AND('UP133'!BR55,"AAAAAD/XJ4w=")</f>
        <v>#VALUE!</v>
      </c>
      <c r="EL93" t="e">
        <f>AND('UP133'!BS55,"AAAAAD/XJ40=")</f>
        <v>#VALUE!</v>
      </c>
      <c r="EM93" t="e">
        <f>AND('UP133'!BT55,"AAAAAD/XJ44=")</f>
        <v>#VALUE!</v>
      </c>
      <c r="EN93" t="e">
        <f>AND('UP133'!BU55,"AAAAAD/XJ48=")</f>
        <v>#VALUE!</v>
      </c>
      <c r="EO93" t="e">
        <f>AND('UP133'!BV55,"AAAAAD/XJ5A=")</f>
        <v>#VALUE!</v>
      </c>
      <c r="EP93" t="e">
        <f>AND('UP133'!BW55,"AAAAAD/XJ5E=")</f>
        <v>#VALUE!</v>
      </c>
      <c r="EQ93" t="e">
        <f>AND('UP133'!BX55,"AAAAAD/XJ5I=")</f>
        <v>#VALUE!</v>
      </c>
      <c r="ER93" t="e">
        <f>AND('UP133'!BY55,"AAAAAD/XJ5M=")</f>
        <v>#VALUE!</v>
      </c>
      <c r="ES93" t="e">
        <f>AND('UP133'!BZ55,"AAAAAD/XJ5Q=")</f>
        <v>#VALUE!</v>
      </c>
      <c r="ET93" t="e">
        <f>AND('UP133'!CA55,"AAAAAD/XJ5U=")</f>
        <v>#VALUE!</v>
      </c>
      <c r="EU93" t="e">
        <f>AND('UP133'!CB55,"AAAAAD/XJ5Y=")</f>
        <v>#VALUE!</v>
      </c>
      <c r="EV93" t="e">
        <f>AND('UP133'!CC55,"AAAAAD/XJ5c=")</f>
        <v>#VALUE!</v>
      </c>
      <c r="EW93" t="e">
        <f>AND('UP133'!CD55,"AAAAAD/XJ5g=")</f>
        <v>#VALUE!</v>
      </c>
      <c r="EX93" t="e">
        <f>AND('UP133'!CE55,"AAAAAD/XJ5k=")</f>
        <v>#VALUE!</v>
      </c>
      <c r="EY93" t="e">
        <f>AND('UP133'!CF55,"AAAAAD/XJ5o=")</f>
        <v>#VALUE!</v>
      </c>
      <c r="EZ93" t="e">
        <f>AND('UP133'!CG55,"AAAAAD/XJ5s=")</f>
        <v>#VALUE!</v>
      </c>
      <c r="FA93" t="e">
        <f>AND('UP133'!CH55,"AAAAAD/XJ5w=")</f>
        <v>#VALUE!</v>
      </c>
      <c r="FB93" t="e">
        <f>AND('UP133'!CI55,"AAAAAD/XJ50=")</f>
        <v>#VALUE!</v>
      </c>
      <c r="FC93" t="e">
        <f>AND('UP133'!CJ55,"AAAAAD/XJ54=")</f>
        <v>#VALUE!</v>
      </c>
      <c r="FD93" t="e">
        <f>AND('UP133'!CK55,"AAAAAD/XJ58=")</f>
        <v>#VALUE!</v>
      </c>
      <c r="FE93" t="e">
        <f>AND('UP133'!CL55,"AAAAAD/XJ6A=")</f>
        <v>#VALUE!</v>
      </c>
      <c r="FF93" t="e">
        <f>AND('UP133'!CM55,"AAAAAD/XJ6E=")</f>
        <v>#VALUE!</v>
      </c>
      <c r="FG93" t="e">
        <f>AND('UP133'!CN55,"AAAAAD/XJ6I=")</f>
        <v>#VALUE!</v>
      </c>
      <c r="FH93" t="e">
        <f>AND('UP133'!CO55,"AAAAAD/XJ6M=")</f>
        <v>#VALUE!</v>
      </c>
      <c r="FI93" t="e">
        <f>AND('UP133'!CP55,"AAAAAD/XJ6Q=")</f>
        <v>#VALUE!</v>
      </c>
      <c r="FJ93" t="e">
        <f>AND('UP133'!CQ55,"AAAAAD/XJ6U=")</f>
        <v>#VALUE!</v>
      </c>
      <c r="FK93" t="e">
        <f>AND('UP133'!CR55,"AAAAAD/XJ6Y=")</f>
        <v>#VALUE!</v>
      </c>
      <c r="FL93" t="e">
        <f>AND('UP133'!CS55,"AAAAAD/XJ6c=")</f>
        <v>#VALUE!</v>
      </c>
      <c r="FM93" t="e">
        <f>AND('UP133'!CT55,"AAAAAD/XJ6g=")</f>
        <v>#VALUE!</v>
      </c>
      <c r="FN93" t="e">
        <f>AND('UP133'!CU55,"AAAAAD/XJ6k=")</f>
        <v>#VALUE!</v>
      </c>
      <c r="FO93" t="e">
        <f>AND('UP133'!CV55,"AAAAAD/XJ6o=")</f>
        <v>#VALUE!</v>
      </c>
      <c r="FP93" t="e">
        <f>AND('UP133'!CW55,"AAAAAD/XJ6s=")</f>
        <v>#VALUE!</v>
      </c>
      <c r="FQ93" t="e">
        <f>AND('UP133'!CX55,"AAAAAD/XJ6w=")</f>
        <v>#VALUE!</v>
      </c>
      <c r="FR93" t="e">
        <f>AND('UP133'!CY55,"AAAAAD/XJ60=")</f>
        <v>#VALUE!</v>
      </c>
      <c r="FS93" t="e">
        <f>AND('UP133'!CZ55,"AAAAAD/XJ64=")</f>
        <v>#VALUE!</v>
      </c>
      <c r="FT93" t="e">
        <f>AND('UP133'!DA55,"AAAAAD/XJ68=")</f>
        <v>#VALUE!</v>
      </c>
      <c r="FU93" t="e">
        <f>AND('UP133'!DB55,"AAAAAD/XJ7A=")</f>
        <v>#VALUE!</v>
      </c>
      <c r="FV93" t="e">
        <f>AND('UP133'!DC55,"AAAAAD/XJ7E=")</f>
        <v>#VALUE!</v>
      </c>
      <c r="FW93" t="e">
        <f>AND('UP133'!DD55,"AAAAAD/XJ7I=")</f>
        <v>#VALUE!</v>
      </c>
      <c r="FX93" t="e">
        <f>AND('UP133'!DE55,"AAAAAD/XJ7M=")</f>
        <v>#VALUE!</v>
      </c>
      <c r="FY93" t="e">
        <f>AND('UP133'!DF55,"AAAAAD/XJ7Q=")</f>
        <v>#VALUE!</v>
      </c>
      <c r="FZ93" t="e">
        <f>AND('UP133'!DG55,"AAAAAD/XJ7U=")</f>
        <v>#VALUE!</v>
      </c>
      <c r="GA93" t="e">
        <f>AND('UP133'!DH55,"AAAAAD/XJ7Y=")</f>
        <v>#VALUE!</v>
      </c>
      <c r="GB93" t="e">
        <f>AND('UP133'!DI55,"AAAAAD/XJ7c=")</f>
        <v>#VALUE!</v>
      </c>
      <c r="GC93" t="e">
        <f>AND('UP133'!DJ55,"AAAAAD/XJ7g=")</f>
        <v>#VALUE!</v>
      </c>
      <c r="GD93" t="e">
        <f>AND('UP133'!DK55,"AAAAAD/XJ7k=")</f>
        <v>#VALUE!</v>
      </c>
      <c r="GE93" t="e">
        <f>AND('UP133'!DL55,"AAAAAD/XJ7o=")</f>
        <v>#VALUE!</v>
      </c>
      <c r="GF93" t="e">
        <f>AND('UP133'!DM55,"AAAAAD/XJ7s=")</f>
        <v>#VALUE!</v>
      </c>
      <c r="GG93" t="e">
        <f>AND('UP133'!DN55,"AAAAAD/XJ7w=")</f>
        <v>#VALUE!</v>
      </c>
      <c r="GH93" t="e">
        <f>AND('UP133'!DO55,"AAAAAD/XJ70=")</f>
        <v>#VALUE!</v>
      </c>
      <c r="GI93" t="e">
        <f>AND('UP133'!DP55,"AAAAAD/XJ74=")</f>
        <v>#VALUE!</v>
      </c>
      <c r="GJ93" t="e">
        <f>AND('UP133'!DQ55,"AAAAAD/XJ78=")</f>
        <v>#VALUE!</v>
      </c>
      <c r="GK93" t="e">
        <f>AND('UP133'!DR55,"AAAAAD/XJ8A=")</f>
        <v>#VALUE!</v>
      </c>
      <c r="GL93" t="e">
        <f>AND('UP133'!DS55,"AAAAAD/XJ8E=")</f>
        <v>#VALUE!</v>
      </c>
      <c r="GM93" t="e">
        <f>AND('UP133'!DT55,"AAAAAD/XJ8I=")</f>
        <v>#VALUE!</v>
      </c>
      <c r="GN93" t="e">
        <f>AND('UP133'!DU55,"AAAAAD/XJ8M=")</f>
        <v>#VALUE!</v>
      </c>
      <c r="GO93" t="e">
        <f>AND('UP133'!DV55,"AAAAAD/XJ8Q=")</f>
        <v>#VALUE!</v>
      </c>
      <c r="GP93" t="e">
        <f>AND('UP133'!DW55,"AAAAAD/XJ8U=")</f>
        <v>#VALUE!</v>
      </c>
      <c r="GQ93" t="e">
        <f>AND('UP133'!DX55,"AAAAAD/XJ8Y=")</f>
        <v>#VALUE!</v>
      </c>
      <c r="GR93" t="e">
        <f>AND('UP133'!DY55,"AAAAAD/XJ8c=")</f>
        <v>#VALUE!</v>
      </c>
      <c r="GS93" t="e">
        <f>AND('UP133'!DZ55,"AAAAAD/XJ8g=")</f>
        <v>#VALUE!</v>
      </c>
      <c r="GT93" t="e">
        <f>AND('UP133'!EA55,"AAAAAD/XJ8k=")</f>
        <v>#VALUE!</v>
      </c>
      <c r="GU93" t="e">
        <f>AND('UP133'!EB55,"AAAAAD/XJ8o=")</f>
        <v>#VALUE!</v>
      </c>
      <c r="GV93" t="e">
        <f>AND('UP133'!EC55,"AAAAAD/XJ8s=")</f>
        <v>#VALUE!</v>
      </c>
      <c r="GW93" t="e">
        <f>AND('UP133'!ED55,"AAAAAD/XJ8w=")</f>
        <v>#VALUE!</v>
      </c>
      <c r="GX93" t="e">
        <f>AND('UP133'!EE55,"AAAAAD/XJ80=")</f>
        <v>#VALUE!</v>
      </c>
      <c r="GY93" t="e">
        <f>AND('UP133'!EF55,"AAAAAD/XJ84=")</f>
        <v>#VALUE!</v>
      </c>
      <c r="GZ93" t="e">
        <f>AND('UP133'!EG55,"AAAAAD/XJ88=")</f>
        <v>#VALUE!</v>
      </c>
      <c r="HA93" t="e">
        <f>AND('UP133'!EH55,"AAAAAD/XJ9A=")</f>
        <v>#VALUE!</v>
      </c>
      <c r="HB93" t="e">
        <f>AND('UP133'!EI55,"AAAAAD/XJ9E=")</f>
        <v>#VALUE!</v>
      </c>
      <c r="HC93" t="e">
        <f>AND('UP133'!EJ55,"AAAAAD/XJ9I=")</f>
        <v>#VALUE!</v>
      </c>
      <c r="HD93" t="e">
        <f>AND('UP133'!EK55,"AAAAAD/XJ9M=")</f>
        <v>#VALUE!</v>
      </c>
      <c r="HE93" t="e">
        <f>AND('UP133'!EL55,"AAAAAD/XJ9Q=")</f>
        <v>#VALUE!</v>
      </c>
      <c r="HF93" t="e">
        <f>AND('UP133'!EM55,"AAAAAD/XJ9U=")</f>
        <v>#VALUE!</v>
      </c>
      <c r="HG93" t="e">
        <f>AND('UP133'!EN55,"AAAAAD/XJ9Y=")</f>
        <v>#VALUE!</v>
      </c>
      <c r="HH93" t="e">
        <f>AND('UP133'!EO55,"AAAAAD/XJ9c=")</f>
        <v>#VALUE!</v>
      </c>
      <c r="HI93" t="e">
        <f>AND('UP133'!EP55,"AAAAAD/XJ9g=")</f>
        <v>#VALUE!</v>
      </c>
      <c r="HJ93" t="e">
        <f>AND('UP133'!EQ55,"AAAAAD/XJ9k=")</f>
        <v>#VALUE!</v>
      </c>
      <c r="HK93" t="e">
        <f>AND('UP133'!ER55,"AAAAAD/XJ9o=")</f>
        <v>#VALUE!</v>
      </c>
      <c r="HL93" t="e">
        <f>AND('UP133'!ES55,"AAAAAD/XJ9s=")</f>
        <v>#VALUE!</v>
      </c>
      <c r="HM93" t="e">
        <f>AND('UP133'!ET55,"AAAAAD/XJ9w=")</f>
        <v>#VALUE!</v>
      </c>
      <c r="HN93" t="e">
        <f>AND('UP133'!EU55,"AAAAAD/XJ90=")</f>
        <v>#VALUE!</v>
      </c>
      <c r="HO93" t="e">
        <f>AND('UP133'!EV55,"AAAAAD/XJ94=")</f>
        <v>#VALUE!</v>
      </c>
      <c r="HP93" t="e">
        <f>AND('UP133'!EW55,"AAAAAD/XJ98=")</f>
        <v>#VALUE!</v>
      </c>
      <c r="HQ93" t="e">
        <f>AND('UP133'!EX55,"AAAAAD/XJ+A=")</f>
        <v>#VALUE!</v>
      </c>
      <c r="HR93" t="e">
        <f>AND('UP133'!EY55,"AAAAAD/XJ+E=")</f>
        <v>#VALUE!</v>
      </c>
      <c r="HS93" t="e">
        <f>AND('UP133'!EZ55,"AAAAAD/XJ+I=")</f>
        <v>#VALUE!</v>
      </c>
      <c r="HT93" t="e">
        <f>AND('UP133'!FA55,"AAAAAD/XJ+M=")</f>
        <v>#VALUE!</v>
      </c>
      <c r="HU93" t="e">
        <f>AND('UP133'!FB55,"AAAAAD/XJ+Q=")</f>
        <v>#VALUE!</v>
      </c>
      <c r="HV93" t="e">
        <f>AND('UP133'!FC55,"AAAAAD/XJ+U=")</f>
        <v>#VALUE!</v>
      </c>
      <c r="HW93" t="e">
        <f>AND('UP133'!FD55,"AAAAAD/XJ+Y=")</f>
        <v>#VALUE!</v>
      </c>
      <c r="HX93" t="e">
        <f>AND('UP133'!FE55,"AAAAAD/XJ+c=")</f>
        <v>#VALUE!</v>
      </c>
      <c r="HY93" t="e">
        <f>AND('UP133'!FF55,"AAAAAD/XJ+g=")</f>
        <v>#VALUE!</v>
      </c>
      <c r="HZ93" t="e">
        <f>AND('UP133'!FG55,"AAAAAD/XJ+k=")</f>
        <v>#VALUE!</v>
      </c>
      <c r="IA93" t="e">
        <f>AND('UP133'!FH55,"AAAAAD/XJ+o=")</f>
        <v>#VALUE!</v>
      </c>
      <c r="IB93" t="e">
        <f>AND('UP133'!FI55,"AAAAAD/XJ+s=")</f>
        <v>#VALUE!</v>
      </c>
      <c r="IC93" t="e">
        <f>AND('UP133'!FJ55,"AAAAAD/XJ+w=")</f>
        <v>#VALUE!</v>
      </c>
      <c r="ID93" t="e">
        <f>AND('UP133'!FK55,"AAAAAD/XJ+0=")</f>
        <v>#VALUE!</v>
      </c>
      <c r="IE93" t="e">
        <f>AND('UP133'!FL55,"AAAAAD/XJ+4=")</f>
        <v>#VALUE!</v>
      </c>
      <c r="IF93" t="e">
        <f>AND('UP133'!FM55,"AAAAAD/XJ+8=")</f>
        <v>#VALUE!</v>
      </c>
      <c r="IG93" t="e">
        <f>AND('UP133'!FN55,"AAAAAD/XJ/A=")</f>
        <v>#VALUE!</v>
      </c>
      <c r="IH93" t="e">
        <f>AND('UP133'!FO55,"AAAAAD/XJ/E=")</f>
        <v>#VALUE!</v>
      </c>
      <c r="II93" t="e">
        <f>AND('UP133'!FP55,"AAAAAD/XJ/I=")</f>
        <v>#VALUE!</v>
      </c>
      <c r="IJ93" t="e">
        <f>AND('UP133'!FQ55,"AAAAAD/XJ/M=")</f>
        <v>#VALUE!</v>
      </c>
      <c r="IK93" t="e">
        <f>AND('UP133'!FR55,"AAAAAD/XJ/Q=")</f>
        <v>#VALUE!</v>
      </c>
      <c r="IL93" t="e">
        <f>AND('UP133'!FS55,"AAAAAD/XJ/U=")</f>
        <v>#VALUE!</v>
      </c>
      <c r="IM93" t="e">
        <f>AND('UP133'!FT55,"AAAAAD/XJ/Y=")</f>
        <v>#VALUE!</v>
      </c>
      <c r="IN93" t="e">
        <f>AND('UP133'!FU55,"AAAAAD/XJ/c=")</f>
        <v>#VALUE!</v>
      </c>
      <c r="IO93" t="e">
        <f>AND('UP133'!FV55,"AAAAAD/XJ/g=")</f>
        <v>#VALUE!</v>
      </c>
      <c r="IP93" t="e">
        <f>AND('UP133'!FW55,"AAAAAD/XJ/k=")</f>
        <v>#VALUE!</v>
      </c>
      <c r="IQ93" t="e">
        <f>AND('UP133'!FX55,"AAAAAD/XJ/o=")</f>
        <v>#VALUE!</v>
      </c>
      <c r="IR93" t="e">
        <f>AND('UP133'!FY55,"AAAAAD/XJ/s=")</f>
        <v>#VALUE!</v>
      </c>
      <c r="IS93" t="e">
        <f>AND('UP133'!FZ55,"AAAAAD/XJ/w=")</f>
        <v>#VALUE!</v>
      </c>
      <c r="IT93" t="e">
        <f>AND('UP133'!GA55,"AAAAAD/XJ/0=")</f>
        <v>#VALUE!</v>
      </c>
      <c r="IU93" t="e">
        <f>AND('UP133'!GB55,"AAAAAD/XJ/4=")</f>
        <v>#VALUE!</v>
      </c>
      <c r="IV93" t="e">
        <f>AND('UP133'!GC55,"AAAAAD/XJ/8=")</f>
        <v>#VALUE!</v>
      </c>
    </row>
    <row r="94" spans="1:256">
      <c r="A94" t="e">
        <f>AND('UP133'!GD55,"AAAAAGf//wA=")</f>
        <v>#VALUE!</v>
      </c>
      <c r="B94" t="e">
        <f>AND('UP133'!GE55,"AAAAAGf//wE=")</f>
        <v>#VALUE!</v>
      </c>
      <c r="C94" t="e">
        <f>AND('UP133'!GF55,"AAAAAGf//wI=")</f>
        <v>#VALUE!</v>
      </c>
      <c r="D94" t="e">
        <f>AND('UP133'!GG55,"AAAAAGf//wM=")</f>
        <v>#VALUE!</v>
      </c>
      <c r="E94" t="e">
        <f>AND('UP133'!GH55,"AAAAAGf//wQ=")</f>
        <v>#VALUE!</v>
      </c>
      <c r="F94" t="e">
        <f>AND('UP133'!GI55,"AAAAAGf//wU=")</f>
        <v>#VALUE!</v>
      </c>
      <c r="G94" t="e">
        <f>AND('UP133'!GJ55,"AAAAAGf//wY=")</f>
        <v>#VALUE!</v>
      </c>
      <c r="H94" t="e">
        <f>AND('UP133'!GK55,"AAAAAGf//wc=")</f>
        <v>#VALUE!</v>
      </c>
      <c r="I94" t="e">
        <f>AND('UP133'!GL55,"AAAAAGf//wg=")</f>
        <v>#VALUE!</v>
      </c>
      <c r="J94" t="e">
        <f>AND('UP133'!GM55,"AAAAAGf//wk=")</f>
        <v>#VALUE!</v>
      </c>
      <c r="K94" t="e">
        <f>AND('UP133'!GN55,"AAAAAGf//wo=")</f>
        <v>#VALUE!</v>
      </c>
      <c r="L94" t="e">
        <f>AND('UP133'!GO55,"AAAAAGf//ws=")</f>
        <v>#VALUE!</v>
      </c>
      <c r="M94" t="e">
        <f>AND('UP133'!GP55,"AAAAAGf//ww=")</f>
        <v>#VALUE!</v>
      </c>
      <c r="N94" t="e">
        <f>AND('UP133'!GQ55,"AAAAAGf//w0=")</f>
        <v>#VALUE!</v>
      </c>
      <c r="O94" t="e">
        <f>AND('UP133'!GR55,"AAAAAGf//w4=")</f>
        <v>#VALUE!</v>
      </c>
      <c r="P94" t="e">
        <f>AND('UP133'!GS55,"AAAAAGf//w8=")</f>
        <v>#VALUE!</v>
      </c>
      <c r="Q94" t="e">
        <f>AND('UP133'!GT55,"AAAAAGf//xA=")</f>
        <v>#VALUE!</v>
      </c>
      <c r="R94" t="e">
        <f>AND('UP133'!GU55,"AAAAAGf//xE=")</f>
        <v>#VALUE!</v>
      </c>
      <c r="S94" t="e">
        <f>AND('UP133'!GV55,"AAAAAGf//xI=")</f>
        <v>#VALUE!</v>
      </c>
      <c r="T94" t="e">
        <f>AND('UP133'!GW55,"AAAAAGf//xM=")</f>
        <v>#VALUE!</v>
      </c>
      <c r="U94" t="e">
        <f>AND('UP133'!GX55,"AAAAAGf//xQ=")</f>
        <v>#VALUE!</v>
      </c>
      <c r="V94" t="e">
        <f>AND('UP133'!GY55,"AAAAAGf//xU=")</f>
        <v>#VALUE!</v>
      </c>
      <c r="W94" t="e">
        <f>AND('UP133'!GZ55,"AAAAAGf//xY=")</f>
        <v>#VALUE!</v>
      </c>
      <c r="X94" t="e">
        <f>AND('UP133'!HA55,"AAAAAGf//xc=")</f>
        <v>#VALUE!</v>
      </c>
      <c r="Y94" t="e">
        <f>AND('UP133'!HB55,"AAAAAGf//xg=")</f>
        <v>#VALUE!</v>
      </c>
      <c r="Z94" t="e">
        <f>AND('UP133'!HC55,"AAAAAGf//xk=")</f>
        <v>#VALUE!</v>
      </c>
      <c r="AA94" t="e">
        <f>AND('UP133'!HD55,"AAAAAGf//xo=")</f>
        <v>#VALUE!</v>
      </c>
      <c r="AB94" t="e">
        <f>AND('UP133'!HE55,"AAAAAGf//xs=")</f>
        <v>#VALUE!</v>
      </c>
      <c r="AC94" t="e">
        <f>AND('UP133'!HF55,"AAAAAGf//xw=")</f>
        <v>#VALUE!</v>
      </c>
      <c r="AD94" t="e">
        <f>AND('UP133'!HG55,"AAAAAGf//x0=")</f>
        <v>#VALUE!</v>
      </c>
      <c r="AE94" t="e">
        <f>AND('UP133'!HH55,"AAAAAGf//x4=")</f>
        <v>#VALUE!</v>
      </c>
      <c r="AF94" t="e">
        <f>AND('UP133'!HI55,"AAAAAGf//x8=")</f>
        <v>#VALUE!</v>
      </c>
      <c r="AG94" t="e">
        <f>AND('UP133'!HJ55,"AAAAAGf//yA=")</f>
        <v>#VALUE!</v>
      </c>
      <c r="AH94" t="e">
        <f>AND('UP133'!HK55,"AAAAAGf//yE=")</f>
        <v>#VALUE!</v>
      </c>
      <c r="AI94" t="e">
        <f>AND('UP133'!HL55,"AAAAAGf//yI=")</f>
        <v>#VALUE!</v>
      </c>
      <c r="AJ94" t="e">
        <f>AND('UP133'!HM55,"AAAAAGf//yM=")</f>
        <v>#VALUE!</v>
      </c>
      <c r="AK94" t="e">
        <f>AND('UP133'!HN55,"AAAAAGf//yQ=")</f>
        <v>#VALUE!</v>
      </c>
      <c r="AL94" t="e">
        <f>AND('UP133'!HO55,"AAAAAGf//yU=")</f>
        <v>#VALUE!</v>
      </c>
      <c r="AM94" t="e">
        <f>AND('UP133'!HP55,"AAAAAGf//yY=")</f>
        <v>#VALUE!</v>
      </c>
      <c r="AN94" t="e">
        <f>AND('UP133'!HQ55,"AAAAAGf//yc=")</f>
        <v>#VALUE!</v>
      </c>
      <c r="AO94" t="e">
        <f>AND('UP133'!HR55,"AAAAAGf//yg=")</f>
        <v>#VALUE!</v>
      </c>
      <c r="AP94" t="e">
        <f>AND('UP133'!HS55,"AAAAAGf//yk=")</f>
        <v>#VALUE!</v>
      </c>
      <c r="AQ94" t="e">
        <f>AND('UP133'!HT55,"AAAAAGf//yo=")</f>
        <v>#VALUE!</v>
      </c>
      <c r="AR94" t="e">
        <f>AND('UP133'!HU55,"AAAAAGf//ys=")</f>
        <v>#VALUE!</v>
      </c>
      <c r="AS94" t="e">
        <f>AND('UP133'!HV55,"AAAAAGf//yw=")</f>
        <v>#VALUE!</v>
      </c>
      <c r="AT94" t="e">
        <f>AND('UP133'!HW55,"AAAAAGf//y0=")</f>
        <v>#VALUE!</v>
      </c>
      <c r="AU94" t="e">
        <f>AND('UP133'!HX55,"AAAAAGf//y4=")</f>
        <v>#VALUE!</v>
      </c>
      <c r="AV94" t="e">
        <f>AND('UP133'!HY55,"AAAAAGf//y8=")</f>
        <v>#VALUE!</v>
      </c>
      <c r="AW94" t="e">
        <f>AND('UP133'!HZ55,"AAAAAGf//zA=")</f>
        <v>#VALUE!</v>
      </c>
      <c r="AX94" t="e">
        <f>AND('UP133'!IA55,"AAAAAGf//zE=")</f>
        <v>#VALUE!</v>
      </c>
      <c r="AY94" t="e">
        <f>AND('UP133'!IB55,"AAAAAGf//zI=")</f>
        <v>#VALUE!</v>
      </c>
      <c r="AZ94" t="e">
        <f>AND('UP133'!IC55,"AAAAAGf//zM=")</f>
        <v>#VALUE!</v>
      </c>
      <c r="BA94" t="e">
        <f>AND('UP133'!ID55,"AAAAAGf//zQ=")</f>
        <v>#VALUE!</v>
      </c>
      <c r="BB94" t="e">
        <f>AND('UP133'!IE55,"AAAAAGf//zU=")</f>
        <v>#VALUE!</v>
      </c>
      <c r="BC94" t="e">
        <f>AND('UP133'!IF55,"AAAAAGf//zY=")</f>
        <v>#VALUE!</v>
      </c>
      <c r="BD94" t="e">
        <f>AND('UP133'!IG55,"AAAAAGf//zc=")</f>
        <v>#VALUE!</v>
      </c>
      <c r="BE94" t="e">
        <f>AND('UP133'!IH55,"AAAAAGf//zg=")</f>
        <v>#VALUE!</v>
      </c>
      <c r="BF94" t="e">
        <f>AND('UP133'!II55,"AAAAAGf//zk=")</f>
        <v>#VALUE!</v>
      </c>
      <c r="BG94" t="e">
        <f>AND('UP133'!IJ55,"AAAAAGf//zo=")</f>
        <v>#VALUE!</v>
      </c>
      <c r="BH94" t="e">
        <f>AND('UP133'!IK55,"AAAAAGf//zs=")</f>
        <v>#VALUE!</v>
      </c>
      <c r="BI94" t="e">
        <f>AND('UP133'!IL55,"AAAAAGf//zw=")</f>
        <v>#VALUE!</v>
      </c>
      <c r="BJ94" t="e">
        <f>AND('UP133'!IM55,"AAAAAGf//z0=")</f>
        <v>#VALUE!</v>
      </c>
      <c r="BK94" t="e">
        <f>AND('UP133'!IN55,"AAAAAGf//z4=")</f>
        <v>#VALUE!</v>
      </c>
      <c r="BL94" t="e">
        <f>AND('UP133'!IO55,"AAAAAGf//z8=")</f>
        <v>#VALUE!</v>
      </c>
      <c r="BM94" t="e">
        <f>AND('UP133'!IP55,"AAAAAGf//0A=")</f>
        <v>#VALUE!</v>
      </c>
      <c r="BN94" t="e">
        <f>AND('UP133'!IQ55,"AAAAAGf//0E=")</f>
        <v>#VALUE!</v>
      </c>
      <c r="BO94">
        <f>IF('UP133'!56:56,"AAAAAGf//0I=",0)</f>
        <v>0</v>
      </c>
      <c r="BP94" t="e">
        <f>AND('UP133'!A56,"AAAAAGf//0M=")</f>
        <v>#VALUE!</v>
      </c>
      <c r="BQ94" t="e">
        <f>AND('UP133'!B56,"AAAAAGf//0Q=")</f>
        <v>#VALUE!</v>
      </c>
      <c r="BR94" t="e">
        <f>AND('UP133'!C56,"AAAAAGf//0U=")</f>
        <v>#VALUE!</v>
      </c>
      <c r="BS94" t="e">
        <f>AND('UP133'!D56,"AAAAAGf//0Y=")</f>
        <v>#VALUE!</v>
      </c>
      <c r="BT94" t="e">
        <f>AND('UP133'!E56,"AAAAAGf//0c=")</f>
        <v>#VALUE!</v>
      </c>
      <c r="BU94" t="e">
        <f>AND('UP133'!F56,"AAAAAGf//0g=")</f>
        <v>#VALUE!</v>
      </c>
      <c r="BV94" t="e">
        <f>AND('UP133'!G56,"AAAAAGf//0k=")</f>
        <v>#VALUE!</v>
      </c>
      <c r="BW94" t="e">
        <f>AND('UP133'!H56,"AAAAAGf//0o=")</f>
        <v>#VALUE!</v>
      </c>
      <c r="BX94" t="e">
        <f>AND('UP133'!I56,"AAAAAGf//0s=")</f>
        <v>#VALUE!</v>
      </c>
      <c r="BY94" t="e">
        <f>AND('UP133'!J56,"AAAAAGf//0w=")</f>
        <v>#VALUE!</v>
      </c>
      <c r="BZ94" t="e">
        <f>AND('UP133'!K56,"AAAAAGf//00=")</f>
        <v>#VALUE!</v>
      </c>
      <c r="CA94" t="e">
        <f>AND('UP133'!L56,"AAAAAGf//04=")</f>
        <v>#VALUE!</v>
      </c>
      <c r="CB94" t="e">
        <f>AND('UP133'!M56,"AAAAAGf//08=")</f>
        <v>#VALUE!</v>
      </c>
      <c r="CC94" t="e">
        <f>AND('UP133'!N56,"AAAAAGf//1A=")</f>
        <v>#VALUE!</v>
      </c>
      <c r="CD94" t="e">
        <f>AND('UP133'!O56,"AAAAAGf//1E=")</f>
        <v>#VALUE!</v>
      </c>
      <c r="CE94" t="e">
        <f>AND('UP133'!P56,"AAAAAGf//1I=")</f>
        <v>#VALUE!</v>
      </c>
      <c r="CF94" t="e">
        <f>AND('UP133'!Q56,"AAAAAGf//1M=")</f>
        <v>#VALUE!</v>
      </c>
      <c r="CG94" t="e">
        <f>AND('UP133'!R56,"AAAAAGf//1Q=")</f>
        <v>#VALUE!</v>
      </c>
      <c r="CH94" t="e">
        <f>AND('UP133'!S56,"AAAAAGf//1U=")</f>
        <v>#VALUE!</v>
      </c>
      <c r="CI94" t="e">
        <f>AND('UP133'!T56,"AAAAAGf//1Y=")</f>
        <v>#VALUE!</v>
      </c>
      <c r="CJ94" t="e">
        <f>AND('UP133'!U56,"AAAAAGf//1c=")</f>
        <v>#VALUE!</v>
      </c>
      <c r="CK94" t="e">
        <f>AND('UP133'!V56,"AAAAAGf//1g=")</f>
        <v>#VALUE!</v>
      </c>
      <c r="CL94" t="e">
        <f>AND('UP133'!W56,"AAAAAGf//1k=")</f>
        <v>#VALUE!</v>
      </c>
      <c r="CM94" t="e">
        <f>AND('UP133'!X56,"AAAAAGf//1o=")</f>
        <v>#VALUE!</v>
      </c>
      <c r="CN94" t="e">
        <f>AND('UP133'!Y56,"AAAAAGf//1s=")</f>
        <v>#VALUE!</v>
      </c>
      <c r="CO94" t="e">
        <f>AND('UP133'!Z56,"AAAAAGf//1w=")</f>
        <v>#VALUE!</v>
      </c>
      <c r="CP94" t="e">
        <f>AND('UP133'!AA56,"AAAAAGf//10=")</f>
        <v>#VALUE!</v>
      </c>
      <c r="CQ94" t="e">
        <f>AND('UP133'!AB56,"AAAAAGf//14=")</f>
        <v>#VALUE!</v>
      </c>
      <c r="CR94" t="e">
        <f>AND('UP133'!AC56,"AAAAAGf//18=")</f>
        <v>#VALUE!</v>
      </c>
      <c r="CS94" t="e">
        <f>AND('UP133'!AD56,"AAAAAGf//2A=")</f>
        <v>#VALUE!</v>
      </c>
      <c r="CT94" t="e">
        <f>AND('UP133'!AE56,"AAAAAGf//2E=")</f>
        <v>#VALUE!</v>
      </c>
      <c r="CU94" t="e">
        <f>AND('UP133'!AF56,"AAAAAGf//2I=")</f>
        <v>#VALUE!</v>
      </c>
      <c r="CV94" t="e">
        <f>AND('UP133'!AG56,"AAAAAGf//2M=")</f>
        <v>#VALUE!</v>
      </c>
      <c r="CW94" t="e">
        <f>AND('UP133'!AH56,"AAAAAGf//2Q=")</f>
        <v>#VALUE!</v>
      </c>
      <c r="CX94" t="e">
        <f>AND('UP133'!AI56,"AAAAAGf//2U=")</f>
        <v>#VALUE!</v>
      </c>
      <c r="CY94" t="e">
        <f>AND('UP133'!AJ56,"AAAAAGf//2Y=")</f>
        <v>#VALUE!</v>
      </c>
      <c r="CZ94" t="e">
        <f>AND('UP133'!AK56,"AAAAAGf//2c=")</f>
        <v>#VALUE!</v>
      </c>
      <c r="DA94" t="e">
        <f>AND('UP133'!AL56,"AAAAAGf//2g=")</f>
        <v>#VALUE!</v>
      </c>
      <c r="DB94" t="e">
        <f>AND('UP133'!AM56,"AAAAAGf//2k=")</f>
        <v>#VALUE!</v>
      </c>
      <c r="DC94" t="e">
        <f>AND('UP133'!AN56,"AAAAAGf//2o=")</f>
        <v>#VALUE!</v>
      </c>
      <c r="DD94" t="e">
        <f>AND('UP133'!AO56,"AAAAAGf//2s=")</f>
        <v>#VALUE!</v>
      </c>
      <c r="DE94" t="e">
        <f>AND('UP133'!AP56,"AAAAAGf//2w=")</f>
        <v>#VALUE!</v>
      </c>
      <c r="DF94" t="e">
        <f>AND('UP133'!AQ56,"AAAAAGf//20=")</f>
        <v>#VALUE!</v>
      </c>
      <c r="DG94" t="e">
        <f>AND('UP133'!AR56,"AAAAAGf//24=")</f>
        <v>#VALUE!</v>
      </c>
      <c r="DH94" t="e">
        <f>AND('UP133'!AS56,"AAAAAGf//28=")</f>
        <v>#VALUE!</v>
      </c>
      <c r="DI94" t="e">
        <f>AND('UP133'!AT56,"AAAAAGf//3A=")</f>
        <v>#VALUE!</v>
      </c>
      <c r="DJ94" t="e">
        <f>AND('UP133'!AU56,"AAAAAGf//3E=")</f>
        <v>#VALUE!</v>
      </c>
      <c r="DK94" t="e">
        <f>AND('UP133'!AV56,"AAAAAGf//3I=")</f>
        <v>#VALUE!</v>
      </c>
      <c r="DL94" t="e">
        <f>AND('UP133'!AW56,"AAAAAGf//3M=")</f>
        <v>#VALUE!</v>
      </c>
      <c r="DM94" t="e">
        <f>AND('UP133'!AX56,"AAAAAGf//3Q=")</f>
        <v>#VALUE!</v>
      </c>
      <c r="DN94" t="e">
        <f>AND('UP133'!AY56,"AAAAAGf//3U=")</f>
        <v>#VALUE!</v>
      </c>
      <c r="DO94" t="e">
        <f>AND('UP133'!AZ56,"AAAAAGf//3Y=")</f>
        <v>#VALUE!</v>
      </c>
      <c r="DP94" t="e">
        <f>AND('UP133'!BA56,"AAAAAGf//3c=")</f>
        <v>#VALUE!</v>
      </c>
      <c r="DQ94" t="e">
        <f>AND('UP133'!BB56,"AAAAAGf//3g=")</f>
        <v>#VALUE!</v>
      </c>
      <c r="DR94" t="e">
        <f>AND('UP133'!BC56,"AAAAAGf//3k=")</f>
        <v>#VALUE!</v>
      </c>
      <c r="DS94" t="e">
        <f>AND('UP133'!BD56,"AAAAAGf//3o=")</f>
        <v>#VALUE!</v>
      </c>
      <c r="DT94" t="e">
        <f>AND('UP133'!BE56,"AAAAAGf//3s=")</f>
        <v>#VALUE!</v>
      </c>
      <c r="DU94" t="e">
        <f>AND('UP133'!BF56,"AAAAAGf//3w=")</f>
        <v>#VALUE!</v>
      </c>
      <c r="DV94" t="e">
        <f>AND('UP133'!BG56,"AAAAAGf//30=")</f>
        <v>#VALUE!</v>
      </c>
      <c r="DW94" t="e">
        <f>AND('UP133'!BH56,"AAAAAGf//34=")</f>
        <v>#VALUE!</v>
      </c>
      <c r="DX94" t="e">
        <f>AND('UP133'!BI56,"AAAAAGf//38=")</f>
        <v>#VALUE!</v>
      </c>
      <c r="DY94" t="e">
        <f>AND('UP133'!BJ56,"AAAAAGf//4A=")</f>
        <v>#VALUE!</v>
      </c>
      <c r="DZ94" t="e">
        <f>AND('UP133'!BK56,"AAAAAGf//4E=")</f>
        <v>#VALUE!</v>
      </c>
      <c r="EA94" t="e">
        <f>AND('UP133'!BL56,"AAAAAGf//4I=")</f>
        <v>#VALUE!</v>
      </c>
      <c r="EB94" t="e">
        <f>AND('UP133'!BM56,"AAAAAGf//4M=")</f>
        <v>#VALUE!</v>
      </c>
      <c r="EC94" t="e">
        <f>AND('UP133'!BN56,"AAAAAGf//4Q=")</f>
        <v>#VALUE!</v>
      </c>
      <c r="ED94" t="e">
        <f>AND('UP133'!BO56,"AAAAAGf//4U=")</f>
        <v>#VALUE!</v>
      </c>
      <c r="EE94" t="e">
        <f>AND('UP133'!BP56,"AAAAAGf//4Y=")</f>
        <v>#VALUE!</v>
      </c>
      <c r="EF94" t="e">
        <f>AND('UP133'!BQ56,"AAAAAGf//4c=")</f>
        <v>#VALUE!</v>
      </c>
      <c r="EG94" t="e">
        <f>AND('UP133'!BR56,"AAAAAGf//4g=")</f>
        <v>#VALUE!</v>
      </c>
      <c r="EH94" t="e">
        <f>AND('UP133'!BS56,"AAAAAGf//4k=")</f>
        <v>#VALUE!</v>
      </c>
      <c r="EI94" t="e">
        <f>AND('UP133'!BT56,"AAAAAGf//4o=")</f>
        <v>#VALUE!</v>
      </c>
      <c r="EJ94" t="e">
        <f>AND('UP133'!BU56,"AAAAAGf//4s=")</f>
        <v>#VALUE!</v>
      </c>
      <c r="EK94" t="e">
        <f>AND('UP133'!BV56,"AAAAAGf//4w=")</f>
        <v>#VALUE!</v>
      </c>
      <c r="EL94" t="e">
        <f>AND('UP133'!BW56,"AAAAAGf//40=")</f>
        <v>#VALUE!</v>
      </c>
      <c r="EM94" t="e">
        <f>AND('UP133'!BX56,"AAAAAGf//44=")</f>
        <v>#VALUE!</v>
      </c>
      <c r="EN94" t="e">
        <f>AND('UP133'!BY56,"AAAAAGf//48=")</f>
        <v>#VALUE!</v>
      </c>
      <c r="EO94" t="e">
        <f>AND('UP133'!BZ56,"AAAAAGf//5A=")</f>
        <v>#VALUE!</v>
      </c>
      <c r="EP94" t="e">
        <f>AND('UP133'!CA56,"AAAAAGf//5E=")</f>
        <v>#VALUE!</v>
      </c>
      <c r="EQ94" t="e">
        <f>AND('UP133'!CB56,"AAAAAGf//5I=")</f>
        <v>#VALUE!</v>
      </c>
      <c r="ER94" t="e">
        <f>AND('UP133'!CC56,"AAAAAGf//5M=")</f>
        <v>#VALUE!</v>
      </c>
      <c r="ES94" t="e">
        <f>AND('UP133'!CD56,"AAAAAGf//5Q=")</f>
        <v>#VALUE!</v>
      </c>
      <c r="ET94" t="e">
        <f>AND('UP133'!CE56,"AAAAAGf//5U=")</f>
        <v>#VALUE!</v>
      </c>
      <c r="EU94" t="e">
        <f>AND('UP133'!CF56,"AAAAAGf//5Y=")</f>
        <v>#VALUE!</v>
      </c>
      <c r="EV94" t="e">
        <f>AND('UP133'!CG56,"AAAAAGf//5c=")</f>
        <v>#VALUE!</v>
      </c>
      <c r="EW94" t="e">
        <f>AND('UP133'!CH56,"AAAAAGf//5g=")</f>
        <v>#VALUE!</v>
      </c>
      <c r="EX94" t="e">
        <f>AND('UP133'!CI56,"AAAAAGf//5k=")</f>
        <v>#VALUE!</v>
      </c>
      <c r="EY94" t="e">
        <f>AND('UP133'!CJ56,"AAAAAGf//5o=")</f>
        <v>#VALUE!</v>
      </c>
      <c r="EZ94" t="e">
        <f>AND('UP133'!CK56,"AAAAAGf//5s=")</f>
        <v>#VALUE!</v>
      </c>
      <c r="FA94" t="e">
        <f>AND('UP133'!CL56,"AAAAAGf//5w=")</f>
        <v>#VALUE!</v>
      </c>
      <c r="FB94" t="e">
        <f>AND('UP133'!CM56,"AAAAAGf//50=")</f>
        <v>#VALUE!</v>
      </c>
      <c r="FC94" t="e">
        <f>AND('UP133'!CN56,"AAAAAGf//54=")</f>
        <v>#VALUE!</v>
      </c>
      <c r="FD94" t="e">
        <f>AND('UP133'!CO56,"AAAAAGf//58=")</f>
        <v>#VALUE!</v>
      </c>
      <c r="FE94" t="e">
        <f>AND('UP133'!CP56,"AAAAAGf//6A=")</f>
        <v>#VALUE!</v>
      </c>
      <c r="FF94" t="e">
        <f>AND('UP133'!CQ56,"AAAAAGf//6E=")</f>
        <v>#VALUE!</v>
      </c>
      <c r="FG94" t="e">
        <f>AND('UP133'!CR56,"AAAAAGf//6I=")</f>
        <v>#VALUE!</v>
      </c>
      <c r="FH94" t="e">
        <f>AND('UP133'!CS56,"AAAAAGf//6M=")</f>
        <v>#VALUE!</v>
      </c>
      <c r="FI94" t="e">
        <f>AND('UP133'!CT56,"AAAAAGf//6Q=")</f>
        <v>#VALUE!</v>
      </c>
      <c r="FJ94" t="e">
        <f>AND('UP133'!CU56,"AAAAAGf//6U=")</f>
        <v>#VALUE!</v>
      </c>
      <c r="FK94" t="e">
        <f>AND('UP133'!CV56,"AAAAAGf//6Y=")</f>
        <v>#VALUE!</v>
      </c>
      <c r="FL94" t="e">
        <f>AND('UP133'!CW56,"AAAAAGf//6c=")</f>
        <v>#VALUE!</v>
      </c>
      <c r="FM94" t="e">
        <f>AND('UP133'!CX56,"AAAAAGf//6g=")</f>
        <v>#VALUE!</v>
      </c>
      <c r="FN94" t="e">
        <f>AND('UP133'!CY56,"AAAAAGf//6k=")</f>
        <v>#VALUE!</v>
      </c>
      <c r="FO94" t="e">
        <f>AND('UP133'!CZ56,"AAAAAGf//6o=")</f>
        <v>#VALUE!</v>
      </c>
      <c r="FP94" t="e">
        <f>AND('UP133'!DA56,"AAAAAGf//6s=")</f>
        <v>#VALUE!</v>
      </c>
      <c r="FQ94" t="e">
        <f>AND('UP133'!DB56,"AAAAAGf//6w=")</f>
        <v>#VALUE!</v>
      </c>
      <c r="FR94" t="e">
        <f>AND('UP133'!DC56,"AAAAAGf//60=")</f>
        <v>#VALUE!</v>
      </c>
      <c r="FS94" t="e">
        <f>AND('UP133'!DD56,"AAAAAGf//64=")</f>
        <v>#VALUE!</v>
      </c>
      <c r="FT94" t="e">
        <f>AND('UP133'!DE56,"AAAAAGf//68=")</f>
        <v>#VALUE!</v>
      </c>
      <c r="FU94" t="e">
        <f>AND('UP133'!DF56,"AAAAAGf//7A=")</f>
        <v>#VALUE!</v>
      </c>
      <c r="FV94" t="e">
        <f>AND('UP133'!DG56,"AAAAAGf//7E=")</f>
        <v>#VALUE!</v>
      </c>
      <c r="FW94" t="e">
        <f>AND('UP133'!DH56,"AAAAAGf//7I=")</f>
        <v>#VALUE!</v>
      </c>
      <c r="FX94" t="e">
        <f>AND('UP133'!DI56,"AAAAAGf//7M=")</f>
        <v>#VALUE!</v>
      </c>
      <c r="FY94" t="e">
        <f>AND('UP133'!DJ56,"AAAAAGf//7Q=")</f>
        <v>#VALUE!</v>
      </c>
      <c r="FZ94" t="e">
        <f>AND('UP133'!DK56,"AAAAAGf//7U=")</f>
        <v>#VALUE!</v>
      </c>
      <c r="GA94" t="e">
        <f>AND('UP133'!DL56,"AAAAAGf//7Y=")</f>
        <v>#VALUE!</v>
      </c>
      <c r="GB94" t="e">
        <f>AND('UP133'!DM56,"AAAAAGf//7c=")</f>
        <v>#VALUE!</v>
      </c>
      <c r="GC94" t="e">
        <f>AND('UP133'!DN56,"AAAAAGf//7g=")</f>
        <v>#VALUE!</v>
      </c>
      <c r="GD94" t="e">
        <f>AND('UP133'!DO56,"AAAAAGf//7k=")</f>
        <v>#VALUE!</v>
      </c>
      <c r="GE94" t="e">
        <f>AND('UP133'!DP56,"AAAAAGf//7o=")</f>
        <v>#VALUE!</v>
      </c>
      <c r="GF94" t="e">
        <f>AND('UP133'!DQ56,"AAAAAGf//7s=")</f>
        <v>#VALUE!</v>
      </c>
      <c r="GG94" t="e">
        <f>AND('UP133'!DR56,"AAAAAGf//7w=")</f>
        <v>#VALUE!</v>
      </c>
      <c r="GH94" t="e">
        <f>AND('UP133'!DS56,"AAAAAGf//70=")</f>
        <v>#VALUE!</v>
      </c>
      <c r="GI94" t="e">
        <f>AND('UP133'!DT56,"AAAAAGf//74=")</f>
        <v>#VALUE!</v>
      </c>
      <c r="GJ94" t="e">
        <f>AND('UP133'!DU56,"AAAAAGf//78=")</f>
        <v>#VALUE!</v>
      </c>
      <c r="GK94" t="e">
        <f>AND('UP133'!DV56,"AAAAAGf//8A=")</f>
        <v>#VALUE!</v>
      </c>
      <c r="GL94" t="e">
        <f>AND('UP133'!DW56,"AAAAAGf//8E=")</f>
        <v>#VALUE!</v>
      </c>
      <c r="GM94" t="e">
        <f>AND('UP133'!DX56,"AAAAAGf//8I=")</f>
        <v>#VALUE!</v>
      </c>
      <c r="GN94" t="e">
        <f>AND('UP133'!DY56,"AAAAAGf//8M=")</f>
        <v>#VALUE!</v>
      </c>
      <c r="GO94" t="e">
        <f>AND('UP133'!DZ56,"AAAAAGf//8Q=")</f>
        <v>#VALUE!</v>
      </c>
      <c r="GP94" t="e">
        <f>AND('UP133'!EA56,"AAAAAGf//8U=")</f>
        <v>#VALUE!</v>
      </c>
      <c r="GQ94" t="e">
        <f>AND('UP133'!EB56,"AAAAAGf//8Y=")</f>
        <v>#VALUE!</v>
      </c>
      <c r="GR94" t="e">
        <f>AND('UP133'!EC56,"AAAAAGf//8c=")</f>
        <v>#VALUE!</v>
      </c>
      <c r="GS94" t="e">
        <f>AND('UP133'!ED56,"AAAAAGf//8g=")</f>
        <v>#VALUE!</v>
      </c>
      <c r="GT94" t="e">
        <f>AND('UP133'!EE56,"AAAAAGf//8k=")</f>
        <v>#VALUE!</v>
      </c>
      <c r="GU94" t="e">
        <f>AND('UP133'!EF56,"AAAAAGf//8o=")</f>
        <v>#VALUE!</v>
      </c>
      <c r="GV94" t="e">
        <f>AND('UP133'!EG56,"AAAAAGf//8s=")</f>
        <v>#VALUE!</v>
      </c>
      <c r="GW94" t="e">
        <f>AND('UP133'!EH56,"AAAAAGf//8w=")</f>
        <v>#VALUE!</v>
      </c>
      <c r="GX94" t="e">
        <f>AND('UP133'!EI56,"AAAAAGf//80=")</f>
        <v>#VALUE!</v>
      </c>
      <c r="GY94" t="e">
        <f>AND('UP133'!EJ56,"AAAAAGf//84=")</f>
        <v>#VALUE!</v>
      </c>
      <c r="GZ94" t="e">
        <f>AND('UP133'!EK56,"AAAAAGf//88=")</f>
        <v>#VALUE!</v>
      </c>
      <c r="HA94" t="e">
        <f>AND('UP133'!EL56,"AAAAAGf//9A=")</f>
        <v>#VALUE!</v>
      </c>
      <c r="HB94" t="e">
        <f>AND('UP133'!EM56,"AAAAAGf//9E=")</f>
        <v>#VALUE!</v>
      </c>
      <c r="HC94" t="e">
        <f>AND('UP133'!EN56,"AAAAAGf//9I=")</f>
        <v>#VALUE!</v>
      </c>
      <c r="HD94" t="e">
        <f>AND('UP133'!EO56,"AAAAAGf//9M=")</f>
        <v>#VALUE!</v>
      </c>
      <c r="HE94" t="e">
        <f>AND('UP133'!EP56,"AAAAAGf//9Q=")</f>
        <v>#VALUE!</v>
      </c>
      <c r="HF94" t="e">
        <f>AND('UP133'!EQ56,"AAAAAGf//9U=")</f>
        <v>#VALUE!</v>
      </c>
      <c r="HG94" t="e">
        <f>AND('UP133'!ER56,"AAAAAGf//9Y=")</f>
        <v>#VALUE!</v>
      </c>
      <c r="HH94" t="e">
        <f>AND('UP133'!ES56,"AAAAAGf//9c=")</f>
        <v>#VALUE!</v>
      </c>
      <c r="HI94" t="e">
        <f>AND('UP133'!ET56,"AAAAAGf//9g=")</f>
        <v>#VALUE!</v>
      </c>
      <c r="HJ94" t="e">
        <f>AND('UP133'!EU56,"AAAAAGf//9k=")</f>
        <v>#VALUE!</v>
      </c>
      <c r="HK94" t="e">
        <f>AND('UP133'!EV56,"AAAAAGf//9o=")</f>
        <v>#VALUE!</v>
      </c>
      <c r="HL94" t="e">
        <f>AND('UP133'!EW56,"AAAAAGf//9s=")</f>
        <v>#VALUE!</v>
      </c>
      <c r="HM94" t="e">
        <f>AND('UP133'!EX56,"AAAAAGf//9w=")</f>
        <v>#VALUE!</v>
      </c>
      <c r="HN94" t="e">
        <f>AND('UP133'!EY56,"AAAAAGf//90=")</f>
        <v>#VALUE!</v>
      </c>
      <c r="HO94" t="e">
        <f>AND('UP133'!EZ56,"AAAAAGf//94=")</f>
        <v>#VALUE!</v>
      </c>
      <c r="HP94" t="e">
        <f>AND('UP133'!FA56,"AAAAAGf//98=")</f>
        <v>#VALUE!</v>
      </c>
      <c r="HQ94" t="e">
        <f>AND('UP133'!FB56,"AAAAAGf//+A=")</f>
        <v>#VALUE!</v>
      </c>
      <c r="HR94" t="e">
        <f>AND('UP133'!FC56,"AAAAAGf//+E=")</f>
        <v>#VALUE!</v>
      </c>
      <c r="HS94" t="e">
        <f>AND('UP133'!FD56,"AAAAAGf//+I=")</f>
        <v>#VALUE!</v>
      </c>
      <c r="HT94" t="e">
        <f>AND('UP133'!FE56,"AAAAAGf//+M=")</f>
        <v>#VALUE!</v>
      </c>
      <c r="HU94" t="e">
        <f>AND('UP133'!FF56,"AAAAAGf//+Q=")</f>
        <v>#VALUE!</v>
      </c>
      <c r="HV94" t="e">
        <f>AND('UP133'!FG56,"AAAAAGf//+U=")</f>
        <v>#VALUE!</v>
      </c>
      <c r="HW94" t="e">
        <f>AND('UP133'!FH56,"AAAAAGf//+Y=")</f>
        <v>#VALUE!</v>
      </c>
      <c r="HX94" t="e">
        <f>AND('UP133'!FI56,"AAAAAGf//+c=")</f>
        <v>#VALUE!</v>
      </c>
      <c r="HY94" t="e">
        <f>AND('UP133'!FJ56,"AAAAAGf//+g=")</f>
        <v>#VALUE!</v>
      </c>
      <c r="HZ94" t="e">
        <f>AND('UP133'!FK56,"AAAAAGf//+k=")</f>
        <v>#VALUE!</v>
      </c>
      <c r="IA94" t="e">
        <f>AND('UP133'!FL56,"AAAAAGf//+o=")</f>
        <v>#VALUE!</v>
      </c>
      <c r="IB94" t="e">
        <f>AND('UP133'!FM56,"AAAAAGf//+s=")</f>
        <v>#VALUE!</v>
      </c>
      <c r="IC94" t="e">
        <f>AND('UP133'!FN56,"AAAAAGf//+w=")</f>
        <v>#VALUE!</v>
      </c>
      <c r="ID94" t="e">
        <f>AND('UP133'!FO56,"AAAAAGf//+0=")</f>
        <v>#VALUE!</v>
      </c>
      <c r="IE94" t="e">
        <f>AND('UP133'!FP56,"AAAAAGf//+4=")</f>
        <v>#VALUE!</v>
      </c>
      <c r="IF94" t="e">
        <f>AND('UP133'!FQ56,"AAAAAGf//+8=")</f>
        <v>#VALUE!</v>
      </c>
      <c r="IG94" t="e">
        <f>AND('UP133'!FR56,"AAAAAGf///A=")</f>
        <v>#VALUE!</v>
      </c>
      <c r="IH94" t="e">
        <f>AND('UP133'!FS56,"AAAAAGf///E=")</f>
        <v>#VALUE!</v>
      </c>
      <c r="II94" t="e">
        <f>AND('UP133'!FT56,"AAAAAGf///I=")</f>
        <v>#VALUE!</v>
      </c>
      <c r="IJ94" t="e">
        <f>AND('UP133'!FU56,"AAAAAGf///M=")</f>
        <v>#VALUE!</v>
      </c>
      <c r="IK94" t="e">
        <f>AND('UP133'!FV56,"AAAAAGf///Q=")</f>
        <v>#VALUE!</v>
      </c>
      <c r="IL94" t="e">
        <f>AND('UP133'!FW56,"AAAAAGf///U=")</f>
        <v>#VALUE!</v>
      </c>
      <c r="IM94" t="e">
        <f>AND('UP133'!FX56,"AAAAAGf///Y=")</f>
        <v>#VALUE!</v>
      </c>
      <c r="IN94" t="e">
        <f>AND('UP133'!FY56,"AAAAAGf///c=")</f>
        <v>#VALUE!</v>
      </c>
      <c r="IO94" t="e">
        <f>AND('UP133'!FZ56,"AAAAAGf///g=")</f>
        <v>#VALUE!</v>
      </c>
      <c r="IP94" t="e">
        <f>AND('UP133'!GA56,"AAAAAGf///k=")</f>
        <v>#VALUE!</v>
      </c>
      <c r="IQ94" t="e">
        <f>AND('UP133'!GB56,"AAAAAGf///o=")</f>
        <v>#VALUE!</v>
      </c>
      <c r="IR94" t="e">
        <f>AND('UP133'!GC56,"AAAAAGf///s=")</f>
        <v>#VALUE!</v>
      </c>
      <c r="IS94" t="e">
        <f>AND('UP133'!GD56,"AAAAAGf///w=")</f>
        <v>#VALUE!</v>
      </c>
      <c r="IT94" t="e">
        <f>AND('UP133'!GE56,"AAAAAGf///0=")</f>
        <v>#VALUE!</v>
      </c>
      <c r="IU94" t="e">
        <f>AND('UP133'!GF56,"AAAAAGf///4=")</f>
        <v>#VALUE!</v>
      </c>
      <c r="IV94" t="e">
        <f>AND('UP133'!GG56,"AAAAAGf///8=")</f>
        <v>#VALUE!</v>
      </c>
    </row>
    <row r="95" spans="1:256">
      <c r="A95" t="e">
        <f>AND('UP133'!GH56,"AAAAAHc/rwA=")</f>
        <v>#VALUE!</v>
      </c>
      <c r="B95" t="e">
        <f>AND('UP133'!GI56,"AAAAAHc/rwE=")</f>
        <v>#VALUE!</v>
      </c>
      <c r="C95" t="e">
        <f>AND('UP133'!GJ56,"AAAAAHc/rwI=")</f>
        <v>#VALUE!</v>
      </c>
      <c r="D95" t="e">
        <f>AND('UP133'!GK56,"AAAAAHc/rwM=")</f>
        <v>#VALUE!</v>
      </c>
      <c r="E95" t="e">
        <f>AND('UP133'!GL56,"AAAAAHc/rwQ=")</f>
        <v>#VALUE!</v>
      </c>
      <c r="F95" t="e">
        <f>AND('UP133'!GM56,"AAAAAHc/rwU=")</f>
        <v>#VALUE!</v>
      </c>
      <c r="G95" t="e">
        <f>AND('UP133'!GN56,"AAAAAHc/rwY=")</f>
        <v>#VALUE!</v>
      </c>
      <c r="H95" t="e">
        <f>AND('UP133'!GO56,"AAAAAHc/rwc=")</f>
        <v>#VALUE!</v>
      </c>
      <c r="I95" t="e">
        <f>AND('UP133'!GP56,"AAAAAHc/rwg=")</f>
        <v>#VALUE!</v>
      </c>
      <c r="J95" t="e">
        <f>AND('UP133'!GQ56,"AAAAAHc/rwk=")</f>
        <v>#VALUE!</v>
      </c>
      <c r="K95" t="e">
        <f>AND('UP133'!GR56,"AAAAAHc/rwo=")</f>
        <v>#VALUE!</v>
      </c>
      <c r="L95" t="e">
        <f>AND('UP133'!GS56,"AAAAAHc/rws=")</f>
        <v>#VALUE!</v>
      </c>
      <c r="M95" t="e">
        <f>AND('UP133'!GT56,"AAAAAHc/rww=")</f>
        <v>#VALUE!</v>
      </c>
      <c r="N95" t="e">
        <f>AND('UP133'!GU56,"AAAAAHc/rw0=")</f>
        <v>#VALUE!</v>
      </c>
      <c r="O95" t="e">
        <f>AND('UP133'!GV56,"AAAAAHc/rw4=")</f>
        <v>#VALUE!</v>
      </c>
      <c r="P95" t="e">
        <f>AND('UP133'!GW56,"AAAAAHc/rw8=")</f>
        <v>#VALUE!</v>
      </c>
      <c r="Q95" t="e">
        <f>AND('UP133'!GX56,"AAAAAHc/rxA=")</f>
        <v>#VALUE!</v>
      </c>
      <c r="R95" t="e">
        <f>AND('UP133'!GY56,"AAAAAHc/rxE=")</f>
        <v>#VALUE!</v>
      </c>
      <c r="S95" t="e">
        <f>AND('UP133'!GZ56,"AAAAAHc/rxI=")</f>
        <v>#VALUE!</v>
      </c>
      <c r="T95" t="e">
        <f>AND('UP133'!HA56,"AAAAAHc/rxM=")</f>
        <v>#VALUE!</v>
      </c>
      <c r="U95" t="e">
        <f>AND('UP133'!HB56,"AAAAAHc/rxQ=")</f>
        <v>#VALUE!</v>
      </c>
      <c r="V95" t="e">
        <f>AND('UP133'!HC56,"AAAAAHc/rxU=")</f>
        <v>#VALUE!</v>
      </c>
      <c r="W95" t="e">
        <f>AND('UP133'!HD56,"AAAAAHc/rxY=")</f>
        <v>#VALUE!</v>
      </c>
      <c r="X95" t="e">
        <f>AND('UP133'!HE56,"AAAAAHc/rxc=")</f>
        <v>#VALUE!</v>
      </c>
      <c r="Y95" t="e">
        <f>AND('UP133'!HF56,"AAAAAHc/rxg=")</f>
        <v>#VALUE!</v>
      </c>
      <c r="Z95" t="e">
        <f>AND('UP133'!HG56,"AAAAAHc/rxk=")</f>
        <v>#VALUE!</v>
      </c>
      <c r="AA95" t="e">
        <f>AND('UP133'!HH56,"AAAAAHc/rxo=")</f>
        <v>#VALUE!</v>
      </c>
      <c r="AB95" t="e">
        <f>AND('UP133'!HI56,"AAAAAHc/rxs=")</f>
        <v>#VALUE!</v>
      </c>
      <c r="AC95" t="e">
        <f>AND('UP133'!HJ56,"AAAAAHc/rxw=")</f>
        <v>#VALUE!</v>
      </c>
      <c r="AD95" t="e">
        <f>AND('UP133'!HK56,"AAAAAHc/rx0=")</f>
        <v>#VALUE!</v>
      </c>
      <c r="AE95" t="e">
        <f>AND('UP133'!HL56,"AAAAAHc/rx4=")</f>
        <v>#VALUE!</v>
      </c>
      <c r="AF95" t="e">
        <f>AND('UP133'!HM56,"AAAAAHc/rx8=")</f>
        <v>#VALUE!</v>
      </c>
      <c r="AG95" t="e">
        <f>AND('UP133'!HN56,"AAAAAHc/ryA=")</f>
        <v>#VALUE!</v>
      </c>
      <c r="AH95" t="e">
        <f>AND('UP133'!HO56,"AAAAAHc/ryE=")</f>
        <v>#VALUE!</v>
      </c>
      <c r="AI95" t="e">
        <f>AND('UP133'!HP56,"AAAAAHc/ryI=")</f>
        <v>#VALUE!</v>
      </c>
      <c r="AJ95" t="e">
        <f>AND('UP133'!HQ56,"AAAAAHc/ryM=")</f>
        <v>#VALUE!</v>
      </c>
      <c r="AK95" t="e">
        <f>AND('UP133'!HR56,"AAAAAHc/ryQ=")</f>
        <v>#VALUE!</v>
      </c>
      <c r="AL95" t="e">
        <f>AND('UP133'!HS56,"AAAAAHc/ryU=")</f>
        <v>#VALUE!</v>
      </c>
      <c r="AM95" t="e">
        <f>AND('UP133'!HT56,"AAAAAHc/ryY=")</f>
        <v>#VALUE!</v>
      </c>
      <c r="AN95" t="e">
        <f>AND('UP133'!HU56,"AAAAAHc/ryc=")</f>
        <v>#VALUE!</v>
      </c>
      <c r="AO95" t="e">
        <f>AND('UP133'!HV56,"AAAAAHc/ryg=")</f>
        <v>#VALUE!</v>
      </c>
      <c r="AP95" t="e">
        <f>AND('UP133'!HW56,"AAAAAHc/ryk=")</f>
        <v>#VALUE!</v>
      </c>
      <c r="AQ95" t="e">
        <f>AND('UP133'!HX56,"AAAAAHc/ryo=")</f>
        <v>#VALUE!</v>
      </c>
      <c r="AR95" t="e">
        <f>AND('UP133'!HY56,"AAAAAHc/rys=")</f>
        <v>#VALUE!</v>
      </c>
      <c r="AS95" t="e">
        <f>AND('UP133'!HZ56,"AAAAAHc/ryw=")</f>
        <v>#VALUE!</v>
      </c>
      <c r="AT95" t="e">
        <f>AND('UP133'!IA56,"AAAAAHc/ry0=")</f>
        <v>#VALUE!</v>
      </c>
      <c r="AU95" t="e">
        <f>AND('UP133'!IB56,"AAAAAHc/ry4=")</f>
        <v>#VALUE!</v>
      </c>
      <c r="AV95" t="e">
        <f>AND('UP133'!IC56,"AAAAAHc/ry8=")</f>
        <v>#VALUE!</v>
      </c>
      <c r="AW95" t="e">
        <f>AND('UP133'!ID56,"AAAAAHc/rzA=")</f>
        <v>#VALUE!</v>
      </c>
      <c r="AX95" t="e">
        <f>AND('UP133'!IE56,"AAAAAHc/rzE=")</f>
        <v>#VALUE!</v>
      </c>
      <c r="AY95" t="e">
        <f>AND('UP133'!IF56,"AAAAAHc/rzI=")</f>
        <v>#VALUE!</v>
      </c>
      <c r="AZ95" t="e">
        <f>AND('UP133'!IG56,"AAAAAHc/rzM=")</f>
        <v>#VALUE!</v>
      </c>
      <c r="BA95" t="e">
        <f>AND('UP133'!IH56,"AAAAAHc/rzQ=")</f>
        <v>#VALUE!</v>
      </c>
      <c r="BB95" t="e">
        <f>AND('UP133'!II56,"AAAAAHc/rzU=")</f>
        <v>#VALUE!</v>
      </c>
      <c r="BC95" t="e">
        <f>AND('UP133'!IJ56,"AAAAAHc/rzY=")</f>
        <v>#VALUE!</v>
      </c>
      <c r="BD95" t="e">
        <f>AND('UP133'!IK56,"AAAAAHc/rzc=")</f>
        <v>#VALUE!</v>
      </c>
      <c r="BE95" t="e">
        <f>AND('UP133'!IL56,"AAAAAHc/rzg=")</f>
        <v>#VALUE!</v>
      </c>
      <c r="BF95" t="e">
        <f>AND('UP133'!IM56,"AAAAAHc/rzk=")</f>
        <v>#VALUE!</v>
      </c>
      <c r="BG95" t="e">
        <f>AND('UP133'!IN56,"AAAAAHc/rzo=")</f>
        <v>#VALUE!</v>
      </c>
      <c r="BH95" t="e">
        <f>AND('UP133'!IO56,"AAAAAHc/rzs=")</f>
        <v>#VALUE!</v>
      </c>
      <c r="BI95" t="e">
        <f>AND('UP133'!IP56,"AAAAAHc/rzw=")</f>
        <v>#VALUE!</v>
      </c>
      <c r="BJ95" t="e">
        <f>AND('UP133'!IQ56,"AAAAAHc/rz0=")</f>
        <v>#VALUE!</v>
      </c>
      <c r="BK95">
        <f>IF('UP133'!57:57,"AAAAAHc/rz4=",0)</f>
        <v>0</v>
      </c>
      <c r="BL95" t="e">
        <f>AND('UP133'!A57,"AAAAAHc/rz8=")</f>
        <v>#VALUE!</v>
      </c>
      <c r="BM95" t="e">
        <f>AND('UP133'!B57,"AAAAAHc/r0A=")</f>
        <v>#VALUE!</v>
      </c>
      <c r="BN95" t="e">
        <f>AND('UP133'!C57,"AAAAAHc/r0E=")</f>
        <v>#VALUE!</v>
      </c>
      <c r="BO95" t="e">
        <f>AND('UP133'!D57,"AAAAAHc/r0I=")</f>
        <v>#VALUE!</v>
      </c>
      <c r="BP95" t="e">
        <f>AND('UP133'!E57,"AAAAAHc/r0M=")</f>
        <v>#VALUE!</v>
      </c>
      <c r="BQ95" t="e">
        <f>AND('UP133'!F57,"AAAAAHc/r0Q=")</f>
        <v>#VALUE!</v>
      </c>
      <c r="BR95" t="e">
        <f>AND('UP133'!G57,"AAAAAHc/r0U=")</f>
        <v>#VALUE!</v>
      </c>
      <c r="BS95" t="e">
        <f>AND('UP133'!H57,"AAAAAHc/r0Y=")</f>
        <v>#VALUE!</v>
      </c>
      <c r="BT95" t="e">
        <f>AND('UP133'!I57,"AAAAAHc/r0c=")</f>
        <v>#VALUE!</v>
      </c>
      <c r="BU95" t="e">
        <f>AND('UP133'!J57,"AAAAAHc/r0g=")</f>
        <v>#VALUE!</v>
      </c>
      <c r="BV95" t="e">
        <f>AND('UP133'!K57,"AAAAAHc/r0k=")</f>
        <v>#VALUE!</v>
      </c>
      <c r="BW95" t="e">
        <f>AND('UP133'!L57,"AAAAAHc/r0o=")</f>
        <v>#VALUE!</v>
      </c>
      <c r="BX95" t="e">
        <f>AND('UP133'!M57,"AAAAAHc/r0s=")</f>
        <v>#VALUE!</v>
      </c>
      <c r="BY95" t="e">
        <f>AND('UP133'!N57,"AAAAAHc/r0w=")</f>
        <v>#VALUE!</v>
      </c>
      <c r="BZ95" t="e">
        <f>AND('UP133'!O57,"AAAAAHc/r00=")</f>
        <v>#VALUE!</v>
      </c>
      <c r="CA95" t="e">
        <f>AND('UP133'!P57,"AAAAAHc/r04=")</f>
        <v>#VALUE!</v>
      </c>
      <c r="CB95" t="e">
        <f>AND('UP133'!Q57,"AAAAAHc/r08=")</f>
        <v>#VALUE!</v>
      </c>
      <c r="CC95" t="e">
        <f>AND('UP133'!R57,"AAAAAHc/r1A=")</f>
        <v>#VALUE!</v>
      </c>
      <c r="CD95" t="e">
        <f>AND('UP133'!S57,"AAAAAHc/r1E=")</f>
        <v>#VALUE!</v>
      </c>
      <c r="CE95" t="e">
        <f>AND('UP133'!T57,"AAAAAHc/r1I=")</f>
        <v>#VALUE!</v>
      </c>
      <c r="CF95" t="e">
        <f>AND('UP133'!U57,"AAAAAHc/r1M=")</f>
        <v>#VALUE!</v>
      </c>
      <c r="CG95" t="e">
        <f>AND('UP133'!V57,"AAAAAHc/r1Q=")</f>
        <v>#VALUE!</v>
      </c>
      <c r="CH95" t="e">
        <f>AND('UP133'!W57,"AAAAAHc/r1U=")</f>
        <v>#VALUE!</v>
      </c>
      <c r="CI95" t="e">
        <f>AND('UP133'!X57,"AAAAAHc/r1Y=")</f>
        <v>#VALUE!</v>
      </c>
      <c r="CJ95" t="e">
        <f>AND('UP133'!Y57,"AAAAAHc/r1c=")</f>
        <v>#VALUE!</v>
      </c>
      <c r="CK95" t="e">
        <f>AND('UP133'!Z57,"AAAAAHc/r1g=")</f>
        <v>#VALUE!</v>
      </c>
      <c r="CL95" t="e">
        <f>AND('UP133'!AA57,"AAAAAHc/r1k=")</f>
        <v>#VALUE!</v>
      </c>
      <c r="CM95" t="e">
        <f>AND('UP133'!AB57,"AAAAAHc/r1o=")</f>
        <v>#VALUE!</v>
      </c>
      <c r="CN95" t="e">
        <f>AND('UP133'!AC57,"AAAAAHc/r1s=")</f>
        <v>#VALUE!</v>
      </c>
      <c r="CO95" t="e">
        <f>AND('UP133'!AD57,"AAAAAHc/r1w=")</f>
        <v>#VALUE!</v>
      </c>
      <c r="CP95" t="e">
        <f>AND('UP133'!AE57,"AAAAAHc/r10=")</f>
        <v>#VALUE!</v>
      </c>
      <c r="CQ95" t="e">
        <f>AND('UP133'!AF57,"AAAAAHc/r14=")</f>
        <v>#VALUE!</v>
      </c>
      <c r="CR95" t="e">
        <f>AND('UP133'!AG57,"AAAAAHc/r18=")</f>
        <v>#VALUE!</v>
      </c>
      <c r="CS95" t="e">
        <f>AND('UP133'!AH57,"AAAAAHc/r2A=")</f>
        <v>#VALUE!</v>
      </c>
      <c r="CT95" t="e">
        <f>AND('UP133'!AI57,"AAAAAHc/r2E=")</f>
        <v>#VALUE!</v>
      </c>
      <c r="CU95" t="e">
        <f>AND('UP133'!AJ57,"AAAAAHc/r2I=")</f>
        <v>#VALUE!</v>
      </c>
      <c r="CV95" t="e">
        <f>AND('UP133'!AK57,"AAAAAHc/r2M=")</f>
        <v>#VALUE!</v>
      </c>
      <c r="CW95" t="e">
        <f>AND('UP133'!AL57,"AAAAAHc/r2Q=")</f>
        <v>#VALUE!</v>
      </c>
      <c r="CX95" t="e">
        <f>AND('UP133'!AM57,"AAAAAHc/r2U=")</f>
        <v>#VALUE!</v>
      </c>
      <c r="CY95" t="e">
        <f>AND('UP133'!AN57,"AAAAAHc/r2Y=")</f>
        <v>#VALUE!</v>
      </c>
      <c r="CZ95" t="e">
        <f>AND('UP133'!AO57,"AAAAAHc/r2c=")</f>
        <v>#VALUE!</v>
      </c>
      <c r="DA95" t="e">
        <f>AND('UP133'!AP57,"AAAAAHc/r2g=")</f>
        <v>#VALUE!</v>
      </c>
      <c r="DB95" t="e">
        <f>AND('UP133'!AQ57,"AAAAAHc/r2k=")</f>
        <v>#VALUE!</v>
      </c>
      <c r="DC95" t="e">
        <f>AND('UP133'!AR57,"AAAAAHc/r2o=")</f>
        <v>#VALUE!</v>
      </c>
      <c r="DD95" t="e">
        <f>AND('UP133'!AS57,"AAAAAHc/r2s=")</f>
        <v>#VALUE!</v>
      </c>
      <c r="DE95" t="e">
        <f>AND('UP133'!AT57,"AAAAAHc/r2w=")</f>
        <v>#VALUE!</v>
      </c>
      <c r="DF95" t="e">
        <f>AND('UP133'!AU57,"AAAAAHc/r20=")</f>
        <v>#VALUE!</v>
      </c>
      <c r="DG95" t="e">
        <f>AND('UP133'!AV57,"AAAAAHc/r24=")</f>
        <v>#VALUE!</v>
      </c>
      <c r="DH95" t="e">
        <f>AND('UP133'!AW57,"AAAAAHc/r28=")</f>
        <v>#VALUE!</v>
      </c>
      <c r="DI95" t="e">
        <f>AND('UP133'!AX57,"AAAAAHc/r3A=")</f>
        <v>#VALUE!</v>
      </c>
      <c r="DJ95" t="e">
        <f>AND('UP133'!AY57,"AAAAAHc/r3E=")</f>
        <v>#VALUE!</v>
      </c>
      <c r="DK95" t="e">
        <f>AND('UP133'!AZ57,"AAAAAHc/r3I=")</f>
        <v>#VALUE!</v>
      </c>
      <c r="DL95" t="e">
        <f>AND('UP133'!BA57,"AAAAAHc/r3M=")</f>
        <v>#VALUE!</v>
      </c>
      <c r="DM95" t="e">
        <f>AND('UP133'!BB57,"AAAAAHc/r3Q=")</f>
        <v>#VALUE!</v>
      </c>
      <c r="DN95" t="e">
        <f>AND('UP133'!BC57,"AAAAAHc/r3U=")</f>
        <v>#VALUE!</v>
      </c>
      <c r="DO95" t="e">
        <f>AND('UP133'!BD57,"AAAAAHc/r3Y=")</f>
        <v>#VALUE!</v>
      </c>
      <c r="DP95" t="e">
        <f>AND('UP133'!BE57,"AAAAAHc/r3c=")</f>
        <v>#VALUE!</v>
      </c>
      <c r="DQ95" t="e">
        <f>AND('UP133'!BF57,"AAAAAHc/r3g=")</f>
        <v>#VALUE!</v>
      </c>
      <c r="DR95" t="e">
        <f>AND('UP133'!BG57,"AAAAAHc/r3k=")</f>
        <v>#VALUE!</v>
      </c>
      <c r="DS95" t="e">
        <f>AND('UP133'!BH57,"AAAAAHc/r3o=")</f>
        <v>#VALUE!</v>
      </c>
      <c r="DT95" t="e">
        <f>AND('UP133'!BI57,"AAAAAHc/r3s=")</f>
        <v>#VALUE!</v>
      </c>
      <c r="DU95" t="e">
        <f>AND('UP133'!BJ57,"AAAAAHc/r3w=")</f>
        <v>#VALUE!</v>
      </c>
      <c r="DV95" t="e">
        <f>AND('UP133'!BK57,"AAAAAHc/r30=")</f>
        <v>#VALUE!</v>
      </c>
      <c r="DW95" t="e">
        <f>AND('UP133'!BL57,"AAAAAHc/r34=")</f>
        <v>#VALUE!</v>
      </c>
      <c r="DX95" t="e">
        <f>AND('UP133'!BM57,"AAAAAHc/r38=")</f>
        <v>#VALUE!</v>
      </c>
      <c r="DY95" t="e">
        <f>AND('UP133'!BN57,"AAAAAHc/r4A=")</f>
        <v>#VALUE!</v>
      </c>
      <c r="DZ95" t="e">
        <f>AND('UP133'!BO57,"AAAAAHc/r4E=")</f>
        <v>#VALUE!</v>
      </c>
      <c r="EA95" t="e">
        <f>AND('UP133'!BP57,"AAAAAHc/r4I=")</f>
        <v>#VALUE!</v>
      </c>
      <c r="EB95" t="e">
        <f>AND('UP133'!BQ57,"AAAAAHc/r4M=")</f>
        <v>#VALUE!</v>
      </c>
      <c r="EC95" t="e">
        <f>AND('UP133'!BR57,"AAAAAHc/r4Q=")</f>
        <v>#VALUE!</v>
      </c>
      <c r="ED95" t="e">
        <f>AND('UP133'!BS57,"AAAAAHc/r4U=")</f>
        <v>#VALUE!</v>
      </c>
      <c r="EE95" t="e">
        <f>AND('UP133'!BT57,"AAAAAHc/r4Y=")</f>
        <v>#VALUE!</v>
      </c>
      <c r="EF95" t="e">
        <f>AND('UP133'!BU57,"AAAAAHc/r4c=")</f>
        <v>#VALUE!</v>
      </c>
      <c r="EG95" t="e">
        <f>AND('UP133'!BV57,"AAAAAHc/r4g=")</f>
        <v>#VALUE!</v>
      </c>
      <c r="EH95" t="e">
        <f>AND('UP133'!BW57,"AAAAAHc/r4k=")</f>
        <v>#VALUE!</v>
      </c>
      <c r="EI95" t="e">
        <f>AND('UP133'!BX57,"AAAAAHc/r4o=")</f>
        <v>#VALUE!</v>
      </c>
      <c r="EJ95" t="e">
        <f>AND('UP133'!BY57,"AAAAAHc/r4s=")</f>
        <v>#VALUE!</v>
      </c>
      <c r="EK95" t="e">
        <f>AND('UP133'!BZ57,"AAAAAHc/r4w=")</f>
        <v>#VALUE!</v>
      </c>
      <c r="EL95" t="e">
        <f>AND('UP133'!CA57,"AAAAAHc/r40=")</f>
        <v>#VALUE!</v>
      </c>
      <c r="EM95" t="e">
        <f>AND('UP133'!CB57,"AAAAAHc/r44=")</f>
        <v>#VALUE!</v>
      </c>
      <c r="EN95" t="e">
        <f>AND('UP133'!CC57,"AAAAAHc/r48=")</f>
        <v>#VALUE!</v>
      </c>
      <c r="EO95" t="e">
        <f>AND('UP133'!CD57,"AAAAAHc/r5A=")</f>
        <v>#VALUE!</v>
      </c>
      <c r="EP95" t="e">
        <f>AND('UP133'!CE57,"AAAAAHc/r5E=")</f>
        <v>#VALUE!</v>
      </c>
      <c r="EQ95" t="e">
        <f>AND('UP133'!CF57,"AAAAAHc/r5I=")</f>
        <v>#VALUE!</v>
      </c>
      <c r="ER95" t="e">
        <f>AND('UP133'!CG57,"AAAAAHc/r5M=")</f>
        <v>#VALUE!</v>
      </c>
      <c r="ES95" t="e">
        <f>AND('UP133'!CH57,"AAAAAHc/r5Q=")</f>
        <v>#VALUE!</v>
      </c>
      <c r="ET95" t="e">
        <f>AND('UP133'!CI57,"AAAAAHc/r5U=")</f>
        <v>#VALUE!</v>
      </c>
      <c r="EU95" t="e">
        <f>AND('UP133'!CJ57,"AAAAAHc/r5Y=")</f>
        <v>#VALUE!</v>
      </c>
      <c r="EV95" t="e">
        <f>AND('UP133'!CK57,"AAAAAHc/r5c=")</f>
        <v>#VALUE!</v>
      </c>
      <c r="EW95" t="e">
        <f>AND('UP133'!CL57,"AAAAAHc/r5g=")</f>
        <v>#VALUE!</v>
      </c>
      <c r="EX95" t="e">
        <f>AND('UP133'!CM57,"AAAAAHc/r5k=")</f>
        <v>#VALUE!</v>
      </c>
      <c r="EY95" t="e">
        <f>AND('UP133'!CN57,"AAAAAHc/r5o=")</f>
        <v>#VALUE!</v>
      </c>
      <c r="EZ95" t="e">
        <f>AND('UP133'!CO57,"AAAAAHc/r5s=")</f>
        <v>#VALUE!</v>
      </c>
      <c r="FA95" t="e">
        <f>AND('UP133'!CP57,"AAAAAHc/r5w=")</f>
        <v>#VALUE!</v>
      </c>
      <c r="FB95" t="e">
        <f>AND('UP133'!CQ57,"AAAAAHc/r50=")</f>
        <v>#VALUE!</v>
      </c>
      <c r="FC95" t="e">
        <f>AND('UP133'!CR57,"AAAAAHc/r54=")</f>
        <v>#VALUE!</v>
      </c>
      <c r="FD95" t="e">
        <f>AND('UP133'!CS57,"AAAAAHc/r58=")</f>
        <v>#VALUE!</v>
      </c>
      <c r="FE95" t="e">
        <f>AND('UP133'!CT57,"AAAAAHc/r6A=")</f>
        <v>#VALUE!</v>
      </c>
      <c r="FF95" t="e">
        <f>AND('UP133'!CU57,"AAAAAHc/r6E=")</f>
        <v>#VALUE!</v>
      </c>
      <c r="FG95" t="e">
        <f>AND('UP133'!CV57,"AAAAAHc/r6I=")</f>
        <v>#VALUE!</v>
      </c>
      <c r="FH95" t="e">
        <f>AND('UP133'!CW57,"AAAAAHc/r6M=")</f>
        <v>#VALUE!</v>
      </c>
      <c r="FI95" t="e">
        <f>AND('UP133'!CX57,"AAAAAHc/r6Q=")</f>
        <v>#VALUE!</v>
      </c>
      <c r="FJ95" t="e">
        <f>AND('UP133'!CY57,"AAAAAHc/r6U=")</f>
        <v>#VALUE!</v>
      </c>
      <c r="FK95" t="e">
        <f>AND('UP133'!CZ57,"AAAAAHc/r6Y=")</f>
        <v>#VALUE!</v>
      </c>
      <c r="FL95" t="e">
        <f>AND('UP133'!DA57,"AAAAAHc/r6c=")</f>
        <v>#VALUE!</v>
      </c>
      <c r="FM95" t="e">
        <f>AND('UP133'!DB57,"AAAAAHc/r6g=")</f>
        <v>#VALUE!</v>
      </c>
      <c r="FN95" t="e">
        <f>AND('UP133'!DC57,"AAAAAHc/r6k=")</f>
        <v>#VALUE!</v>
      </c>
      <c r="FO95" t="e">
        <f>AND('UP133'!DD57,"AAAAAHc/r6o=")</f>
        <v>#VALUE!</v>
      </c>
      <c r="FP95" t="e">
        <f>AND('UP133'!DE57,"AAAAAHc/r6s=")</f>
        <v>#VALUE!</v>
      </c>
      <c r="FQ95" t="e">
        <f>AND('UP133'!DF57,"AAAAAHc/r6w=")</f>
        <v>#VALUE!</v>
      </c>
      <c r="FR95" t="e">
        <f>AND('UP133'!DG57,"AAAAAHc/r60=")</f>
        <v>#VALUE!</v>
      </c>
      <c r="FS95" t="e">
        <f>AND('UP133'!DH57,"AAAAAHc/r64=")</f>
        <v>#VALUE!</v>
      </c>
      <c r="FT95" t="e">
        <f>AND('UP133'!DI57,"AAAAAHc/r68=")</f>
        <v>#VALUE!</v>
      </c>
      <c r="FU95" t="e">
        <f>AND('UP133'!DJ57,"AAAAAHc/r7A=")</f>
        <v>#VALUE!</v>
      </c>
      <c r="FV95" t="e">
        <f>AND('UP133'!DK57,"AAAAAHc/r7E=")</f>
        <v>#VALUE!</v>
      </c>
      <c r="FW95" t="e">
        <f>AND('UP133'!DL57,"AAAAAHc/r7I=")</f>
        <v>#VALUE!</v>
      </c>
      <c r="FX95" t="e">
        <f>AND('UP133'!DM57,"AAAAAHc/r7M=")</f>
        <v>#VALUE!</v>
      </c>
      <c r="FY95" t="e">
        <f>AND('UP133'!DN57,"AAAAAHc/r7Q=")</f>
        <v>#VALUE!</v>
      </c>
      <c r="FZ95" t="e">
        <f>AND('UP133'!DO57,"AAAAAHc/r7U=")</f>
        <v>#VALUE!</v>
      </c>
      <c r="GA95" t="e">
        <f>AND('UP133'!DP57,"AAAAAHc/r7Y=")</f>
        <v>#VALUE!</v>
      </c>
      <c r="GB95" t="e">
        <f>AND('UP133'!DQ57,"AAAAAHc/r7c=")</f>
        <v>#VALUE!</v>
      </c>
      <c r="GC95" t="e">
        <f>AND('UP133'!DR57,"AAAAAHc/r7g=")</f>
        <v>#VALUE!</v>
      </c>
      <c r="GD95" t="e">
        <f>AND('UP133'!DS57,"AAAAAHc/r7k=")</f>
        <v>#VALUE!</v>
      </c>
      <c r="GE95" t="e">
        <f>AND('UP133'!DT57,"AAAAAHc/r7o=")</f>
        <v>#VALUE!</v>
      </c>
      <c r="GF95" t="e">
        <f>AND('UP133'!DU57,"AAAAAHc/r7s=")</f>
        <v>#VALUE!</v>
      </c>
      <c r="GG95" t="e">
        <f>AND('UP133'!DV57,"AAAAAHc/r7w=")</f>
        <v>#VALUE!</v>
      </c>
      <c r="GH95" t="e">
        <f>AND('UP133'!DW57,"AAAAAHc/r70=")</f>
        <v>#VALUE!</v>
      </c>
      <c r="GI95" t="e">
        <f>AND('UP133'!DX57,"AAAAAHc/r74=")</f>
        <v>#VALUE!</v>
      </c>
      <c r="GJ95" t="e">
        <f>AND('UP133'!DY57,"AAAAAHc/r78=")</f>
        <v>#VALUE!</v>
      </c>
      <c r="GK95" t="e">
        <f>AND('UP133'!DZ57,"AAAAAHc/r8A=")</f>
        <v>#VALUE!</v>
      </c>
      <c r="GL95" t="e">
        <f>AND('UP133'!EA57,"AAAAAHc/r8E=")</f>
        <v>#VALUE!</v>
      </c>
      <c r="GM95" t="e">
        <f>AND('UP133'!EB57,"AAAAAHc/r8I=")</f>
        <v>#VALUE!</v>
      </c>
      <c r="GN95" t="e">
        <f>AND('UP133'!EC57,"AAAAAHc/r8M=")</f>
        <v>#VALUE!</v>
      </c>
      <c r="GO95" t="e">
        <f>AND('UP133'!ED57,"AAAAAHc/r8Q=")</f>
        <v>#VALUE!</v>
      </c>
      <c r="GP95" t="e">
        <f>AND('UP133'!EE57,"AAAAAHc/r8U=")</f>
        <v>#VALUE!</v>
      </c>
      <c r="GQ95" t="e">
        <f>AND('UP133'!EF57,"AAAAAHc/r8Y=")</f>
        <v>#VALUE!</v>
      </c>
      <c r="GR95" t="e">
        <f>AND('UP133'!EG57,"AAAAAHc/r8c=")</f>
        <v>#VALUE!</v>
      </c>
      <c r="GS95" t="e">
        <f>AND('UP133'!EH57,"AAAAAHc/r8g=")</f>
        <v>#VALUE!</v>
      </c>
      <c r="GT95" t="e">
        <f>AND('UP133'!EI57,"AAAAAHc/r8k=")</f>
        <v>#VALUE!</v>
      </c>
      <c r="GU95" t="e">
        <f>AND('UP133'!EJ57,"AAAAAHc/r8o=")</f>
        <v>#VALUE!</v>
      </c>
      <c r="GV95" t="e">
        <f>AND('UP133'!EK57,"AAAAAHc/r8s=")</f>
        <v>#VALUE!</v>
      </c>
      <c r="GW95" t="e">
        <f>AND('UP133'!EL57,"AAAAAHc/r8w=")</f>
        <v>#VALUE!</v>
      </c>
      <c r="GX95" t="e">
        <f>AND('UP133'!EM57,"AAAAAHc/r80=")</f>
        <v>#VALUE!</v>
      </c>
      <c r="GY95" t="e">
        <f>AND('UP133'!EN57,"AAAAAHc/r84=")</f>
        <v>#VALUE!</v>
      </c>
      <c r="GZ95" t="e">
        <f>AND('UP133'!EO57,"AAAAAHc/r88=")</f>
        <v>#VALUE!</v>
      </c>
      <c r="HA95" t="e">
        <f>AND('UP133'!EP57,"AAAAAHc/r9A=")</f>
        <v>#VALUE!</v>
      </c>
      <c r="HB95" t="e">
        <f>AND('UP133'!EQ57,"AAAAAHc/r9E=")</f>
        <v>#VALUE!</v>
      </c>
      <c r="HC95" t="e">
        <f>AND('UP133'!ER57,"AAAAAHc/r9I=")</f>
        <v>#VALUE!</v>
      </c>
      <c r="HD95" t="e">
        <f>AND('UP133'!ES57,"AAAAAHc/r9M=")</f>
        <v>#VALUE!</v>
      </c>
      <c r="HE95" t="e">
        <f>AND('UP133'!ET57,"AAAAAHc/r9Q=")</f>
        <v>#VALUE!</v>
      </c>
      <c r="HF95" t="e">
        <f>AND('UP133'!EU57,"AAAAAHc/r9U=")</f>
        <v>#VALUE!</v>
      </c>
      <c r="HG95" t="e">
        <f>AND('UP133'!EV57,"AAAAAHc/r9Y=")</f>
        <v>#VALUE!</v>
      </c>
      <c r="HH95" t="e">
        <f>AND('UP133'!EW57,"AAAAAHc/r9c=")</f>
        <v>#VALUE!</v>
      </c>
      <c r="HI95" t="e">
        <f>AND('UP133'!EX57,"AAAAAHc/r9g=")</f>
        <v>#VALUE!</v>
      </c>
      <c r="HJ95" t="e">
        <f>AND('UP133'!EY57,"AAAAAHc/r9k=")</f>
        <v>#VALUE!</v>
      </c>
      <c r="HK95" t="e">
        <f>AND('UP133'!EZ57,"AAAAAHc/r9o=")</f>
        <v>#VALUE!</v>
      </c>
      <c r="HL95" t="e">
        <f>AND('UP133'!FA57,"AAAAAHc/r9s=")</f>
        <v>#VALUE!</v>
      </c>
      <c r="HM95" t="e">
        <f>AND('UP133'!FB57,"AAAAAHc/r9w=")</f>
        <v>#VALUE!</v>
      </c>
      <c r="HN95" t="e">
        <f>AND('UP133'!FC57,"AAAAAHc/r90=")</f>
        <v>#VALUE!</v>
      </c>
      <c r="HO95" t="e">
        <f>AND('UP133'!FD57,"AAAAAHc/r94=")</f>
        <v>#VALUE!</v>
      </c>
      <c r="HP95" t="e">
        <f>AND('UP133'!FE57,"AAAAAHc/r98=")</f>
        <v>#VALUE!</v>
      </c>
      <c r="HQ95" t="e">
        <f>AND('UP133'!FF57,"AAAAAHc/r+A=")</f>
        <v>#VALUE!</v>
      </c>
      <c r="HR95" t="e">
        <f>AND('UP133'!FG57,"AAAAAHc/r+E=")</f>
        <v>#VALUE!</v>
      </c>
      <c r="HS95" t="e">
        <f>AND('UP133'!FH57,"AAAAAHc/r+I=")</f>
        <v>#VALUE!</v>
      </c>
      <c r="HT95" t="e">
        <f>AND('UP133'!FI57,"AAAAAHc/r+M=")</f>
        <v>#VALUE!</v>
      </c>
      <c r="HU95" t="e">
        <f>AND('UP133'!FJ57,"AAAAAHc/r+Q=")</f>
        <v>#VALUE!</v>
      </c>
      <c r="HV95" t="e">
        <f>AND('UP133'!FK57,"AAAAAHc/r+U=")</f>
        <v>#VALUE!</v>
      </c>
      <c r="HW95" t="e">
        <f>AND('UP133'!FL57,"AAAAAHc/r+Y=")</f>
        <v>#VALUE!</v>
      </c>
      <c r="HX95" t="e">
        <f>AND('UP133'!FM57,"AAAAAHc/r+c=")</f>
        <v>#VALUE!</v>
      </c>
      <c r="HY95" t="e">
        <f>AND('UP133'!FN57,"AAAAAHc/r+g=")</f>
        <v>#VALUE!</v>
      </c>
      <c r="HZ95" t="e">
        <f>AND('UP133'!FO57,"AAAAAHc/r+k=")</f>
        <v>#VALUE!</v>
      </c>
      <c r="IA95" t="e">
        <f>AND('UP133'!FP57,"AAAAAHc/r+o=")</f>
        <v>#VALUE!</v>
      </c>
      <c r="IB95" t="e">
        <f>AND('UP133'!FQ57,"AAAAAHc/r+s=")</f>
        <v>#VALUE!</v>
      </c>
      <c r="IC95" t="e">
        <f>AND('UP133'!FR57,"AAAAAHc/r+w=")</f>
        <v>#VALUE!</v>
      </c>
      <c r="ID95" t="e">
        <f>AND('UP133'!FS57,"AAAAAHc/r+0=")</f>
        <v>#VALUE!</v>
      </c>
      <c r="IE95" t="e">
        <f>AND('UP133'!FT57,"AAAAAHc/r+4=")</f>
        <v>#VALUE!</v>
      </c>
      <c r="IF95" t="e">
        <f>AND('UP133'!FU57,"AAAAAHc/r+8=")</f>
        <v>#VALUE!</v>
      </c>
      <c r="IG95" t="e">
        <f>AND('UP133'!FV57,"AAAAAHc/r/A=")</f>
        <v>#VALUE!</v>
      </c>
      <c r="IH95" t="e">
        <f>AND('UP133'!FW57,"AAAAAHc/r/E=")</f>
        <v>#VALUE!</v>
      </c>
      <c r="II95" t="e">
        <f>AND('UP133'!FX57,"AAAAAHc/r/I=")</f>
        <v>#VALUE!</v>
      </c>
      <c r="IJ95" t="e">
        <f>AND('UP133'!FY57,"AAAAAHc/r/M=")</f>
        <v>#VALUE!</v>
      </c>
      <c r="IK95" t="e">
        <f>AND('UP133'!FZ57,"AAAAAHc/r/Q=")</f>
        <v>#VALUE!</v>
      </c>
      <c r="IL95" t="e">
        <f>AND('UP133'!GA57,"AAAAAHc/r/U=")</f>
        <v>#VALUE!</v>
      </c>
      <c r="IM95" t="e">
        <f>AND('UP133'!GB57,"AAAAAHc/r/Y=")</f>
        <v>#VALUE!</v>
      </c>
      <c r="IN95" t="e">
        <f>AND('UP133'!GC57,"AAAAAHc/r/c=")</f>
        <v>#VALUE!</v>
      </c>
      <c r="IO95" t="e">
        <f>AND('UP133'!GD57,"AAAAAHc/r/g=")</f>
        <v>#VALUE!</v>
      </c>
      <c r="IP95" t="e">
        <f>AND('UP133'!GE57,"AAAAAHc/r/k=")</f>
        <v>#VALUE!</v>
      </c>
      <c r="IQ95" t="e">
        <f>AND('UP133'!GF57,"AAAAAHc/r/o=")</f>
        <v>#VALUE!</v>
      </c>
      <c r="IR95" t="e">
        <f>AND('UP133'!GG57,"AAAAAHc/r/s=")</f>
        <v>#VALUE!</v>
      </c>
      <c r="IS95" t="e">
        <f>AND('UP133'!GH57,"AAAAAHc/r/w=")</f>
        <v>#VALUE!</v>
      </c>
      <c r="IT95" t="e">
        <f>AND('UP133'!GI57,"AAAAAHc/r/0=")</f>
        <v>#VALUE!</v>
      </c>
      <c r="IU95" t="e">
        <f>AND('UP133'!GJ57,"AAAAAHc/r/4=")</f>
        <v>#VALUE!</v>
      </c>
      <c r="IV95" t="e">
        <f>AND('UP133'!GK57,"AAAAAHc/r/8=")</f>
        <v>#VALUE!</v>
      </c>
    </row>
    <row r="96" spans="1:256">
      <c r="A96" t="e">
        <f>AND('UP133'!GL57,"AAAAAHP76gA=")</f>
        <v>#VALUE!</v>
      </c>
      <c r="B96" t="e">
        <f>AND('UP133'!GM57,"AAAAAHP76gE=")</f>
        <v>#VALUE!</v>
      </c>
      <c r="C96" t="e">
        <f>AND('UP133'!GN57,"AAAAAHP76gI=")</f>
        <v>#VALUE!</v>
      </c>
      <c r="D96" t="e">
        <f>AND('UP133'!GO57,"AAAAAHP76gM=")</f>
        <v>#VALUE!</v>
      </c>
      <c r="E96" t="e">
        <f>AND('UP133'!GP57,"AAAAAHP76gQ=")</f>
        <v>#VALUE!</v>
      </c>
      <c r="F96" t="e">
        <f>AND('UP133'!GQ57,"AAAAAHP76gU=")</f>
        <v>#VALUE!</v>
      </c>
      <c r="G96" t="e">
        <f>AND('UP133'!GR57,"AAAAAHP76gY=")</f>
        <v>#VALUE!</v>
      </c>
      <c r="H96" t="e">
        <f>AND('UP133'!GS57,"AAAAAHP76gc=")</f>
        <v>#VALUE!</v>
      </c>
      <c r="I96" t="e">
        <f>AND('UP133'!GT57,"AAAAAHP76gg=")</f>
        <v>#VALUE!</v>
      </c>
      <c r="J96" t="e">
        <f>AND('UP133'!GU57,"AAAAAHP76gk=")</f>
        <v>#VALUE!</v>
      </c>
      <c r="K96" t="e">
        <f>AND('UP133'!GV57,"AAAAAHP76go=")</f>
        <v>#VALUE!</v>
      </c>
      <c r="L96" t="e">
        <f>AND('UP133'!GW57,"AAAAAHP76gs=")</f>
        <v>#VALUE!</v>
      </c>
      <c r="M96" t="e">
        <f>AND('UP133'!GX57,"AAAAAHP76gw=")</f>
        <v>#VALUE!</v>
      </c>
      <c r="N96" t="e">
        <f>AND('UP133'!GY57,"AAAAAHP76g0=")</f>
        <v>#VALUE!</v>
      </c>
      <c r="O96" t="e">
        <f>AND('UP133'!GZ57,"AAAAAHP76g4=")</f>
        <v>#VALUE!</v>
      </c>
      <c r="P96" t="e">
        <f>AND('UP133'!HA57,"AAAAAHP76g8=")</f>
        <v>#VALUE!</v>
      </c>
      <c r="Q96" t="e">
        <f>AND('UP133'!HB57,"AAAAAHP76hA=")</f>
        <v>#VALUE!</v>
      </c>
      <c r="R96" t="e">
        <f>AND('UP133'!HC57,"AAAAAHP76hE=")</f>
        <v>#VALUE!</v>
      </c>
      <c r="S96" t="e">
        <f>AND('UP133'!HD57,"AAAAAHP76hI=")</f>
        <v>#VALUE!</v>
      </c>
      <c r="T96" t="e">
        <f>AND('UP133'!HE57,"AAAAAHP76hM=")</f>
        <v>#VALUE!</v>
      </c>
      <c r="U96" t="e">
        <f>AND('UP133'!HF57,"AAAAAHP76hQ=")</f>
        <v>#VALUE!</v>
      </c>
      <c r="V96" t="e">
        <f>AND('UP133'!HG57,"AAAAAHP76hU=")</f>
        <v>#VALUE!</v>
      </c>
      <c r="W96" t="e">
        <f>AND('UP133'!HH57,"AAAAAHP76hY=")</f>
        <v>#VALUE!</v>
      </c>
      <c r="X96" t="e">
        <f>AND('UP133'!HI57,"AAAAAHP76hc=")</f>
        <v>#VALUE!</v>
      </c>
      <c r="Y96" t="e">
        <f>AND('UP133'!HJ57,"AAAAAHP76hg=")</f>
        <v>#VALUE!</v>
      </c>
      <c r="Z96" t="e">
        <f>AND('UP133'!HK57,"AAAAAHP76hk=")</f>
        <v>#VALUE!</v>
      </c>
      <c r="AA96" t="e">
        <f>AND('UP133'!HL57,"AAAAAHP76ho=")</f>
        <v>#VALUE!</v>
      </c>
      <c r="AB96" t="e">
        <f>AND('UP133'!HM57,"AAAAAHP76hs=")</f>
        <v>#VALUE!</v>
      </c>
      <c r="AC96" t="e">
        <f>AND('UP133'!HN57,"AAAAAHP76hw=")</f>
        <v>#VALUE!</v>
      </c>
      <c r="AD96" t="e">
        <f>AND('UP133'!HO57,"AAAAAHP76h0=")</f>
        <v>#VALUE!</v>
      </c>
      <c r="AE96" t="e">
        <f>AND('UP133'!HP57,"AAAAAHP76h4=")</f>
        <v>#VALUE!</v>
      </c>
      <c r="AF96" t="e">
        <f>AND('UP133'!HQ57,"AAAAAHP76h8=")</f>
        <v>#VALUE!</v>
      </c>
      <c r="AG96" t="e">
        <f>AND('UP133'!HR57,"AAAAAHP76iA=")</f>
        <v>#VALUE!</v>
      </c>
      <c r="AH96" t="e">
        <f>AND('UP133'!HS57,"AAAAAHP76iE=")</f>
        <v>#VALUE!</v>
      </c>
      <c r="AI96" t="e">
        <f>AND('UP133'!HT57,"AAAAAHP76iI=")</f>
        <v>#VALUE!</v>
      </c>
      <c r="AJ96" t="e">
        <f>AND('UP133'!HU57,"AAAAAHP76iM=")</f>
        <v>#VALUE!</v>
      </c>
      <c r="AK96" t="e">
        <f>AND('UP133'!HV57,"AAAAAHP76iQ=")</f>
        <v>#VALUE!</v>
      </c>
      <c r="AL96" t="e">
        <f>AND('UP133'!HW57,"AAAAAHP76iU=")</f>
        <v>#VALUE!</v>
      </c>
      <c r="AM96" t="e">
        <f>AND('UP133'!HX57,"AAAAAHP76iY=")</f>
        <v>#VALUE!</v>
      </c>
      <c r="AN96" t="e">
        <f>AND('UP133'!HY57,"AAAAAHP76ic=")</f>
        <v>#VALUE!</v>
      </c>
      <c r="AO96" t="e">
        <f>AND('UP133'!HZ57,"AAAAAHP76ig=")</f>
        <v>#VALUE!</v>
      </c>
      <c r="AP96" t="e">
        <f>AND('UP133'!IA57,"AAAAAHP76ik=")</f>
        <v>#VALUE!</v>
      </c>
      <c r="AQ96" t="e">
        <f>AND('UP133'!IB57,"AAAAAHP76io=")</f>
        <v>#VALUE!</v>
      </c>
      <c r="AR96" t="e">
        <f>AND('UP133'!IC57,"AAAAAHP76is=")</f>
        <v>#VALUE!</v>
      </c>
      <c r="AS96" t="e">
        <f>AND('UP133'!ID57,"AAAAAHP76iw=")</f>
        <v>#VALUE!</v>
      </c>
      <c r="AT96" t="e">
        <f>AND('UP133'!IE57,"AAAAAHP76i0=")</f>
        <v>#VALUE!</v>
      </c>
      <c r="AU96" t="e">
        <f>AND('UP133'!IF57,"AAAAAHP76i4=")</f>
        <v>#VALUE!</v>
      </c>
      <c r="AV96" t="e">
        <f>AND('UP133'!IG57,"AAAAAHP76i8=")</f>
        <v>#VALUE!</v>
      </c>
      <c r="AW96" t="e">
        <f>AND('UP133'!IH57,"AAAAAHP76jA=")</f>
        <v>#VALUE!</v>
      </c>
      <c r="AX96" t="e">
        <f>AND('UP133'!II57,"AAAAAHP76jE=")</f>
        <v>#VALUE!</v>
      </c>
      <c r="AY96" t="e">
        <f>AND('UP133'!IJ57,"AAAAAHP76jI=")</f>
        <v>#VALUE!</v>
      </c>
      <c r="AZ96" t="e">
        <f>AND('UP133'!IK57,"AAAAAHP76jM=")</f>
        <v>#VALUE!</v>
      </c>
      <c r="BA96" t="e">
        <f>AND('UP133'!IL57,"AAAAAHP76jQ=")</f>
        <v>#VALUE!</v>
      </c>
      <c r="BB96" t="e">
        <f>AND('UP133'!IM57,"AAAAAHP76jU=")</f>
        <v>#VALUE!</v>
      </c>
      <c r="BC96" t="e">
        <f>AND('UP133'!IN57,"AAAAAHP76jY=")</f>
        <v>#VALUE!</v>
      </c>
      <c r="BD96" t="e">
        <f>AND('UP133'!IO57,"AAAAAHP76jc=")</f>
        <v>#VALUE!</v>
      </c>
      <c r="BE96" t="e">
        <f>AND('UP133'!IP57,"AAAAAHP76jg=")</f>
        <v>#VALUE!</v>
      </c>
      <c r="BF96" t="e">
        <f>AND('UP133'!IQ57,"AAAAAHP76jk=")</f>
        <v>#VALUE!</v>
      </c>
      <c r="BG96">
        <f>IF('UP133'!58:58,"AAAAAHP76jo=",0)</f>
        <v>0</v>
      </c>
      <c r="BH96" t="e">
        <f>AND('UP133'!A58,"AAAAAHP76js=")</f>
        <v>#VALUE!</v>
      </c>
      <c r="BI96" t="e">
        <f>AND('UP133'!B58,"AAAAAHP76jw=")</f>
        <v>#VALUE!</v>
      </c>
      <c r="BJ96" t="e">
        <f>AND('UP133'!C58,"AAAAAHP76j0=")</f>
        <v>#VALUE!</v>
      </c>
      <c r="BK96" t="e">
        <f>AND('UP133'!D58,"AAAAAHP76j4=")</f>
        <v>#VALUE!</v>
      </c>
      <c r="BL96" t="e">
        <f>AND('UP133'!E58,"AAAAAHP76j8=")</f>
        <v>#VALUE!</v>
      </c>
      <c r="BM96" t="e">
        <f>AND('UP133'!F58,"AAAAAHP76kA=")</f>
        <v>#VALUE!</v>
      </c>
      <c r="BN96" t="e">
        <f>AND('UP133'!G58,"AAAAAHP76kE=")</f>
        <v>#VALUE!</v>
      </c>
      <c r="BO96" t="e">
        <f>AND('UP133'!H58,"AAAAAHP76kI=")</f>
        <v>#VALUE!</v>
      </c>
      <c r="BP96" t="e">
        <f>AND('UP133'!I58,"AAAAAHP76kM=")</f>
        <v>#VALUE!</v>
      </c>
      <c r="BQ96" t="e">
        <f>AND('UP133'!J58,"AAAAAHP76kQ=")</f>
        <v>#VALUE!</v>
      </c>
      <c r="BR96" t="e">
        <f>AND('UP133'!K58,"AAAAAHP76kU=")</f>
        <v>#VALUE!</v>
      </c>
      <c r="BS96" t="e">
        <f>AND('UP133'!L58,"AAAAAHP76kY=")</f>
        <v>#VALUE!</v>
      </c>
      <c r="BT96" t="e">
        <f>AND('UP133'!M58,"AAAAAHP76kc=")</f>
        <v>#VALUE!</v>
      </c>
      <c r="BU96" t="e">
        <f>AND('UP133'!N58,"AAAAAHP76kg=")</f>
        <v>#VALUE!</v>
      </c>
      <c r="BV96" t="e">
        <f>AND('UP133'!O58,"AAAAAHP76kk=")</f>
        <v>#VALUE!</v>
      </c>
      <c r="BW96" t="e">
        <f>AND('UP133'!P58,"AAAAAHP76ko=")</f>
        <v>#VALUE!</v>
      </c>
      <c r="BX96" t="e">
        <f>AND('UP133'!Q58,"AAAAAHP76ks=")</f>
        <v>#VALUE!</v>
      </c>
      <c r="BY96" t="e">
        <f>AND('UP133'!R58,"AAAAAHP76kw=")</f>
        <v>#VALUE!</v>
      </c>
      <c r="BZ96" t="e">
        <f>AND('UP133'!S58,"AAAAAHP76k0=")</f>
        <v>#VALUE!</v>
      </c>
      <c r="CA96" t="e">
        <f>AND('UP133'!T58,"AAAAAHP76k4=")</f>
        <v>#VALUE!</v>
      </c>
      <c r="CB96" t="e">
        <f>AND('UP133'!U58,"AAAAAHP76k8=")</f>
        <v>#VALUE!</v>
      </c>
      <c r="CC96" t="e">
        <f>AND('UP133'!V58,"AAAAAHP76lA=")</f>
        <v>#VALUE!</v>
      </c>
      <c r="CD96" t="e">
        <f>AND('UP133'!W58,"AAAAAHP76lE=")</f>
        <v>#VALUE!</v>
      </c>
      <c r="CE96" t="e">
        <f>AND('UP133'!X58,"AAAAAHP76lI=")</f>
        <v>#VALUE!</v>
      </c>
      <c r="CF96" t="e">
        <f>AND('UP133'!Y58,"AAAAAHP76lM=")</f>
        <v>#VALUE!</v>
      </c>
      <c r="CG96" t="e">
        <f>AND('UP133'!Z58,"AAAAAHP76lQ=")</f>
        <v>#VALUE!</v>
      </c>
      <c r="CH96" t="e">
        <f>AND('UP133'!AA58,"AAAAAHP76lU=")</f>
        <v>#VALUE!</v>
      </c>
      <c r="CI96" t="e">
        <f>AND('UP133'!AB58,"AAAAAHP76lY=")</f>
        <v>#VALUE!</v>
      </c>
      <c r="CJ96" t="e">
        <f>AND('UP133'!AC58,"AAAAAHP76lc=")</f>
        <v>#VALUE!</v>
      </c>
      <c r="CK96" t="e">
        <f>AND('UP133'!AD58,"AAAAAHP76lg=")</f>
        <v>#VALUE!</v>
      </c>
      <c r="CL96" t="e">
        <f>AND('UP133'!AE58,"AAAAAHP76lk=")</f>
        <v>#VALUE!</v>
      </c>
      <c r="CM96" t="e">
        <f>AND('UP133'!AF58,"AAAAAHP76lo=")</f>
        <v>#VALUE!</v>
      </c>
      <c r="CN96" t="e">
        <f>AND('UP133'!AG58,"AAAAAHP76ls=")</f>
        <v>#VALUE!</v>
      </c>
      <c r="CO96" t="e">
        <f>AND('UP133'!AH58,"AAAAAHP76lw=")</f>
        <v>#VALUE!</v>
      </c>
      <c r="CP96" t="e">
        <f>AND('UP133'!AI58,"AAAAAHP76l0=")</f>
        <v>#VALUE!</v>
      </c>
      <c r="CQ96" t="e">
        <f>AND('UP133'!AJ58,"AAAAAHP76l4=")</f>
        <v>#VALUE!</v>
      </c>
      <c r="CR96" t="e">
        <f>AND('UP133'!AK58,"AAAAAHP76l8=")</f>
        <v>#VALUE!</v>
      </c>
      <c r="CS96" t="e">
        <f>AND('UP133'!AL58,"AAAAAHP76mA=")</f>
        <v>#VALUE!</v>
      </c>
      <c r="CT96" t="e">
        <f>AND('UP133'!AM58,"AAAAAHP76mE=")</f>
        <v>#VALUE!</v>
      </c>
      <c r="CU96" t="e">
        <f>AND('UP133'!AN58,"AAAAAHP76mI=")</f>
        <v>#VALUE!</v>
      </c>
      <c r="CV96" t="e">
        <f>AND('UP133'!AO58,"AAAAAHP76mM=")</f>
        <v>#VALUE!</v>
      </c>
      <c r="CW96" t="e">
        <f>AND('UP133'!AP58,"AAAAAHP76mQ=")</f>
        <v>#VALUE!</v>
      </c>
      <c r="CX96" t="e">
        <f>AND('UP133'!AQ58,"AAAAAHP76mU=")</f>
        <v>#VALUE!</v>
      </c>
      <c r="CY96" t="e">
        <f>AND('UP133'!AR58,"AAAAAHP76mY=")</f>
        <v>#VALUE!</v>
      </c>
      <c r="CZ96" t="e">
        <f>AND('UP133'!AS58,"AAAAAHP76mc=")</f>
        <v>#VALUE!</v>
      </c>
      <c r="DA96" t="e">
        <f>AND('UP133'!AT58,"AAAAAHP76mg=")</f>
        <v>#VALUE!</v>
      </c>
      <c r="DB96" t="e">
        <f>AND('UP133'!AU58,"AAAAAHP76mk=")</f>
        <v>#VALUE!</v>
      </c>
      <c r="DC96" t="e">
        <f>AND('UP133'!AV58,"AAAAAHP76mo=")</f>
        <v>#VALUE!</v>
      </c>
      <c r="DD96" t="e">
        <f>AND('UP133'!AW58,"AAAAAHP76ms=")</f>
        <v>#VALUE!</v>
      </c>
      <c r="DE96" t="e">
        <f>AND('UP133'!AX58,"AAAAAHP76mw=")</f>
        <v>#VALUE!</v>
      </c>
      <c r="DF96" t="e">
        <f>AND('UP133'!AY58,"AAAAAHP76m0=")</f>
        <v>#VALUE!</v>
      </c>
      <c r="DG96" t="e">
        <f>AND('UP133'!AZ58,"AAAAAHP76m4=")</f>
        <v>#VALUE!</v>
      </c>
      <c r="DH96" t="e">
        <f>AND('UP133'!BA58,"AAAAAHP76m8=")</f>
        <v>#VALUE!</v>
      </c>
      <c r="DI96" t="e">
        <f>AND('UP133'!BB58,"AAAAAHP76nA=")</f>
        <v>#VALUE!</v>
      </c>
      <c r="DJ96" t="e">
        <f>AND('UP133'!BC58,"AAAAAHP76nE=")</f>
        <v>#VALUE!</v>
      </c>
      <c r="DK96" t="e">
        <f>AND('UP133'!BD58,"AAAAAHP76nI=")</f>
        <v>#VALUE!</v>
      </c>
      <c r="DL96" t="e">
        <f>AND('UP133'!BE58,"AAAAAHP76nM=")</f>
        <v>#VALUE!</v>
      </c>
      <c r="DM96" t="e">
        <f>AND('UP133'!BF58,"AAAAAHP76nQ=")</f>
        <v>#VALUE!</v>
      </c>
      <c r="DN96" t="e">
        <f>AND('UP133'!BG58,"AAAAAHP76nU=")</f>
        <v>#VALUE!</v>
      </c>
      <c r="DO96" t="e">
        <f>AND('UP133'!BH58,"AAAAAHP76nY=")</f>
        <v>#VALUE!</v>
      </c>
      <c r="DP96" t="e">
        <f>AND('UP133'!BI58,"AAAAAHP76nc=")</f>
        <v>#VALUE!</v>
      </c>
      <c r="DQ96" t="e">
        <f>AND('UP133'!BJ58,"AAAAAHP76ng=")</f>
        <v>#VALUE!</v>
      </c>
      <c r="DR96" t="e">
        <f>AND('UP133'!BK58,"AAAAAHP76nk=")</f>
        <v>#VALUE!</v>
      </c>
      <c r="DS96" t="e">
        <f>AND('UP133'!BL58,"AAAAAHP76no=")</f>
        <v>#VALUE!</v>
      </c>
      <c r="DT96" t="e">
        <f>AND('UP133'!BM58,"AAAAAHP76ns=")</f>
        <v>#VALUE!</v>
      </c>
      <c r="DU96" t="e">
        <f>AND('UP133'!BN58,"AAAAAHP76nw=")</f>
        <v>#VALUE!</v>
      </c>
      <c r="DV96" t="e">
        <f>AND('UP133'!BO58,"AAAAAHP76n0=")</f>
        <v>#VALUE!</v>
      </c>
      <c r="DW96" t="e">
        <f>AND('UP133'!BP58,"AAAAAHP76n4=")</f>
        <v>#VALUE!</v>
      </c>
      <c r="DX96" t="e">
        <f>AND('UP133'!BQ58,"AAAAAHP76n8=")</f>
        <v>#VALUE!</v>
      </c>
      <c r="DY96" t="e">
        <f>AND('UP133'!BR58,"AAAAAHP76oA=")</f>
        <v>#VALUE!</v>
      </c>
      <c r="DZ96" t="e">
        <f>AND('UP133'!BS58,"AAAAAHP76oE=")</f>
        <v>#VALUE!</v>
      </c>
      <c r="EA96" t="e">
        <f>AND('UP133'!BT58,"AAAAAHP76oI=")</f>
        <v>#VALUE!</v>
      </c>
      <c r="EB96" t="e">
        <f>AND('UP133'!BU58,"AAAAAHP76oM=")</f>
        <v>#VALUE!</v>
      </c>
      <c r="EC96" t="e">
        <f>AND('UP133'!BV58,"AAAAAHP76oQ=")</f>
        <v>#VALUE!</v>
      </c>
      <c r="ED96" t="e">
        <f>AND('UP133'!BW58,"AAAAAHP76oU=")</f>
        <v>#VALUE!</v>
      </c>
      <c r="EE96" t="e">
        <f>AND('UP133'!BX58,"AAAAAHP76oY=")</f>
        <v>#VALUE!</v>
      </c>
      <c r="EF96" t="e">
        <f>AND('UP133'!BY58,"AAAAAHP76oc=")</f>
        <v>#VALUE!</v>
      </c>
      <c r="EG96" t="e">
        <f>AND('UP133'!BZ58,"AAAAAHP76og=")</f>
        <v>#VALUE!</v>
      </c>
      <c r="EH96" t="e">
        <f>AND('UP133'!CA58,"AAAAAHP76ok=")</f>
        <v>#VALUE!</v>
      </c>
      <c r="EI96" t="e">
        <f>AND('UP133'!CB58,"AAAAAHP76oo=")</f>
        <v>#VALUE!</v>
      </c>
      <c r="EJ96" t="e">
        <f>AND('UP133'!CC58,"AAAAAHP76os=")</f>
        <v>#VALUE!</v>
      </c>
      <c r="EK96" t="e">
        <f>AND('UP133'!CD58,"AAAAAHP76ow=")</f>
        <v>#VALUE!</v>
      </c>
      <c r="EL96" t="e">
        <f>AND('UP133'!CE58,"AAAAAHP76o0=")</f>
        <v>#VALUE!</v>
      </c>
      <c r="EM96" t="e">
        <f>AND('UP133'!CF58,"AAAAAHP76o4=")</f>
        <v>#VALUE!</v>
      </c>
      <c r="EN96" t="e">
        <f>AND('UP133'!CG58,"AAAAAHP76o8=")</f>
        <v>#VALUE!</v>
      </c>
      <c r="EO96" t="e">
        <f>AND('UP133'!CH58,"AAAAAHP76pA=")</f>
        <v>#VALUE!</v>
      </c>
      <c r="EP96" t="e">
        <f>AND('UP133'!CI58,"AAAAAHP76pE=")</f>
        <v>#VALUE!</v>
      </c>
      <c r="EQ96" t="e">
        <f>AND('UP133'!CJ58,"AAAAAHP76pI=")</f>
        <v>#VALUE!</v>
      </c>
      <c r="ER96" t="e">
        <f>AND('UP133'!CK58,"AAAAAHP76pM=")</f>
        <v>#VALUE!</v>
      </c>
      <c r="ES96" t="e">
        <f>AND('UP133'!CL58,"AAAAAHP76pQ=")</f>
        <v>#VALUE!</v>
      </c>
      <c r="ET96" t="e">
        <f>AND('UP133'!CM58,"AAAAAHP76pU=")</f>
        <v>#VALUE!</v>
      </c>
      <c r="EU96" t="e">
        <f>AND('UP133'!CN58,"AAAAAHP76pY=")</f>
        <v>#VALUE!</v>
      </c>
      <c r="EV96" t="e">
        <f>AND('UP133'!CO58,"AAAAAHP76pc=")</f>
        <v>#VALUE!</v>
      </c>
      <c r="EW96" t="e">
        <f>AND('UP133'!CP58,"AAAAAHP76pg=")</f>
        <v>#VALUE!</v>
      </c>
      <c r="EX96" t="e">
        <f>AND('UP133'!CQ58,"AAAAAHP76pk=")</f>
        <v>#VALUE!</v>
      </c>
      <c r="EY96" t="e">
        <f>AND('UP133'!CR58,"AAAAAHP76po=")</f>
        <v>#VALUE!</v>
      </c>
      <c r="EZ96" t="e">
        <f>AND('UP133'!CS58,"AAAAAHP76ps=")</f>
        <v>#VALUE!</v>
      </c>
      <c r="FA96" t="e">
        <f>AND('UP133'!CT58,"AAAAAHP76pw=")</f>
        <v>#VALUE!</v>
      </c>
      <c r="FB96" t="e">
        <f>AND('UP133'!CU58,"AAAAAHP76p0=")</f>
        <v>#VALUE!</v>
      </c>
      <c r="FC96" t="e">
        <f>AND('UP133'!CV58,"AAAAAHP76p4=")</f>
        <v>#VALUE!</v>
      </c>
      <c r="FD96" t="e">
        <f>AND('UP133'!CW58,"AAAAAHP76p8=")</f>
        <v>#VALUE!</v>
      </c>
      <c r="FE96" t="e">
        <f>AND('UP133'!CX58,"AAAAAHP76qA=")</f>
        <v>#VALUE!</v>
      </c>
      <c r="FF96" t="e">
        <f>AND('UP133'!CY58,"AAAAAHP76qE=")</f>
        <v>#VALUE!</v>
      </c>
      <c r="FG96" t="e">
        <f>AND('UP133'!CZ58,"AAAAAHP76qI=")</f>
        <v>#VALUE!</v>
      </c>
      <c r="FH96" t="e">
        <f>AND('UP133'!DA58,"AAAAAHP76qM=")</f>
        <v>#VALUE!</v>
      </c>
      <c r="FI96" t="e">
        <f>AND('UP133'!DB58,"AAAAAHP76qQ=")</f>
        <v>#VALUE!</v>
      </c>
      <c r="FJ96" t="e">
        <f>AND('UP133'!DC58,"AAAAAHP76qU=")</f>
        <v>#VALUE!</v>
      </c>
      <c r="FK96" t="e">
        <f>AND('UP133'!DD58,"AAAAAHP76qY=")</f>
        <v>#VALUE!</v>
      </c>
      <c r="FL96" t="e">
        <f>AND('UP133'!DE58,"AAAAAHP76qc=")</f>
        <v>#VALUE!</v>
      </c>
      <c r="FM96" t="e">
        <f>AND('UP133'!DF58,"AAAAAHP76qg=")</f>
        <v>#VALUE!</v>
      </c>
      <c r="FN96" t="e">
        <f>AND('UP133'!DG58,"AAAAAHP76qk=")</f>
        <v>#VALUE!</v>
      </c>
      <c r="FO96" t="e">
        <f>AND('UP133'!DH58,"AAAAAHP76qo=")</f>
        <v>#VALUE!</v>
      </c>
      <c r="FP96" t="e">
        <f>AND('UP133'!DI58,"AAAAAHP76qs=")</f>
        <v>#VALUE!</v>
      </c>
      <c r="FQ96" t="e">
        <f>AND('UP133'!DJ58,"AAAAAHP76qw=")</f>
        <v>#VALUE!</v>
      </c>
      <c r="FR96" t="e">
        <f>AND('UP133'!DK58,"AAAAAHP76q0=")</f>
        <v>#VALUE!</v>
      </c>
      <c r="FS96" t="e">
        <f>AND('UP133'!DL58,"AAAAAHP76q4=")</f>
        <v>#VALUE!</v>
      </c>
      <c r="FT96" t="e">
        <f>AND('UP133'!DM58,"AAAAAHP76q8=")</f>
        <v>#VALUE!</v>
      </c>
      <c r="FU96" t="e">
        <f>AND('UP133'!DN58,"AAAAAHP76rA=")</f>
        <v>#VALUE!</v>
      </c>
      <c r="FV96" t="e">
        <f>AND('UP133'!DO58,"AAAAAHP76rE=")</f>
        <v>#VALUE!</v>
      </c>
      <c r="FW96" t="e">
        <f>AND('UP133'!DP58,"AAAAAHP76rI=")</f>
        <v>#VALUE!</v>
      </c>
      <c r="FX96" t="e">
        <f>AND('UP133'!DQ58,"AAAAAHP76rM=")</f>
        <v>#VALUE!</v>
      </c>
      <c r="FY96" t="e">
        <f>AND('UP133'!DR58,"AAAAAHP76rQ=")</f>
        <v>#VALUE!</v>
      </c>
      <c r="FZ96" t="e">
        <f>AND('UP133'!DS58,"AAAAAHP76rU=")</f>
        <v>#VALUE!</v>
      </c>
      <c r="GA96" t="e">
        <f>AND('UP133'!DT58,"AAAAAHP76rY=")</f>
        <v>#VALUE!</v>
      </c>
      <c r="GB96" t="e">
        <f>AND('UP133'!DU58,"AAAAAHP76rc=")</f>
        <v>#VALUE!</v>
      </c>
      <c r="GC96" t="e">
        <f>AND('UP133'!DV58,"AAAAAHP76rg=")</f>
        <v>#VALUE!</v>
      </c>
      <c r="GD96" t="e">
        <f>AND('UP133'!DW58,"AAAAAHP76rk=")</f>
        <v>#VALUE!</v>
      </c>
      <c r="GE96" t="e">
        <f>AND('UP133'!DX58,"AAAAAHP76ro=")</f>
        <v>#VALUE!</v>
      </c>
      <c r="GF96" t="e">
        <f>AND('UP133'!DY58,"AAAAAHP76rs=")</f>
        <v>#VALUE!</v>
      </c>
      <c r="GG96" t="e">
        <f>AND('UP133'!DZ58,"AAAAAHP76rw=")</f>
        <v>#VALUE!</v>
      </c>
      <c r="GH96" t="e">
        <f>AND('UP133'!EA58,"AAAAAHP76r0=")</f>
        <v>#VALUE!</v>
      </c>
      <c r="GI96" t="e">
        <f>AND('UP133'!EB58,"AAAAAHP76r4=")</f>
        <v>#VALUE!</v>
      </c>
      <c r="GJ96" t="e">
        <f>AND('UP133'!EC58,"AAAAAHP76r8=")</f>
        <v>#VALUE!</v>
      </c>
      <c r="GK96" t="e">
        <f>AND('UP133'!ED58,"AAAAAHP76sA=")</f>
        <v>#VALUE!</v>
      </c>
      <c r="GL96" t="e">
        <f>AND('UP133'!EE58,"AAAAAHP76sE=")</f>
        <v>#VALUE!</v>
      </c>
      <c r="GM96" t="e">
        <f>AND('UP133'!EF58,"AAAAAHP76sI=")</f>
        <v>#VALUE!</v>
      </c>
      <c r="GN96" t="e">
        <f>AND('UP133'!EG58,"AAAAAHP76sM=")</f>
        <v>#VALUE!</v>
      </c>
      <c r="GO96" t="e">
        <f>AND('UP133'!EH58,"AAAAAHP76sQ=")</f>
        <v>#VALUE!</v>
      </c>
      <c r="GP96" t="e">
        <f>AND('UP133'!EI58,"AAAAAHP76sU=")</f>
        <v>#VALUE!</v>
      </c>
      <c r="GQ96" t="e">
        <f>AND('UP133'!EJ58,"AAAAAHP76sY=")</f>
        <v>#VALUE!</v>
      </c>
      <c r="GR96" t="e">
        <f>AND('UP133'!EK58,"AAAAAHP76sc=")</f>
        <v>#VALUE!</v>
      </c>
      <c r="GS96" t="e">
        <f>AND('UP133'!EL58,"AAAAAHP76sg=")</f>
        <v>#VALUE!</v>
      </c>
      <c r="GT96" t="e">
        <f>AND('UP133'!EM58,"AAAAAHP76sk=")</f>
        <v>#VALUE!</v>
      </c>
      <c r="GU96" t="e">
        <f>AND('UP133'!EN58,"AAAAAHP76so=")</f>
        <v>#VALUE!</v>
      </c>
      <c r="GV96" t="e">
        <f>AND('UP133'!EO58,"AAAAAHP76ss=")</f>
        <v>#VALUE!</v>
      </c>
      <c r="GW96" t="e">
        <f>AND('UP133'!EP58,"AAAAAHP76sw=")</f>
        <v>#VALUE!</v>
      </c>
      <c r="GX96" t="e">
        <f>AND('UP133'!EQ58,"AAAAAHP76s0=")</f>
        <v>#VALUE!</v>
      </c>
      <c r="GY96" t="e">
        <f>AND('UP133'!ER58,"AAAAAHP76s4=")</f>
        <v>#VALUE!</v>
      </c>
      <c r="GZ96" t="e">
        <f>AND('UP133'!ES58,"AAAAAHP76s8=")</f>
        <v>#VALUE!</v>
      </c>
      <c r="HA96" t="e">
        <f>AND('UP133'!ET58,"AAAAAHP76tA=")</f>
        <v>#VALUE!</v>
      </c>
      <c r="HB96" t="e">
        <f>AND('UP133'!EU58,"AAAAAHP76tE=")</f>
        <v>#VALUE!</v>
      </c>
      <c r="HC96" t="e">
        <f>AND('UP133'!EV58,"AAAAAHP76tI=")</f>
        <v>#VALUE!</v>
      </c>
      <c r="HD96" t="e">
        <f>AND('UP133'!EW58,"AAAAAHP76tM=")</f>
        <v>#VALUE!</v>
      </c>
      <c r="HE96" t="e">
        <f>AND('UP133'!EX58,"AAAAAHP76tQ=")</f>
        <v>#VALUE!</v>
      </c>
      <c r="HF96" t="e">
        <f>AND('UP133'!EY58,"AAAAAHP76tU=")</f>
        <v>#VALUE!</v>
      </c>
      <c r="HG96" t="e">
        <f>AND('UP133'!EZ58,"AAAAAHP76tY=")</f>
        <v>#VALUE!</v>
      </c>
      <c r="HH96" t="e">
        <f>AND('UP133'!FA58,"AAAAAHP76tc=")</f>
        <v>#VALUE!</v>
      </c>
      <c r="HI96" t="e">
        <f>AND('UP133'!FB58,"AAAAAHP76tg=")</f>
        <v>#VALUE!</v>
      </c>
      <c r="HJ96" t="e">
        <f>AND('UP133'!FC58,"AAAAAHP76tk=")</f>
        <v>#VALUE!</v>
      </c>
      <c r="HK96" t="e">
        <f>AND('UP133'!FD58,"AAAAAHP76to=")</f>
        <v>#VALUE!</v>
      </c>
      <c r="HL96" t="e">
        <f>AND('UP133'!FE58,"AAAAAHP76ts=")</f>
        <v>#VALUE!</v>
      </c>
      <c r="HM96" t="e">
        <f>AND('UP133'!FF58,"AAAAAHP76tw=")</f>
        <v>#VALUE!</v>
      </c>
      <c r="HN96" t="e">
        <f>AND('UP133'!FG58,"AAAAAHP76t0=")</f>
        <v>#VALUE!</v>
      </c>
      <c r="HO96" t="e">
        <f>AND('UP133'!FH58,"AAAAAHP76t4=")</f>
        <v>#VALUE!</v>
      </c>
      <c r="HP96" t="e">
        <f>AND('UP133'!FI58,"AAAAAHP76t8=")</f>
        <v>#VALUE!</v>
      </c>
      <c r="HQ96" t="e">
        <f>AND('UP133'!FJ58,"AAAAAHP76uA=")</f>
        <v>#VALUE!</v>
      </c>
      <c r="HR96" t="e">
        <f>AND('UP133'!FK58,"AAAAAHP76uE=")</f>
        <v>#VALUE!</v>
      </c>
      <c r="HS96" t="e">
        <f>AND('UP133'!FL58,"AAAAAHP76uI=")</f>
        <v>#VALUE!</v>
      </c>
      <c r="HT96" t="e">
        <f>AND('UP133'!FM58,"AAAAAHP76uM=")</f>
        <v>#VALUE!</v>
      </c>
      <c r="HU96" t="e">
        <f>AND('UP133'!FN58,"AAAAAHP76uQ=")</f>
        <v>#VALUE!</v>
      </c>
      <c r="HV96" t="e">
        <f>AND('UP133'!FO58,"AAAAAHP76uU=")</f>
        <v>#VALUE!</v>
      </c>
      <c r="HW96" t="e">
        <f>AND('UP133'!FP58,"AAAAAHP76uY=")</f>
        <v>#VALUE!</v>
      </c>
      <c r="HX96" t="e">
        <f>AND('UP133'!FQ58,"AAAAAHP76uc=")</f>
        <v>#VALUE!</v>
      </c>
      <c r="HY96" t="e">
        <f>AND('UP133'!FR58,"AAAAAHP76ug=")</f>
        <v>#VALUE!</v>
      </c>
      <c r="HZ96" t="e">
        <f>AND('UP133'!FS58,"AAAAAHP76uk=")</f>
        <v>#VALUE!</v>
      </c>
      <c r="IA96" t="e">
        <f>AND('UP133'!FT58,"AAAAAHP76uo=")</f>
        <v>#VALUE!</v>
      </c>
      <c r="IB96" t="e">
        <f>AND('UP133'!FU58,"AAAAAHP76us=")</f>
        <v>#VALUE!</v>
      </c>
      <c r="IC96" t="e">
        <f>AND('UP133'!FV58,"AAAAAHP76uw=")</f>
        <v>#VALUE!</v>
      </c>
      <c r="ID96" t="e">
        <f>AND('UP133'!FW58,"AAAAAHP76u0=")</f>
        <v>#VALUE!</v>
      </c>
      <c r="IE96" t="e">
        <f>AND('UP133'!FX58,"AAAAAHP76u4=")</f>
        <v>#VALUE!</v>
      </c>
      <c r="IF96" t="e">
        <f>AND('UP133'!FY58,"AAAAAHP76u8=")</f>
        <v>#VALUE!</v>
      </c>
      <c r="IG96" t="e">
        <f>AND('UP133'!FZ58,"AAAAAHP76vA=")</f>
        <v>#VALUE!</v>
      </c>
      <c r="IH96" t="e">
        <f>AND('UP133'!GA58,"AAAAAHP76vE=")</f>
        <v>#VALUE!</v>
      </c>
      <c r="II96" t="e">
        <f>AND('UP133'!GB58,"AAAAAHP76vI=")</f>
        <v>#VALUE!</v>
      </c>
      <c r="IJ96" t="e">
        <f>AND('UP133'!GC58,"AAAAAHP76vM=")</f>
        <v>#VALUE!</v>
      </c>
      <c r="IK96" t="e">
        <f>AND('UP133'!GD58,"AAAAAHP76vQ=")</f>
        <v>#VALUE!</v>
      </c>
      <c r="IL96" t="e">
        <f>AND('UP133'!GE58,"AAAAAHP76vU=")</f>
        <v>#VALUE!</v>
      </c>
      <c r="IM96" t="e">
        <f>AND('UP133'!GF58,"AAAAAHP76vY=")</f>
        <v>#VALUE!</v>
      </c>
      <c r="IN96" t="e">
        <f>AND('UP133'!GG58,"AAAAAHP76vc=")</f>
        <v>#VALUE!</v>
      </c>
      <c r="IO96" t="e">
        <f>AND('UP133'!GH58,"AAAAAHP76vg=")</f>
        <v>#VALUE!</v>
      </c>
      <c r="IP96" t="e">
        <f>AND('UP133'!GI58,"AAAAAHP76vk=")</f>
        <v>#VALUE!</v>
      </c>
      <c r="IQ96" t="e">
        <f>AND('UP133'!GJ58,"AAAAAHP76vo=")</f>
        <v>#VALUE!</v>
      </c>
      <c r="IR96" t="e">
        <f>AND('UP133'!GK58,"AAAAAHP76vs=")</f>
        <v>#VALUE!</v>
      </c>
      <c r="IS96" t="e">
        <f>AND('UP133'!GL58,"AAAAAHP76vw=")</f>
        <v>#VALUE!</v>
      </c>
      <c r="IT96" t="e">
        <f>AND('UP133'!GM58,"AAAAAHP76v0=")</f>
        <v>#VALUE!</v>
      </c>
      <c r="IU96" t="e">
        <f>AND('UP133'!GN58,"AAAAAHP76v4=")</f>
        <v>#VALUE!</v>
      </c>
      <c r="IV96" t="e">
        <f>AND('UP133'!GO58,"AAAAAHP76v8=")</f>
        <v>#VALUE!</v>
      </c>
    </row>
    <row r="97" spans="1:256">
      <c r="A97" t="e">
        <f>AND('UP133'!GP58,"AAAAAHbvMwA=")</f>
        <v>#VALUE!</v>
      </c>
      <c r="B97" t="e">
        <f>AND('UP133'!GQ58,"AAAAAHbvMwE=")</f>
        <v>#VALUE!</v>
      </c>
      <c r="C97" t="e">
        <f>AND('UP133'!GR58,"AAAAAHbvMwI=")</f>
        <v>#VALUE!</v>
      </c>
      <c r="D97" t="e">
        <f>AND('UP133'!GS58,"AAAAAHbvMwM=")</f>
        <v>#VALUE!</v>
      </c>
      <c r="E97" t="e">
        <f>AND('UP133'!GT58,"AAAAAHbvMwQ=")</f>
        <v>#VALUE!</v>
      </c>
      <c r="F97" t="e">
        <f>AND('UP133'!GU58,"AAAAAHbvMwU=")</f>
        <v>#VALUE!</v>
      </c>
      <c r="G97" t="e">
        <f>AND('UP133'!GV58,"AAAAAHbvMwY=")</f>
        <v>#VALUE!</v>
      </c>
      <c r="H97" t="e">
        <f>AND('UP133'!GW58,"AAAAAHbvMwc=")</f>
        <v>#VALUE!</v>
      </c>
      <c r="I97" t="e">
        <f>AND('UP133'!GX58,"AAAAAHbvMwg=")</f>
        <v>#VALUE!</v>
      </c>
      <c r="J97" t="e">
        <f>AND('UP133'!GY58,"AAAAAHbvMwk=")</f>
        <v>#VALUE!</v>
      </c>
      <c r="K97" t="e">
        <f>AND('UP133'!GZ58,"AAAAAHbvMwo=")</f>
        <v>#VALUE!</v>
      </c>
      <c r="L97" t="e">
        <f>AND('UP133'!HA58,"AAAAAHbvMws=")</f>
        <v>#VALUE!</v>
      </c>
      <c r="M97" t="e">
        <f>AND('UP133'!HB58,"AAAAAHbvMww=")</f>
        <v>#VALUE!</v>
      </c>
      <c r="N97" t="e">
        <f>AND('UP133'!HC58,"AAAAAHbvMw0=")</f>
        <v>#VALUE!</v>
      </c>
      <c r="O97" t="e">
        <f>AND('UP133'!HD58,"AAAAAHbvMw4=")</f>
        <v>#VALUE!</v>
      </c>
      <c r="P97" t="e">
        <f>AND('UP133'!HE58,"AAAAAHbvMw8=")</f>
        <v>#VALUE!</v>
      </c>
      <c r="Q97" t="e">
        <f>AND('UP133'!HF58,"AAAAAHbvMxA=")</f>
        <v>#VALUE!</v>
      </c>
      <c r="R97" t="e">
        <f>AND('UP133'!HG58,"AAAAAHbvMxE=")</f>
        <v>#VALUE!</v>
      </c>
      <c r="S97" t="e">
        <f>AND('UP133'!HH58,"AAAAAHbvMxI=")</f>
        <v>#VALUE!</v>
      </c>
      <c r="T97" t="e">
        <f>AND('UP133'!HI58,"AAAAAHbvMxM=")</f>
        <v>#VALUE!</v>
      </c>
      <c r="U97" t="e">
        <f>AND('UP133'!HJ58,"AAAAAHbvMxQ=")</f>
        <v>#VALUE!</v>
      </c>
      <c r="V97" t="e">
        <f>AND('UP133'!HK58,"AAAAAHbvMxU=")</f>
        <v>#VALUE!</v>
      </c>
      <c r="W97" t="e">
        <f>AND('UP133'!HL58,"AAAAAHbvMxY=")</f>
        <v>#VALUE!</v>
      </c>
      <c r="X97" t="e">
        <f>AND('UP133'!HM58,"AAAAAHbvMxc=")</f>
        <v>#VALUE!</v>
      </c>
      <c r="Y97" t="e">
        <f>AND('UP133'!HN58,"AAAAAHbvMxg=")</f>
        <v>#VALUE!</v>
      </c>
      <c r="Z97" t="e">
        <f>AND('UP133'!HO58,"AAAAAHbvMxk=")</f>
        <v>#VALUE!</v>
      </c>
      <c r="AA97" t="e">
        <f>AND('UP133'!HP58,"AAAAAHbvMxo=")</f>
        <v>#VALUE!</v>
      </c>
      <c r="AB97" t="e">
        <f>AND('UP133'!HQ58,"AAAAAHbvMxs=")</f>
        <v>#VALUE!</v>
      </c>
      <c r="AC97" t="e">
        <f>AND('UP133'!HR58,"AAAAAHbvMxw=")</f>
        <v>#VALUE!</v>
      </c>
      <c r="AD97" t="e">
        <f>AND('UP133'!HS58,"AAAAAHbvMx0=")</f>
        <v>#VALUE!</v>
      </c>
      <c r="AE97" t="e">
        <f>AND('UP133'!HT58,"AAAAAHbvMx4=")</f>
        <v>#VALUE!</v>
      </c>
      <c r="AF97" t="e">
        <f>AND('UP133'!HU58,"AAAAAHbvMx8=")</f>
        <v>#VALUE!</v>
      </c>
      <c r="AG97" t="e">
        <f>AND('UP133'!HV58,"AAAAAHbvMyA=")</f>
        <v>#VALUE!</v>
      </c>
      <c r="AH97" t="e">
        <f>AND('UP133'!HW58,"AAAAAHbvMyE=")</f>
        <v>#VALUE!</v>
      </c>
      <c r="AI97" t="e">
        <f>AND('UP133'!HX58,"AAAAAHbvMyI=")</f>
        <v>#VALUE!</v>
      </c>
      <c r="AJ97" t="e">
        <f>AND('UP133'!HY58,"AAAAAHbvMyM=")</f>
        <v>#VALUE!</v>
      </c>
      <c r="AK97" t="e">
        <f>AND('UP133'!HZ58,"AAAAAHbvMyQ=")</f>
        <v>#VALUE!</v>
      </c>
      <c r="AL97" t="e">
        <f>AND('UP133'!IA58,"AAAAAHbvMyU=")</f>
        <v>#VALUE!</v>
      </c>
      <c r="AM97" t="e">
        <f>AND('UP133'!IB58,"AAAAAHbvMyY=")</f>
        <v>#VALUE!</v>
      </c>
      <c r="AN97" t="e">
        <f>AND('UP133'!IC58,"AAAAAHbvMyc=")</f>
        <v>#VALUE!</v>
      </c>
      <c r="AO97" t="e">
        <f>AND('UP133'!ID58,"AAAAAHbvMyg=")</f>
        <v>#VALUE!</v>
      </c>
      <c r="AP97" t="e">
        <f>AND('UP133'!IE58,"AAAAAHbvMyk=")</f>
        <v>#VALUE!</v>
      </c>
      <c r="AQ97" t="e">
        <f>AND('UP133'!IF58,"AAAAAHbvMyo=")</f>
        <v>#VALUE!</v>
      </c>
      <c r="AR97" t="e">
        <f>AND('UP133'!IG58,"AAAAAHbvMys=")</f>
        <v>#VALUE!</v>
      </c>
      <c r="AS97" t="e">
        <f>AND('UP133'!IH58,"AAAAAHbvMyw=")</f>
        <v>#VALUE!</v>
      </c>
      <c r="AT97" t="e">
        <f>AND('UP133'!II58,"AAAAAHbvMy0=")</f>
        <v>#VALUE!</v>
      </c>
      <c r="AU97" t="e">
        <f>AND('UP133'!IJ58,"AAAAAHbvMy4=")</f>
        <v>#VALUE!</v>
      </c>
      <c r="AV97" t="e">
        <f>AND('UP133'!IK58,"AAAAAHbvMy8=")</f>
        <v>#VALUE!</v>
      </c>
      <c r="AW97" t="e">
        <f>AND('UP133'!IL58,"AAAAAHbvMzA=")</f>
        <v>#VALUE!</v>
      </c>
      <c r="AX97" t="e">
        <f>AND('UP133'!IM58,"AAAAAHbvMzE=")</f>
        <v>#VALUE!</v>
      </c>
      <c r="AY97" t="e">
        <f>AND('UP133'!IN58,"AAAAAHbvMzI=")</f>
        <v>#VALUE!</v>
      </c>
      <c r="AZ97" t="e">
        <f>AND('UP133'!IO58,"AAAAAHbvMzM=")</f>
        <v>#VALUE!</v>
      </c>
      <c r="BA97" t="e">
        <f>AND('UP133'!IP58,"AAAAAHbvMzQ=")</f>
        <v>#VALUE!</v>
      </c>
      <c r="BB97" t="e">
        <f>AND('UP133'!IQ58,"AAAAAHbvMzU=")</f>
        <v>#VALUE!</v>
      </c>
      <c r="BC97">
        <f>IF('UP133'!59:59,"AAAAAHbvMzY=",0)</f>
        <v>0</v>
      </c>
      <c r="BD97" t="e">
        <f>AND('UP133'!A59,"AAAAAHbvMzc=")</f>
        <v>#VALUE!</v>
      </c>
      <c r="BE97" t="e">
        <f>AND('UP133'!B59,"AAAAAHbvMzg=")</f>
        <v>#VALUE!</v>
      </c>
      <c r="BF97" t="e">
        <f>AND('UP133'!C59,"AAAAAHbvMzk=")</f>
        <v>#VALUE!</v>
      </c>
      <c r="BG97" t="e">
        <f>AND('UP133'!D59,"AAAAAHbvMzo=")</f>
        <v>#VALUE!</v>
      </c>
      <c r="BH97" t="e">
        <f>AND('UP133'!E59,"AAAAAHbvMzs=")</f>
        <v>#VALUE!</v>
      </c>
      <c r="BI97" t="e">
        <f>AND('UP133'!F59,"AAAAAHbvMzw=")</f>
        <v>#VALUE!</v>
      </c>
      <c r="BJ97" t="e">
        <f>AND('UP133'!G59,"AAAAAHbvMz0=")</f>
        <v>#VALUE!</v>
      </c>
      <c r="BK97" t="e">
        <f>AND('UP133'!H59,"AAAAAHbvMz4=")</f>
        <v>#VALUE!</v>
      </c>
      <c r="BL97" t="e">
        <f>AND('UP133'!I59,"AAAAAHbvMz8=")</f>
        <v>#VALUE!</v>
      </c>
      <c r="BM97" t="e">
        <f>AND('UP133'!J59,"AAAAAHbvM0A=")</f>
        <v>#VALUE!</v>
      </c>
      <c r="BN97" t="e">
        <f>AND('UP133'!K59,"AAAAAHbvM0E=")</f>
        <v>#VALUE!</v>
      </c>
      <c r="BO97" t="e">
        <f>AND('UP133'!L59,"AAAAAHbvM0I=")</f>
        <v>#VALUE!</v>
      </c>
      <c r="BP97" t="e">
        <f>AND('UP133'!M59,"AAAAAHbvM0M=")</f>
        <v>#VALUE!</v>
      </c>
      <c r="BQ97" t="e">
        <f>AND('UP133'!N59,"AAAAAHbvM0Q=")</f>
        <v>#VALUE!</v>
      </c>
      <c r="BR97" t="e">
        <f>AND('UP133'!O59,"AAAAAHbvM0U=")</f>
        <v>#VALUE!</v>
      </c>
      <c r="BS97" t="e">
        <f>AND('UP133'!P59,"AAAAAHbvM0Y=")</f>
        <v>#VALUE!</v>
      </c>
      <c r="BT97" t="e">
        <f>AND('UP133'!Q59,"AAAAAHbvM0c=")</f>
        <v>#VALUE!</v>
      </c>
      <c r="BU97" t="e">
        <f>AND('UP133'!R59,"AAAAAHbvM0g=")</f>
        <v>#VALUE!</v>
      </c>
      <c r="BV97" t="e">
        <f>AND('UP133'!S59,"AAAAAHbvM0k=")</f>
        <v>#VALUE!</v>
      </c>
      <c r="BW97" t="e">
        <f>AND('UP133'!T59,"AAAAAHbvM0o=")</f>
        <v>#VALUE!</v>
      </c>
      <c r="BX97" t="e">
        <f>AND('UP133'!U59,"AAAAAHbvM0s=")</f>
        <v>#VALUE!</v>
      </c>
      <c r="BY97" t="e">
        <f>AND('UP133'!V59,"AAAAAHbvM0w=")</f>
        <v>#VALUE!</v>
      </c>
      <c r="BZ97" t="e">
        <f>AND('UP133'!W59,"AAAAAHbvM00=")</f>
        <v>#VALUE!</v>
      </c>
      <c r="CA97" t="e">
        <f>AND('UP133'!X59,"AAAAAHbvM04=")</f>
        <v>#VALUE!</v>
      </c>
      <c r="CB97" t="e">
        <f>AND('UP133'!Y59,"AAAAAHbvM08=")</f>
        <v>#VALUE!</v>
      </c>
      <c r="CC97" t="e">
        <f>AND('UP133'!Z59,"AAAAAHbvM1A=")</f>
        <v>#VALUE!</v>
      </c>
      <c r="CD97" t="e">
        <f>AND('UP133'!AA59,"AAAAAHbvM1E=")</f>
        <v>#VALUE!</v>
      </c>
      <c r="CE97" t="e">
        <f>AND('UP133'!AB59,"AAAAAHbvM1I=")</f>
        <v>#VALUE!</v>
      </c>
      <c r="CF97" t="e">
        <f>AND('UP133'!AC59,"AAAAAHbvM1M=")</f>
        <v>#VALUE!</v>
      </c>
      <c r="CG97" t="e">
        <f>AND('UP133'!AD59,"AAAAAHbvM1Q=")</f>
        <v>#VALUE!</v>
      </c>
      <c r="CH97" t="e">
        <f>AND('UP133'!AE59,"AAAAAHbvM1U=")</f>
        <v>#VALUE!</v>
      </c>
      <c r="CI97" t="e">
        <f>AND('UP133'!AF59,"AAAAAHbvM1Y=")</f>
        <v>#VALUE!</v>
      </c>
      <c r="CJ97" t="e">
        <f>AND('UP133'!AG59,"AAAAAHbvM1c=")</f>
        <v>#VALUE!</v>
      </c>
      <c r="CK97" t="e">
        <f>AND('UP133'!AH59,"AAAAAHbvM1g=")</f>
        <v>#VALUE!</v>
      </c>
      <c r="CL97" t="e">
        <f>AND('UP133'!AI59,"AAAAAHbvM1k=")</f>
        <v>#VALUE!</v>
      </c>
      <c r="CM97" t="e">
        <f>AND('UP133'!AJ59,"AAAAAHbvM1o=")</f>
        <v>#VALUE!</v>
      </c>
      <c r="CN97" t="e">
        <f>AND('UP133'!AK59,"AAAAAHbvM1s=")</f>
        <v>#VALUE!</v>
      </c>
      <c r="CO97" t="e">
        <f>AND('UP133'!AL59,"AAAAAHbvM1w=")</f>
        <v>#VALUE!</v>
      </c>
      <c r="CP97" t="e">
        <f>AND('UP133'!AM59,"AAAAAHbvM10=")</f>
        <v>#VALUE!</v>
      </c>
      <c r="CQ97" t="e">
        <f>AND('UP133'!AN59,"AAAAAHbvM14=")</f>
        <v>#VALUE!</v>
      </c>
      <c r="CR97" t="e">
        <f>AND('UP133'!AO59,"AAAAAHbvM18=")</f>
        <v>#VALUE!</v>
      </c>
      <c r="CS97" t="e">
        <f>AND('UP133'!AP59,"AAAAAHbvM2A=")</f>
        <v>#VALUE!</v>
      </c>
      <c r="CT97" t="e">
        <f>AND('UP133'!AQ59,"AAAAAHbvM2E=")</f>
        <v>#VALUE!</v>
      </c>
      <c r="CU97" t="e">
        <f>AND('UP133'!AR59,"AAAAAHbvM2I=")</f>
        <v>#VALUE!</v>
      </c>
      <c r="CV97" t="e">
        <f>AND('UP133'!AS59,"AAAAAHbvM2M=")</f>
        <v>#VALUE!</v>
      </c>
      <c r="CW97" t="e">
        <f>AND('UP133'!AT59,"AAAAAHbvM2Q=")</f>
        <v>#VALUE!</v>
      </c>
      <c r="CX97" t="e">
        <f>AND('UP133'!AU59,"AAAAAHbvM2U=")</f>
        <v>#VALUE!</v>
      </c>
      <c r="CY97" t="e">
        <f>AND('UP133'!AV59,"AAAAAHbvM2Y=")</f>
        <v>#VALUE!</v>
      </c>
      <c r="CZ97" t="e">
        <f>AND('UP133'!AW59,"AAAAAHbvM2c=")</f>
        <v>#VALUE!</v>
      </c>
      <c r="DA97" t="e">
        <f>AND('UP133'!AX59,"AAAAAHbvM2g=")</f>
        <v>#VALUE!</v>
      </c>
      <c r="DB97" t="e">
        <f>AND('UP133'!AY59,"AAAAAHbvM2k=")</f>
        <v>#VALUE!</v>
      </c>
      <c r="DC97" t="e">
        <f>AND('UP133'!AZ59,"AAAAAHbvM2o=")</f>
        <v>#VALUE!</v>
      </c>
      <c r="DD97" t="e">
        <f>AND('UP133'!BA59,"AAAAAHbvM2s=")</f>
        <v>#VALUE!</v>
      </c>
      <c r="DE97" t="e">
        <f>AND('UP133'!BB59,"AAAAAHbvM2w=")</f>
        <v>#VALUE!</v>
      </c>
      <c r="DF97" t="e">
        <f>AND('UP133'!BC59,"AAAAAHbvM20=")</f>
        <v>#VALUE!</v>
      </c>
      <c r="DG97" t="e">
        <f>AND('UP133'!BD59,"AAAAAHbvM24=")</f>
        <v>#VALUE!</v>
      </c>
      <c r="DH97" t="e">
        <f>AND('UP133'!BE59,"AAAAAHbvM28=")</f>
        <v>#VALUE!</v>
      </c>
      <c r="DI97" t="e">
        <f>AND('UP133'!BF59,"AAAAAHbvM3A=")</f>
        <v>#VALUE!</v>
      </c>
      <c r="DJ97" t="e">
        <f>AND('UP133'!BG59,"AAAAAHbvM3E=")</f>
        <v>#VALUE!</v>
      </c>
      <c r="DK97" t="e">
        <f>AND('UP133'!BH59,"AAAAAHbvM3I=")</f>
        <v>#VALUE!</v>
      </c>
      <c r="DL97" t="e">
        <f>AND('UP133'!BI59,"AAAAAHbvM3M=")</f>
        <v>#VALUE!</v>
      </c>
      <c r="DM97" t="e">
        <f>AND('UP133'!BJ59,"AAAAAHbvM3Q=")</f>
        <v>#VALUE!</v>
      </c>
      <c r="DN97" t="e">
        <f>AND('UP133'!BK59,"AAAAAHbvM3U=")</f>
        <v>#VALUE!</v>
      </c>
      <c r="DO97" t="e">
        <f>AND('UP133'!BL59,"AAAAAHbvM3Y=")</f>
        <v>#VALUE!</v>
      </c>
      <c r="DP97" t="e">
        <f>AND('UP133'!BM59,"AAAAAHbvM3c=")</f>
        <v>#VALUE!</v>
      </c>
      <c r="DQ97" t="e">
        <f>AND('UP133'!BN59,"AAAAAHbvM3g=")</f>
        <v>#VALUE!</v>
      </c>
      <c r="DR97" t="e">
        <f>AND('UP133'!BO59,"AAAAAHbvM3k=")</f>
        <v>#VALUE!</v>
      </c>
      <c r="DS97" t="e">
        <f>AND('UP133'!BP59,"AAAAAHbvM3o=")</f>
        <v>#VALUE!</v>
      </c>
      <c r="DT97" t="e">
        <f>AND('UP133'!BQ59,"AAAAAHbvM3s=")</f>
        <v>#VALUE!</v>
      </c>
      <c r="DU97" t="e">
        <f>AND('UP133'!BR59,"AAAAAHbvM3w=")</f>
        <v>#VALUE!</v>
      </c>
      <c r="DV97" t="e">
        <f>AND('UP133'!BS59,"AAAAAHbvM30=")</f>
        <v>#VALUE!</v>
      </c>
      <c r="DW97" t="e">
        <f>AND('UP133'!BT59,"AAAAAHbvM34=")</f>
        <v>#VALUE!</v>
      </c>
      <c r="DX97" t="e">
        <f>AND('UP133'!BU59,"AAAAAHbvM38=")</f>
        <v>#VALUE!</v>
      </c>
      <c r="DY97" t="e">
        <f>AND('UP133'!BV59,"AAAAAHbvM4A=")</f>
        <v>#VALUE!</v>
      </c>
      <c r="DZ97" t="e">
        <f>AND('UP133'!BW59,"AAAAAHbvM4E=")</f>
        <v>#VALUE!</v>
      </c>
      <c r="EA97" t="e">
        <f>AND('UP133'!BX59,"AAAAAHbvM4I=")</f>
        <v>#VALUE!</v>
      </c>
      <c r="EB97" t="e">
        <f>AND('UP133'!BY59,"AAAAAHbvM4M=")</f>
        <v>#VALUE!</v>
      </c>
      <c r="EC97" t="e">
        <f>AND('UP133'!BZ59,"AAAAAHbvM4Q=")</f>
        <v>#VALUE!</v>
      </c>
      <c r="ED97" t="e">
        <f>AND('UP133'!CA59,"AAAAAHbvM4U=")</f>
        <v>#VALUE!</v>
      </c>
      <c r="EE97" t="e">
        <f>AND('UP133'!CB59,"AAAAAHbvM4Y=")</f>
        <v>#VALUE!</v>
      </c>
      <c r="EF97" t="e">
        <f>AND('UP133'!CC59,"AAAAAHbvM4c=")</f>
        <v>#VALUE!</v>
      </c>
      <c r="EG97" t="e">
        <f>AND('UP133'!CD59,"AAAAAHbvM4g=")</f>
        <v>#VALUE!</v>
      </c>
      <c r="EH97" t="e">
        <f>AND('UP133'!CE59,"AAAAAHbvM4k=")</f>
        <v>#VALUE!</v>
      </c>
      <c r="EI97" t="e">
        <f>AND('UP133'!CF59,"AAAAAHbvM4o=")</f>
        <v>#VALUE!</v>
      </c>
      <c r="EJ97" t="e">
        <f>AND('UP133'!CG59,"AAAAAHbvM4s=")</f>
        <v>#VALUE!</v>
      </c>
      <c r="EK97" t="e">
        <f>AND('UP133'!CH59,"AAAAAHbvM4w=")</f>
        <v>#VALUE!</v>
      </c>
      <c r="EL97" t="e">
        <f>AND('UP133'!CI59,"AAAAAHbvM40=")</f>
        <v>#VALUE!</v>
      </c>
      <c r="EM97" t="e">
        <f>AND('UP133'!CJ59,"AAAAAHbvM44=")</f>
        <v>#VALUE!</v>
      </c>
      <c r="EN97" t="e">
        <f>AND('UP133'!CK59,"AAAAAHbvM48=")</f>
        <v>#VALUE!</v>
      </c>
      <c r="EO97" t="e">
        <f>AND('UP133'!CL59,"AAAAAHbvM5A=")</f>
        <v>#VALUE!</v>
      </c>
      <c r="EP97" t="e">
        <f>AND('UP133'!CM59,"AAAAAHbvM5E=")</f>
        <v>#VALUE!</v>
      </c>
      <c r="EQ97" t="e">
        <f>AND('UP133'!CN59,"AAAAAHbvM5I=")</f>
        <v>#VALUE!</v>
      </c>
      <c r="ER97" t="e">
        <f>AND('UP133'!CO59,"AAAAAHbvM5M=")</f>
        <v>#VALUE!</v>
      </c>
      <c r="ES97" t="e">
        <f>AND('UP133'!CP59,"AAAAAHbvM5Q=")</f>
        <v>#VALUE!</v>
      </c>
      <c r="ET97" t="e">
        <f>AND('UP133'!CQ59,"AAAAAHbvM5U=")</f>
        <v>#VALUE!</v>
      </c>
      <c r="EU97" t="e">
        <f>AND('UP133'!CR59,"AAAAAHbvM5Y=")</f>
        <v>#VALUE!</v>
      </c>
      <c r="EV97" t="e">
        <f>AND('UP133'!CS59,"AAAAAHbvM5c=")</f>
        <v>#VALUE!</v>
      </c>
      <c r="EW97" t="e">
        <f>AND('UP133'!CT59,"AAAAAHbvM5g=")</f>
        <v>#VALUE!</v>
      </c>
      <c r="EX97" t="e">
        <f>AND('UP133'!CU59,"AAAAAHbvM5k=")</f>
        <v>#VALUE!</v>
      </c>
      <c r="EY97" t="e">
        <f>AND('UP133'!CV59,"AAAAAHbvM5o=")</f>
        <v>#VALUE!</v>
      </c>
      <c r="EZ97" t="e">
        <f>AND('UP133'!CW59,"AAAAAHbvM5s=")</f>
        <v>#VALUE!</v>
      </c>
      <c r="FA97" t="e">
        <f>AND('UP133'!CX59,"AAAAAHbvM5w=")</f>
        <v>#VALUE!</v>
      </c>
      <c r="FB97" t="e">
        <f>AND('UP133'!CY59,"AAAAAHbvM50=")</f>
        <v>#VALUE!</v>
      </c>
      <c r="FC97" t="e">
        <f>AND('UP133'!CZ59,"AAAAAHbvM54=")</f>
        <v>#VALUE!</v>
      </c>
      <c r="FD97" t="e">
        <f>AND('UP133'!DA59,"AAAAAHbvM58=")</f>
        <v>#VALUE!</v>
      </c>
      <c r="FE97" t="e">
        <f>AND('UP133'!DB59,"AAAAAHbvM6A=")</f>
        <v>#VALUE!</v>
      </c>
      <c r="FF97" t="e">
        <f>AND('UP133'!DC59,"AAAAAHbvM6E=")</f>
        <v>#VALUE!</v>
      </c>
      <c r="FG97" t="e">
        <f>AND('UP133'!DD59,"AAAAAHbvM6I=")</f>
        <v>#VALUE!</v>
      </c>
      <c r="FH97" t="e">
        <f>AND('UP133'!DE59,"AAAAAHbvM6M=")</f>
        <v>#VALUE!</v>
      </c>
      <c r="FI97" t="e">
        <f>AND('UP133'!DF59,"AAAAAHbvM6Q=")</f>
        <v>#VALUE!</v>
      </c>
      <c r="FJ97" t="e">
        <f>AND('UP133'!DG59,"AAAAAHbvM6U=")</f>
        <v>#VALUE!</v>
      </c>
      <c r="FK97" t="e">
        <f>AND('UP133'!DH59,"AAAAAHbvM6Y=")</f>
        <v>#VALUE!</v>
      </c>
      <c r="FL97" t="e">
        <f>AND('UP133'!DI59,"AAAAAHbvM6c=")</f>
        <v>#VALUE!</v>
      </c>
      <c r="FM97" t="e">
        <f>AND('UP133'!DJ59,"AAAAAHbvM6g=")</f>
        <v>#VALUE!</v>
      </c>
      <c r="FN97" t="e">
        <f>AND('UP133'!DK59,"AAAAAHbvM6k=")</f>
        <v>#VALUE!</v>
      </c>
      <c r="FO97" t="e">
        <f>AND('UP133'!DL59,"AAAAAHbvM6o=")</f>
        <v>#VALUE!</v>
      </c>
      <c r="FP97" t="e">
        <f>AND('UP133'!DM59,"AAAAAHbvM6s=")</f>
        <v>#VALUE!</v>
      </c>
      <c r="FQ97" t="e">
        <f>AND('UP133'!DN59,"AAAAAHbvM6w=")</f>
        <v>#VALUE!</v>
      </c>
      <c r="FR97" t="e">
        <f>AND('UP133'!DO59,"AAAAAHbvM60=")</f>
        <v>#VALUE!</v>
      </c>
      <c r="FS97" t="e">
        <f>AND('UP133'!DP59,"AAAAAHbvM64=")</f>
        <v>#VALUE!</v>
      </c>
      <c r="FT97" t="e">
        <f>AND('UP133'!DQ59,"AAAAAHbvM68=")</f>
        <v>#VALUE!</v>
      </c>
      <c r="FU97" t="e">
        <f>AND('UP133'!DR59,"AAAAAHbvM7A=")</f>
        <v>#VALUE!</v>
      </c>
      <c r="FV97" t="e">
        <f>AND('UP133'!DS59,"AAAAAHbvM7E=")</f>
        <v>#VALUE!</v>
      </c>
      <c r="FW97" t="e">
        <f>AND('UP133'!DT59,"AAAAAHbvM7I=")</f>
        <v>#VALUE!</v>
      </c>
      <c r="FX97" t="e">
        <f>AND('UP133'!DU59,"AAAAAHbvM7M=")</f>
        <v>#VALUE!</v>
      </c>
      <c r="FY97" t="e">
        <f>AND('UP133'!DV59,"AAAAAHbvM7Q=")</f>
        <v>#VALUE!</v>
      </c>
      <c r="FZ97" t="e">
        <f>AND('UP133'!DW59,"AAAAAHbvM7U=")</f>
        <v>#VALUE!</v>
      </c>
      <c r="GA97" t="e">
        <f>AND('UP133'!DX59,"AAAAAHbvM7Y=")</f>
        <v>#VALUE!</v>
      </c>
      <c r="GB97" t="e">
        <f>AND('UP133'!DY59,"AAAAAHbvM7c=")</f>
        <v>#VALUE!</v>
      </c>
      <c r="GC97" t="e">
        <f>AND('UP133'!DZ59,"AAAAAHbvM7g=")</f>
        <v>#VALUE!</v>
      </c>
      <c r="GD97" t="e">
        <f>AND('UP133'!EA59,"AAAAAHbvM7k=")</f>
        <v>#VALUE!</v>
      </c>
      <c r="GE97" t="e">
        <f>AND('UP133'!EB59,"AAAAAHbvM7o=")</f>
        <v>#VALUE!</v>
      </c>
      <c r="GF97" t="e">
        <f>AND('UP133'!EC59,"AAAAAHbvM7s=")</f>
        <v>#VALUE!</v>
      </c>
      <c r="GG97" t="e">
        <f>AND('UP133'!ED59,"AAAAAHbvM7w=")</f>
        <v>#VALUE!</v>
      </c>
      <c r="GH97" t="e">
        <f>AND('UP133'!EE59,"AAAAAHbvM70=")</f>
        <v>#VALUE!</v>
      </c>
      <c r="GI97" t="e">
        <f>AND('UP133'!EF59,"AAAAAHbvM74=")</f>
        <v>#VALUE!</v>
      </c>
      <c r="GJ97" t="e">
        <f>AND('UP133'!EG59,"AAAAAHbvM78=")</f>
        <v>#VALUE!</v>
      </c>
      <c r="GK97" t="e">
        <f>AND('UP133'!EH59,"AAAAAHbvM8A=")</f>
        <v>#VALUE!</v>
      </c>
      <c r="GL97" t="e">
        <f>AND('UP133'!EI59,"AAAAAHbvM8E=")</f>
        <v>#VALUE!</v>
      </c>
      <c r="GM97" t="e">
        <f>AND('UP133'!EJ59,"AAAAAHbvM8I=")</f>
        <v>#VALUE!</v>
      </c>
      <c r="GN97" t="e">
        <f>AND('UP133'!EK59,"AAAAAHbvM8M=")</f>
        <v>#VALUE!</v>
      </c>
      <c r="GO97" t="e">
        <f>AND('UP133'!EL59,"AAAAAHbvM8Q=")</f>
        <v>#VALUE!</v>
      </c>
      <c r="GP97" t="e">
        <f>AND('UP133'!EM59,"AAAAAHbvM8U=")</f>
        <v>#VALUE!</v>
      </c>
      <c r="GQ97" t="e">
        <f>AND('UP133'!EN59,"AAAAAHbvM8Y=")</f>
        <v>#VALUE!</v>
      </c>
      <c r="GR97" t="e">
        <f>AND('UP133'!EO59,"AAAAAHbvM8c=")</f>
        <v>#VALUE!</v>
      </c>
      <c r="GS97" t="e">
        <f>AND('UP133'!EP59,"AAAAAHbvM8g=")</f>
        <v>#VALUE!</v>
      </c>
      <c r="GT97" t="e">
        <f>AND('UP133'!EQ59,"AAAAAHbvM8k=")</f>
        <v>#VALUE!</v>
      </c>
      <c r="GU97" t="e">
        <f>AND('UP133'!ER59,"AAAAAHbvM8o=")</f>
        <v>#VALUE!</v>
      </c>
      <c r="GV97" t="e">
        <f>AND('UP133'!ES59,"AAAAAHbvM8s=")</f>
        <v>#VALUE!</v>
      </c>
      <c r="GW97" t="e">
        <f>AND('UP133'!ET59,"AAAAAHbvM8w=")</f>
        <v>#VALUE!</v>
      </c>
      <c r="GX97" t="e">
        <f>AND('UP133'!EU59,"AAAAAHbvM80=")</f>
        <v>#VALUE!</v>
      </c>
      <c r="GY97" t="e">
        <f>AND('UP133'!EV59,"AAAAAHbvM84=")</f>
        <v>#VALUE!</v>
      </c>
      <c r="GZ97" t="e">
        <f>AND('UP133'!EW59,"AAAAAHbvM88=")</f>
        <v>#VALUE!</v>
      </c>
      <c r="HA97" t="e">
        <f>AND('UP133'!EX59,"AAAAAHbvM9A=")</f>
        <v>#VALUE!</v>
      </c>
      <c r="HB97" t="e">
        <f>AND('UP133'!EY59,"AAAAAHbvM9E=")</f>
        <v>#VALUE!</v>
      </c>
      <c r="HC97" t="e">
        <f>AND('UP133'!EZ59,"AAAAAHbvM9I=")</f>
        <v>#VALUE!</v>
      </c>
      <c r="HD97" t="e">
        <f>AND('UP133'!FA59,"AAAAAHbvM9M=")</f>
        <v>#VALUE!</v>
      </c>
      <c r="HE97" t="e">
        <f>AND('UP133'!FB59,"AAAAAHbvM9Q=")</f>
        <v>#VALUE!</v>
      </c>
      <c r="HF97" t="e">
        <f>AND('UP133'!FC59,"AAAAAHbvM9U=")</f>
        <v>#VALUE!</v>
      </c>
      <c r="HG97" t="e">
        <f>AND('UP133'!FD59,"AAAAAHbvM9Y=")</f>
        <v>#VALUE!</v>
      </c>
      <c r="HH97" t="e">
        <f>AND('UP133'!FE59,"AAAAAHbvM9c=")</f>
        <v>#VALUE!</v>
      </c>
      <c r="HI97" t="e">
        <f>AND('UP133'!FF59,"AAAAAHbvM9g=")</f>
        <v>#VALUE!</v>
      </c>
      <c r="HJ97" t="e">
        <f>AND('UP133'!FG59,"AAAAAHbvM9k=")</f>
        <v>#VALUE!</v>
      </c>
      <c r="HK97" t="e">
        <f>AND('UP133'!FH59,"AAAAAHbvM9o=")</f>
        <v>#VALUE!</v>
      </c>
      <c r="HL97" t="e">
        <f>AND('UP133'!FI59,"AAAAAHbvM9s=")</f>
        <v>#VALUE!</v>
      </c>
      <c r="HM97" t="e">
        <f>AND('UP133'!FJ59,"AAAAAHbvM9w=")</f>
        <v>#VALUE!</v>
      </c>
      <c r="HN97" t="e">
        <f>AND('UP133'!FK59,"AAAAAHbvM90=")</f>
        <v>#VALUE!</v>
      </c>
      <c r="HO97" t="e">
        <f>AND('UP133'!FL59,"AAAAAHbvM94=")</f>
        <v>#VALUE!</v>
      </c>
      <c r="HP97" t="e">
        <f>AND('UP133'!FM59,"AAAAAHbvM98=")</f>
        <v>#VALUE!</v>
      </c>
      <c r="HQ97" t="e">
        <f>AND('UP133'!FN59,"AAAAAHbvM+A=")</f>
        <v>#VALUE!</v>
      </c>
      <c r="HR97" t="e">
        <f>AND('UP133'!FO59,"AAAAAHbvM+E=")</f>
        <v>#VALUE!</v>
      </c>
      <c r="HS97" t="e">
        <f>AND('UP133'!FP59,"AAAAAHbvM+I=")</f>
        <v>#VALUE!</v>
      </c>
      <c r="HT97" t="e">
        <f>AND('UP133'!FQ59,"AAAAAHbvM+M=")</f>
        <v>#VALUE!</v>
      </c>
      <c r="HU97" t="e">
        <f>AND('UP133'!FR59,"AAAAAHbvM+Q=")</f>
        <v>#VALUE!</v>
      </c>
      <c r="HV97" t="e">
        <f>AND('UP133'!FS59,"AAAAAHbvM+U=")</f>
        <v>#VALUE!</v>
      </c>
      <c r="HW97" t="e">
        <f>AND('UP133'!FT59,"AAAAAHbvM+Y=")</f>
        <v>#VALUE!</v>
      </c>
      <c r="HX97" t="e">
        <f>AND('UP133'!FU59,"AAAAAHbvM+c=")</f>
        <v>#VALUE!</v>
      </c>
      <c r="HY97" t="e">
        <f>AND('UP133'!FV59,"AAAAAHbvM+g=")</f>
        <v>#VALUE!</v>
      </c>
      <c r="HZ97" t="e">
        <f>AND('UP133'!FW59,"AAAAAHbvM+k=")</f>
        <v>#VALUE!</v>
      </c>
      <c r="IA97" t="e">
        <f>AND('UP133'!FX59,"AAAAAHbvM+o=")</f>
        <v>#VALUE!</v>
      </c>
      <c r="IB97" t="e">
        <f>AND('UP133'!FY59,"AAAAAHbvM+s=")</f>
        <v>#VALUE!</v>
      </c>
      <c r="IC97" t="e">
        <f>AND('UP133'!FZ59,"AAAAAHbvM+w=")</f>
        <v>#VALUE!</v>
      </c>
      <c r="ID97" t="e">
        <f>AND('UP133'!GA59,"AAAAAHbvM+0=")</f>
        <v>#VALUE!</v>
      </c>
      <c r="IE97" t="e">
        <f>AND('UP133'!GB59,"AAAAAHbvM+4=")</f>
        <v>#VALUE!</v>
      </c>
      <c r="IF97" t="e">
        <f>AND('UP133'!GC59,"AAAAAHbvM+8=")</f>
        <v>#VALUE!</v>
      </c>
      <c r="IG97" t="e">
        <f>AND('UP133'!GD59,"AAAAAHbvM/A=")</f>
        <v>#VALUE!</v>
      </c>
      <c r="IH97" t="e">
        <f>AND('UP133'!GE59,"AAAAAHbvM/E=")</f>
        <v>#VALUE!</v>
      </c>
      <c r="II97" t="e">
        <f>AND('UP133'!GF59,"AAAAAHbvM/I=")</f>
        <v>#VALUE!</v>
      </c>
      <c r="IJ97" t="e">
        <f>AND('UP133'!GG59,"AAAAAHbvM/M=")</f>
        <v>#VALUE!</v>
      </c>
      <c r="IK97" t="e">
        <f>AND('UP133'!GH59,"AAAAAHbvM/Q=")</f>
        <v>#VALUE!</v>
      </c>
      <c r="IL97" t="e">
        <f>AND('UP133'!GI59,"AAAAAHbvM/U=")</f>
        <v>#VALUE!</v>
      </c>
      <c r="IM97" t="e">
        <f>AND('UP133'!GJ59,"AAAAAHbvM/Y=")</f>
        <v>#VALUE!</v>
      </c>
      <c r="IN97" t="e">
        <f>AND('UP133'!GK59,"AAAAAHbvM/c=")</f>
        <v>#VALUE!</v>
      </c>
      <c r="IO97" t="e">
        <f>AND('UP133'!GL59,"AAAAAHbvM/g=")</f>
        <v>#VALUE!</v>
      </c>
      <c r="IP97" t="e">
        <f>AND('UP133'!GM59,"AAAAAHbvM/k=")</f>
        <v>#VALUE!</v>
      </c>
      <c r="IQ97" t="e">
        <f>AND('UP133'!GN59,"AAAAAHbvM/o=")</f>
        <v>#VALUE!</v>
      </c>
      <c r="IR97" t="e">
        <f>AND('UP133'!GO59,"AAAAAHbvM/s=")</f>
        <v>#VALUE!</v>
      </c>
      <c r="IS97" t="e">
        <f>AND('UP133'!GP59,"AAAAAHbvM/w=")</f>
        <v>#VALUE!</v>
      </c>
      <c r="IT97" t="e">
        <f>AND('UP133'!GQ59,"AAAAAHbvM/0=")</f>
        <v>#VALUE!</v>
      </c>
      <c r="IU97" t="e">
        <f>AND('UP133'!GR59,"AAAAAHbvM/4=")</f>
        <v>#VALUE!</v>
      </c>
      <c r="IV97" t="e">
        <f>AND('UP133'!GS59,"AAAAAHbvM/8=")</f>
        <v>#VALUE!</v>
      </c>
    </row>
    <row r="98" spans="1:256">
      <c r="A98" t="e">
        <f>AND('UP133'!GT59,"AAAAAFW/egA=")</f>
        <v>#VALUE!</v>
      </c>
      <c r="B98" t="e">
        <f>AND('UP133'!GU59,"AAAAAFW/egE=")</f>
        <v>#VALUE!</v>
      </c>
      <c r="C98" t="e">
        <f>AND('UP133'!GV59,"AAAAAFW/egI=")</f>
        <v>#VALUE!</v>
      </c>
      <c r="D98" t="e">
        <f>AND('UP133'!GW59,"AAAAAFW/egM=")</f>
        <v>#VALUE!</v>
      </c>
      <c r="E98" t="e">
        <f>AND('UP133'!GX59,"AAAAAFW/egQ=")</f>
        <v>#VALUE!</v>
      </c>
      <c r="F98" t="e">
        <f>AND('UP133'!GY59,"AAAAAFW/egU=")</f>
        <v>#VALUE!</v>
      </c>
      <c r="G98" t="e">
        <f>AND('UP133'!GZ59,"AAAAAFW/egY=")</f>
        <v>#VALUE!</v>
      </c>
      <c r="H98" t="e">
        <f>AND('UP133'!HA59,"AAAAAFW/egc=")</f>
        <v>#VALUE!</v>
      </c>
      <c r="I98" t="e">
        <f>AND('UP133'!HB59,"AAAAAFW/egg=")</f>
        <v>#VALUE!</v>
      </c>
      <c r="J98" t="e">
        <f>AND('UP133'!HC59,"AAAAAFW/egk=")</f>
        <v>#VALUE!</v>
      </c>
      <c r="K98" t="e">
        <f>AND('UP133'!HD59,"AAAAAFW/ego=")</f>
        <v>#VALUE!</v>
      </c>
      <c r="L98" t="e">
        <f>AND('UP133'!HE59,"AAAAAFW/egs=")</f>
        <v>#VALUE!</v>
      </c>
      <c r="M98" t="e">
        <f>AND('UP133'!HF59,"AAAAAFW/egw=")</f>
        <v>#VALUE!</v>
      </c>
      <c r="N98" t="e">
        <f>AND('UP133'!HG59,"AAAAAFW/eg0=")</f>
        <v>#VALUE!</v>
      </c>
      <c r="O98" t="e">
        <f>AND('UP133'!HH59,"AAAAAFW/eg4=")</f>
        <v>#VALUE!</v>
      </c>
      <c r="P98" t="e">
        <f>AND('UP133'!HI59,"AAAAAFW/eg8=")</f>
        <v>#VALUE!</v>
      </c>
      <c r="Q98" t="e">
        <f>AND('UP133'!HJ59,"AAAAAFW/ehA=")</f>
        <v>#VALUE!</v>
      </c>
      <c r="R98" t="e">
        <f>AND('UP133'!HK59,"AAAAAFW/ehE=")</f>
        <v>#VALUE!</v>
      </c>
      <c r="S98" t="e">
        <f>AND('UP133'!HL59,"AAAAAFW/ehI=")</f>
        <v>#VALUE!</v>
      </c>
      <c r="T98" t="e">
        <f>AND('UP133'!HM59,"AAAAAFW/ehM=")</f>
        <v>#VALUE!</v>
      </c>
      <c r="U98" t="e">
        <f>AND('UP133'!HN59,"AAAAAFW/ehQ=")</f>
        <v>#VALUE!</v>
      </c>
      <c r="V98" t="e">
        <f>AND('UP133'!HO59,"AAAAAFW/ehU=")</f>
        <v>#VALUE!</v>
      </c>
      <c r="W98" t="e">
        <f>AND('UP133'!HP59,"AAAAAFW/ehY=")</f>
        <v>#VALUE!</v>
      </c>
      <c r="X98" t="e">
        <f>AND('UP133'!HQ59,"AAAAAFW/ehc=")</f>
        <v>#VALUE!</v>
      </c>
      <c r="Y98" t="e">
        <f>AND('UP133'!HR59,"AAAAAFW/ehg=")</f>
        <v>#VALUE!</v>
      </c>
      <c r="Z98" t="e">
        <f>AND('UP133'!HS59,"AAAAAFW/ehk=")</f>
        <v>#VALUE!</v>
      </c>
      <c r="AA98" t="e">
        <f>AND('UP133'!HT59,"AAAAAFW/eho=")</f>
        <v>#VALUE!</v>
      </c>
      <c r="AB98" t="e">
        <f>AND('UP133'!HU59,"AAAAAFW/ehs=")</f>
        <v>#VALUE!</v>
      </c>
      <c r="AC98" t="e">
        <f>AND('UP133'!HV59,"AAAAAFW/ehw=")</f>
        <v>#VALUE!</v>
      </c>
      <c r="AD98" t="e">
        <f>AND('UP133'!HW59,"AAAAAFW/eh0=")</f>
        <v>#VALUE!</v>
      </c>
      <c r="AE98" t="e">
        <f>AND('UP133'!HX59,"AAAAAFW/eh4=")</f>
        <v>#VALUE!</v>
      </c>
      <c r="AF98" t="e">
        <f>AND('UP133'!HY59,"AAAAAFW/eh8=")</f>
        <v>#VALUE!</v>
      </c>
      <c r="AG98" t="e">
        <f>AND('UP133'!HZ59,"AAAAAFW/eiA=")</f>
        <v>#VALUE!</v>
      </c>
      <c r="AH98" t="e">
        <f>AND('UP133'!IA59,"AAAAAFW/eiE=")</f>
        <v>#VALUE!</v>
      </c>
      <c r="AI98" t="e">
        <f>AND('UP133'!IB59,"AAAAAFW/eiI=")</f>
        <v>#VALUE!</v>
      </c>
      <c r="AJ98" t="e">
        <f>AND('UP133'!IC59,"AAAAAFW/eiM=")</f>
        <v>#VALUE!</v>
      </c>
      <c r="AK98" t="e">
        <f>AND('UP133'!ID59,"AAAAAFW/eiQ=")</f>
        <v>#VALUE!</v>
      </c>
      <c r="AL98" t="e">
        <f>AND('UP133'!IE59,"AAAAAFW/eiU=")</f>
        <v>#VALUE!</v>
      </c>
      <c r="AM98" t="e">
        <f>AND('UP133'!IF59,"AAAAAFW/eiY=")</f>
        <v>#VALUE!</v>
      </c>
      <c r="AN98" t="e">
        <f>AND('UP133'!IG59,"AAAAAFW/eic=")</f>
        <v>#VALUE!</v>
      </c>
      <c r="AO98" t="e">
        <f>AND('UP133'!IH59,"AAAAAFW/eig=")</f>
        <v>#VALUE!</v>
      </c>
      <c r="AP98" t="e">
        <f>AND('UP133'!II59,"AAAAAFW/eik=")</f>
        <v>#VALUE!</v>
      </c>
      <c r="AQ98" t="e">
        <f>AND('UP133'!IJ59,"AAAAAFW/eio=")</f>
        <v>#VALUE!</v>
      </c>
      <c r="AR98" t="e">
        <f>AND('UP133'!IK59,"AAAAAFW/eis=")</f>
        <v>#VALUE!</v>
      </c>
      <c r="AS98" t="e">
        <f>AND('UP133'!IL59,"AAAAAFW/eiw=")</f>
        <v>#VALUE!</v>
      </c>
      <c r="AT98" t="e">
        <f>AND('UP133'!IM59,"AAAAAFW/ei0=")</f>
        <v>#VALUE!</v>
      </c>
      <c r="AU98" t="e">
        <f>AND('UP133'!IN59,"AAAAAFW/ei4=")</f>
        <v>#VALUE!</v>
      </c>
      <c r="AV98" t="e">
        <f>AND('UP133'!IO59,"AAAAAFW/ei8=")</f>
        <v>#VALUE!</v>
      </c>
      <c r="AW98" t="e">
        <f>AND('UP133'!IP59,"AAAAAFW/ejA=")</f>
        <v>#VALUE!</v>
      </c>
      <c r="AX98" t="e">
        <f>AND('UP133'!IQ59,"AAAAAFW/ejE=")</f>
        <v>#VALUE!</v>
      </c>
      <c r="AY98">
        <f>IF('UP133'!60:60,"AAAAAFW/ejI=",0)</f>
        <v>0</v>
      </c>
      <c r="AZ98" t="e">
        <f>AND('UP133'!A60,"AAAAAFW/ejM=")</f>
        <v>#VALUE!</v>
      </c>
      <c r="BA98" t="e">
        <f>AND('UP133'!B60,"AAAAAFW/ejQ=")</f>
        <v>#VALUE!</v>
      </c>
      <c r="BB98" t="e">
        <f>AND('UP133'!C60,"AAAAAFW/ejU=")</f>
        <v>#VALUE!</v>
      </c>
      <c r="BC98" t="e">
        <f>AND('UP133'!D60,"AAAAAFW/ejY=")</f>
        <v>#VALUE!</v>
      </c>
      <c r="BD98" t="e">
        <f>AND('UP133'!E60,"AAAAAFW/ejc=")</f>
        <v>#VALUE!</v>
      </c>
      <c r="BE98" t="e">
        <f>AND('UP133'!F60,"AAAAAFW/ejg=")</f>
        <v>#VALUE!</v>
      </c>
      <c r="BF98" t="e">
        <f>AND('UP133'!G60,"AAAAAFW/ejk=")</f>
        <v>#VALUE!</v>
      </c>
      <c r="BG98" t="e">
        <f>AND('UP133'!H60,"AAAAAFW/ejo=")</f>
        <v>#VALUE!</v>
      </c>
      <c r="BH98" t="e">
        <f>AND('UP133'!I60,"AAAAAFW/ejs=")</f>
        <v>#VALUE!</v>
      </c>
      <c r="BI98" t="e">
        <f>AND('UP133'!J60,"AAAAAFW/ejw=")</f>
        <v>#VALUE!</v>
      </c>
      <c r="BJ98" t="e">
        <f>AND('UP133'!K60,"AAAAAFW/ej0=")</f>
        <v>#VALUE!</v>
      </c>
      <c r="BK98" t="e">
        <f>AND('UP133'!L60,"AAAAAFW/ej4=")</f>
        <v>#VALUE!</v>
      </c>
      <c r="BL98" t="e">
        <f>AND('UP133'!M60,"AAAAAFW/ej8=")</f>
        <v>#VALUE!</v>
      </c>
      <c r="BM98" t="e">
        <f>AND('UP133'!N60,"AAAAAFW/ekA=")</f>
        <v>#VALUE!</v>
      </c>
      <c r="BN98" t="e">
        <f>AND('UP133'!O60,"AAAAAFW/ekE=")</f>
        <v>#VALUE!</v>
      </c>
      <c r="BO98" t="e">
        <f>AND('UP133'!P60,"AAAAAFW/ekI=")</f>
        <v>#VALUE!</v>
      </c>
      <c r="BP98" t="e">
        <f>AND('UP133'!Q60,"AAAAAFW/ekM=")</f>
        <v>#VALUE!</v>
      </c>
      <c r="BQ98" t="e">
        <f>AND('UP133'!R60,"AAAAAFW/ekQ=")</f>
        <v>#VALUE!</v>
      </c>
      <c r="BR98" t="e">
        <f>AND('UP133'!S60,"AAAAAFW/ekU=")</f>
        <v>#VALUE!</v>
      </c>
      <c r="BS98" t="e">
        <f>AND('UP133'!T60,"AAAAAFW/ekY=")</f>
        <v>#VALUE!</v>
      </c>
      <c r="BT98" t="e">
        <f>AND('UP133'!U60,"AAAAAFW/ekc=")</f>
        <v>#VALUE!</v>
      </c>
      <c r="BU98" t="e">
        <f>AND('UP133'!V60,"AAAAAFW/ekg=")</f>
        <v>#VALUE!</v>
      </c>
      <c r="BV98" t="e">
        <f>AND('UP133'!W60,"AAAAAFW/ekk=")</f>
        <v>#VALUE!</v>
      </c>
      <c r="BW98" t="e">
        <f>AND('UP133'!X60,"AAAAAFW/eko=")</f>
        <v>#VALUE!</v>
      </c>
      <c r="BX98" t="e">
        <f>AND('UP133'!Y60,"AAAAAFW/eks=")</f>
        <v>#VALUE!</v>
      </c>
      <c r="BY98" t="e">
        <f>AND('UP133'!Z60,"AAAAAFW/ekw=")</f>
        <v>#VALUE!</v>
      </c>
      <c r="BZ98" t="e">
        <f>AND('UP133'!AA60,"AAAAAFW/ek0=")</f>
        <v>#VALUE!</v>
      </c>
      <c r="CA98" t="e">
        <f>AND('UP133'!AB60,"AAAAAFW/ek4=")</f>
        <v>#VALUE!</v>
      </c>
      <c r="CB98" t="e">
        <f>AND('UP133'!AC60,"AAAAAFW/ek8=")</f>
        <v>#VALUE!</v>
      </c>
      <c r="CC98" t="e">
        <f>AND('UP133'!AD60,"AAAAAFW/elA=")</f>
        <v>#VALUE!</v>
      </c>
      <c r="CD98" t="e">
        <f>AND('UP133'!AE60,"AAAAAFW/elE=")</f>
        <v>#VALUE!</v>
      </c>
      <c r="CE98" t="e">
        <f>AND('UP133'!AF60,"AAAAAFW/elI=")</f>
        <v>#VALUE!</v>
      </c>
      <c r="CF98" t="e">
        <f>AND('UP133'!AG60,"AAAAAFW/elM=")</f>
        <v>#VALUE!</v>
      </c>
      <c r="CG98" t="e">
        <f>AND('UP133'!AH60,"AAAAAFW/elQ=")</f>
        <v>#VALUE!</v>
      </c>
      <c r="CH98" t="e">
        <f>AND('UP133'!AI60,"AAAAAFW/elU=")</f>
        <v>#VALUE!</v>
      </c>
      <c r="CI98" t="e">
        <f>AND('UP133'!AJ60,"AAAAAFW/elY=")</f>
        <v>#VALUE!</v>
      </c>
      <c r="CJ98" t="e">
        <f>AND('UP133'!AK60,"AAAAAFW/elc=")</f>
        <v>#VALUE!</v>
      </c>
      <c r="CK98" t="e">
        <f>AND('UP133'!AL60,"AAAAAFW/elg=")</f>
        <v>#VALUE!</v>
      </c>
      <c r="CL98" t="e">
        <f>AND('UP133'!AM60,"AAAAAFW/elk=")</f>
        <v>#VALUE!</v>
      </c>
      <c r="CM98" t="e">
        <f>AND('UP133'!AN60,"AAAAAFW/elo=")</f>
        <v>#VALUE!</v>
      </c>
      <c r="CN98" t="e">
        <f>AND('UP133'!AO60,"AAAAAFW/els=")</f>
        <v>#VALUE!</v>
      </c>
      <c r="CO98" t="e">
        <f>AND('UP133'!AP60,"AAAAAFW/elw=")</f>
        <v>#VALUE!</v>
      </c>
      <c r="CP98" t="e">
        <f>AND('UP133'!AQ60,"AAAAAFW/el0=")</f>
        <v>#VALUE!</v>
      </c>
      <c r="CQ98" t="e">
        <f>AND('UP133'!AR60,"AAAAAFW/el4=")</f>
        <v>#VALUE!</v>
      </c>
      <c r="CR98" t="e">
        <f>AND('UP133'!AS60,"AAAAAFW/el8=")</f>
        <v>#VALUE!</v>
      </c>
      <c r="CS98" t="e">
        <f>AND('UP133'!AT60,"AAAAAFW/emA=")</f>
        <v>#VALUE!</v>
      </c>
      <c r="CT98" t="e">
        <f>AND('UP133'!AU60,"AAAAAFW/emE=")</f>
        <v>#VALUE!</v>
      </c>
      <c r="CU98" t="e">
        <f>AND('UP133'!AV60,"AAAAAFW/emI=")</f>
        <v>#VALUE!</v>
      </c>
      <c r="CV98" t="e">
        <f>AND('UP133'!AW60,"AAAAAFW/emM=")</f>
        <v>#VALUE!</v>
      </c>
      <c r="CW98" t="e">
        <f>AND('UP133'!AX60,"AAAAAFW/emQ=")</f>
        <v>#VALUE!</v>
      </c>
      <c r="CX98" t="e">
        <f>AND('UP133'!AY60,"AAAAAFW/emU=")</f>
        <v>#VALUE!</v>
      </c>
      <c r="CY98" t="e">
        <f>AND('UP133'!AZ60,"AAAAAFW/emY=")</f>
        <v>#VALUE!</v>
      </c>
      <c r="CZ98" t="e">
        <f>AND('UP133'!BA60,"AAAAAFW/emc=")</f>
        <v>#VALUE!</v>
      </c>
      <c r="DA98" t="e">
        <f>AND('UP133'!BB60,"AAAAAFW/emg=")</f>
        <v>#VALUE!</v>
      </c>
      <c r="DB98" t="e">
        <f>AND('UP133'!BC60,"AAAAAFW/emk=")</f>
        <v>#VALUE!</v>
      </c>
      <c r="DC98" t="e">
        <f>AND('UP133'!BD60,"AAAAAFW/emo=")</f>
        <v>#VALUE!</v>
      </c>
      <c r="DD98" t="e">
        <f>AND('UP133'!BE60,"AAAAAFW/ems=")</f>
        <v>#VALUE!</v>
      </c>
      <c r="DE98" t="e">
        <f>AND('UP133'!BF60,"AAAAAFW/emw=")</f>
        <v>#VALUE!</v>
      </c>
      <c r="DF98" t="e">
        <f>AND('UP133'!BG60,"AAAAAFW/em0=")</f>
        <v>#VALUE!</v>
      </c>
      <c r="DG98" t="e">
        <f>AND('UP133'!BH60,"AAAAAFW/em4=")</f>
        <v>#VALUE!</v>
      </c>
      <c r="DH98" t="e">
        <f>AND('UP133'!BI60,"AAAAAFW/em8=")</f>
        <v>#VALUE!</v>
      </c>
      <c r="DI98" t="e">
        <f>AND('UP133'!BJ60,"AAAAAFW/enA=")</f>
        <v>#VALUE!</v>
      </c>
      <c r="DJ98" t="e">
        <f>AND('UP133'!BK60,"AAAAAFW/enE=")</f>
        <v>#VALUE!</v>
      </c>
      <c r="DK98" t="e">
        <f>AND('UP133'!BL60,"AAAAAFW/enI=")</f>
        <v>#VALUE!</v>
      </c>
      <c r="DL98" t="e">
        <f>AND('UP133'!BM60,"AAAAAFW/enM=")</f>
        <v>#VALUE!</v>
      </c>
      <c r="DM98" t="e">
        <f>AND('UP133'!BN60,"AAAAAFW/enQ=")</f>
        <v>#VALUE!</v>
      </c>
      <c r="DN98" t="e">
        <f>AND('UP133'!BO60,"AAAAAFW/enU=")</f>
        <v>#VALUE!</v>
      </c>
      <c r="DO98" t="e">
        <f>AND('UP133'!BP60,"AAAAAFW/enY=")</f>
        <v>#VALUE!</v>
      </c>
      <c r="DP98" t="e">
        <f>AND('UP133'!BQ60,"AAAAAFW/enc=")</f>
        <v>#VALUE!</v>
      </c>
      <c r="DQ98" t="e">
        <f>AND('UP133'!BR60,"AAAAAFW/eng=")</f>
        <v>#VALUE!</v>
      </c>
      <c r="DR98" t="e">
        <f>AND('UP133'!BS60,"AAAAAFW/enk=")</f>
        <v>#VALUE!</v>
      </c>
      <c r="DS98" t="e">
        <f>AND('UP133'!BT60,"AAAAAFW/eno=")</f>
        <v>#VALUE!</v>
      </c>
      <c r="DT98" t="e">
        <f>AND('UP133'!BU60,"AAAAAFW/ens=")</f>
        <v>#VALUE!</v>
      </c>
      <c r="DU98" t="e">
        <f>AND('UP133'!BV60,"AAAAAFW/enw=")</f>
        <v>#VALUE!</v>
      </c>
      <c r="DV98" t="e">
        <f>AND('UP133'!BW60,"AAAAAFW/en0=")</f>
        <v>#VALUE!</v>
      </c>
      <c r="DW98" t="e">
        <f>AND('UP133'!BX60,"AAAAAFW/en4=")</f>
        <v>#VALUE!</v>
      </c>
      <c r="DX98" t="e">
        <f>AND('UP133'!BY60,"AAAAAFW/en8=")</f>
        <v>#VALUE!</v>
      </c>
      <c r="DY98" t="e">
        <f>AND('UP133'!BZ60,"AAAAAFW/eoA=")</f>
        <v>#VALUE!</v>
      </c>
      <c r="DZ98" t="e">
        <f>AND('UP133'!CA60,"AAAAAFW/eoE=")</f>
        <v>#VALUE!</v>
      </c>
      <c r="EA98" t="e">
        <f>AND('UP133'!CB60,"AAAAAFW/eoI=")</f>
        <v>#VALUE!</v>
      </c>
      <c r="EB98" t="e">
        <f>AND('UP133'!CC60,"AAAAAFW/eoM=")</f>
        <v>#VALUE!</v>
      </c>
      <c r="EC98" t="e">
        <f>AND('UP133'!CD60,"AAAAAFW/eoQ=")</f>
        <v>#VALUE!</v>
      </c>
      <c r="ED98" t="e">
        <f>AND('UP133'!CE60,"AAAAAFW/eoU=")</f>
        <v>#VALUE!</v>
      </c>
      <c r="EE98" t="e">
        <f>AND('UP133'!CF60,"AAAAAFW/eoY=")</f>
        <v>#VALUE!</v>
      </c>
      <c r="EF98" t="e">
        <f>AND('UP133'!CG60,"AAAAAFW/eoc=")</f>
        <v>#VALUE!</v>
      </c>
      <c r="EG98" t="e">
        <f>AND('UP133'!CH60,"AAAAAFW/eog=")</f>
        <v>#VALUE!</v>
      </c>
      <c r="EH98" t="e">
        <f>AND('UP133'!CI60,"AAAAAFW/eok=")</f>
        <v>#VALUE!</v>
      </c>
      <c r="EI98" t="e">
        <f>AND('UP133'!CJ60,"AAAAAFW/eoo=")</f>
        <v>#VALUE!</v>
      </c>
      <c r="EJ98" t="e">
        <f>AND('UP133'!CK60,"AAAAAFW/eos=")</f>
        <v>#VALUE!</v>
      </c>
      <c r="EK98" t="e">
        <f>AND('UP133'!CL60,"AAAAAFW/eow=")</f>
        <v>#VALUE!</v>
      </c>
      <c r="EL98" t="e">
        <f>AND('UP133'!CM60,"AAAAAFW/eo0=")</f>
        <v>#VALUE!</v>
      </c>
      <c r="EM98" t="e">
        <f>AND('UP133'!CN60,"AAAAAFW/eo4=")</f>
        <v>#VALUE!</v>
      </c>
      <c r="EN98" t="e">
        <f>AND('UP133'!CO60,"AAAAAFW/eo8=")</f>
        <v>#VALUE!</v>
      </c>
      <c r="EO98" t="e">
        <f>AND('UP133'!CP60,"AAAAAFW/epA=")</f>
        <v>#VALUE!</v>
      </c>
      <c r="EP98" t="e">
        <f>AND('UP133'!CQ60,"AAAAAFW/epE=")</f>
        <v>#VALUE!</v>
      </c>
      <c r="EQ98" t="e">
        <f>AND('UP133'!CR60,"AAAAAFW/epI=")</f>
        <v>#VALUE!</v>
      </c>
      <c r="ER98" t="e">
        <f>AND('UP133'!CS60,"AAAAAFW/epM=")</f>
        <v>#VALUE!</v>
      </c>
      <c r="ES98" t="e">
        <f>AND('UP133'!CT60,"AAAAAFW/epQ=")</f>
        <v>#VALUE!</v>
      </c>
      <c r="ET98" t="e">
        <f>AND('UP133'!CU60,"AAAAAFW/epU=")</f>
        <v>#VALUE!</v>
      </c>
      <c r="EU98" t="e">
        <f>AND('UP133'!CV60,"AAAAAFW/epY=")</f>
        <v>#VALUE!</v>
      </c>
      <c r="EV98" t="e">
        <f>AND('UP133'!CW60,"AAAAAFW/epc=")</f>
        <v>#VALUE!</v>
      </c>
      <c r="EW98" t="e">
        <f>AND('UP133'!CX60,"AAAAAFW/epg=")</f>
        <v>#VALUE!</v>
      </c>
      <c r="EX98" t="e">
        <f>AND('UP133'!CY60,"AAAAAFW/epk=")</f>
        <v>#VALUE!</v>
      </c>
      <c r="EY98" t="e">
        <f>AND('UP133'!CZ60,"AAAAAFW/epo=")</f>
        <v>#VALUE!</v>
      </c>
      <c r="EZ98" t="e">
        <f>AND('UP133'!DA60,"AAAAAFW/eps=")</f>
        <v>#VALUE!</v>
      </c>
      <c r="FA98" t="e">
        <f>AND('UP133'!DB60,"AAAAAFW/epw=")</f>
        <v>#VALUE!</v>
      </c>
      <c r="FB98" t="e">
        <f>AND('UP133'!DC60,"AAAAAFW/ep0=")</f>
        <v>#VALUE!</v>
      </c>
      <c r="FC98" t="e">
        <f>AND('UP133'!DD60,"AAAAAFW/ep4=")</f>
        <v>#VALUE!</v>
      </c>
      <c r="FD98" t="e">
        <f>AND('UP133'!DE60,"AAAAAFW/ep8=")</f>
        <v>#VALUE!</v>
      </c>
      <c r="FE98" t="e">
        <f>AND('UP133'!DF60,"AAAAAFW/eqA=")</f>
        <v>#VALUE!</v>
      </c>
      <c r="FF98" t="e">
        <f>AND('UP133'!DG60,"AAAAAFW/eqE=")</f>
        <v>#VALUE!</v>
      </c>
      <c r="FG98" t="e">
        <f>AND('UP133'!DH60,"AAAAAFW/eqI=")</f>
        <v>#VALUE!</v>
      </c>
      <c r="FH98" t="e">
        <f>AND('UP133'!DI60,"AAAAAFW/eqM=")</f>
        <v>#VALUE!</v>
      </c>
      <c r="FI98" t="e">
        <f>AND('UP133'!DJ60,"AAAAAFW/eqQ=")</f>
        <v>#VALUE!</v>
      </c>
      <c r="FJ98" t="e">
        <f>AND('UP133'!DK60,"AAAAAFW/eqU=")</f>
        <v>#VALUE!</v>
      </c>
      <c r="FK98" t="e">
        <f>AND('UP133'!DL60,"AAAAAFW/eqY=")</f>
        <v>#VALUE!</v>
      </c>
      <c r="FL98" t="e">
        <f>AND('UP133'!DM60,"AAAAAFW/eqc=")</f>
        <v>#VALUE!</v>
      </c>
      <c r="FM98" t="e">
        <f>AND('UP133'!DN60,"AAAAAFW/eqg=")</f>
        <v>#VALUE!</v>
      </c>
      <c r="FN98" t="e">
        <f>AND('UP133'!DO60,"AAAAAFW/eqk=")</f>
        <v>#VALUE!</v>
      </c>
      <c r="FO98" t="e">
        <f>AND('UP133'!DP60,"AAAAAFW/eqo=")</f>
        <v>#VALUE!</v>
      </c>
      <c r="FP98" t="e">
        <f>AND('UP133'!DQ60,"AAAAAFW/eqs=")</f>
        <v>#VALUE!</v>
      </c>
      <c r="FQ98" t="e">
        <f>AND('UP133'!DR60,"AAAAAFW/eqw=")</f>
        <v>#VALUE!</v>
      </c>
      <c r="FR98" t="e">
        <f>AND('UP133'!DS60,"AAAAAFW/eq0=")</f>
        <v>#VALUE!</v>
      </c>
      <c r="FS98" t="e">
        <f>AND('UP133'!DT60,"AAAAAFW/eq4=")</f>
        <v>#VALUE!</v>
      </c>
      <c r="FT98" t="e">
        <f>AND('UP133'!DU60,"AAAAAFW/eq8=")</f>
        <v>#VALUE!</v>
      </c>
      <c r="FU98" t="e">
        <f>AND('UP133'!DV60,"AAAAAFW/erA=")</f>
        <v>#VALUE!</v>
      </c>
      <c r="FV98" t="e">
        <f>AND('UP133'!DW60,"AAAAAFW/erE=")</f>
        <v>#VALUE!</v>
      </c>
      <c r="FW98" t="e">
        <f>AND('UP133'!DX60,"AAAAAFW/erI=")</f>
        <v>#VALUE!</v>
      </c>
      <c r="FX98" t="e">
        <f>AND('UP133'!DY60,"AAAAAFW/erM=")</f>
        <v>#VALUE!</v>
      </c>
      <c r="FY98" t="e">
        <f>AND('UP133'!DZ60,"AAAAAFW/erQ=")</f>
        <v>#VALUE!</v>
      </c>
      <c r="FZ98" t="e">
        <f>AND('UP133'!EA60,"AAAAAFW/erU=")</f>
        <v>#VALUE!</v>
      </c>
      <c r="GA98" t="e">
        <f>AND('UP133'!EB60,"AAAAAFW/erY=")</f>
        <v>#VALUE!</v>
      </c>
      <c r="GB98" t="e">
        <f>AND('UP133'!EC60,"AAAAAFW/erc=")</f>
        <v>#VALUE!</v>
      </c>
      <c r="GC98" t="e">
        <f>AND('UP133'!ED60,"AAAAAFW/erg=")</f>
        <v>#VALUE!</v>
      </c>
      <c r="GD98" t="e">
        <f>AND('UP133'!EE60,"AAAAAFW/erk=")</f>
        <v>#VALUE!</v>
      </c>
      <c r="GE98" t="e">
        <f>AND('UP133'!EF60,"AAAAAFW/ero=")</f>
        <v>#VALUE!</v>
      </c>
      <c r="GF98" t="e">
        <f>AND('UP133'!EG60,"AAAAAFW/ers=")</f>
        <v>#VALUE!</v>
      </c>
      <c r="GG98" t="e">
        <f>AND('UP133'!EH60,"AAAAAFW/erw=")</f>
        <v>#VALUE!</v>
      </c>
      <c r="GH98" t="e">
        <f>AND('UP133'!EI60,"AAAAAFW/er0=")</f>
        <v>#VALUE!</v>
      </c>
      <c r="GI98" t="e">
        <f>AND('UP133'!EJ60,"AAAAAFW/er4=")</f>
        <v>#VALUE!</v>
      </c>
      <c r="GJ98" t="e">
        <f>AND('UP133'!EK60,"AAAAAFW/er8=")</f>
        <v>#VALUE!</v>
      </c>
      <c r="GK98" t="e">
        <f>AND('UP133'!EL60,"AAAAAFW/esA=")</f>
        <v>#VALUE!</v>
      </c>
      <c r="GL98" t="e">
        <f>AND('UP133'!EM60,"AAAAAFW/esE=")</f>
        <v>#VALUE!</v>
      </c>
      <c r="GM98" t="e">
        <f>AND('UP133'!EN60,"AAAAAFW/esI=")</f>
        <v>#VALUE!</v>
      </c>
      <c r="GN98" t="e">
        <f>AND('UP133'!EO60,"AAAAAFW/esM=")</f>
        <v>#VALUE!</v>
      </c>
      <c r="GO98" t="e">
        <f>AND('UP133'!EP60,"AAAAAFW/esQ=")</f>
        <v>#VALUE!</v>
      </c>
      <c r="GP98" t="e">
        <f>AND('UP133'!EQ60,"AAAAAFW/esU=")</f>
        <v>#VALUE!</v>
      </c>
      <c r="GQ98" t="e">
        <f>AND('UP133'!ER60,"AAAAAFW/esY=")</f>
        <v>#VALUE!</v>
      </c>
      <c r="GR98" t="e">
        <f>AND('UP133'!ES60,"AAAAAFW/esc=")</f>
        <v>#VALUE!</v>
      </c>
      <c r="GS98" t="e">
        <f>AND('UP133'!ET60,"AAAAAFW/esg=")</f>
        <v>#VALUE!</v>
      </c>
      <c r="GT98" t="e">
        <f>AND('UP133'!EU60,"AAAAAFW/esk=")</f>
        <v>#VALUE!</v>
      </c>
      <c r="GU98" t="e">
        <f>AND('UP133'!EV60,"AAAAAFW/eso=")</f>
        <v>#VALUE!</v>
      </c>
      <c r="GV98" t="e">
        <f>AND('UP133'!EW60,"AAAAAFW/ess=")</f>
        <v>#VALUE!</v>
      </c>
      <c r="GW98" t="e">
        <f>AND('UP133'!EX60,"AAAAAFW/esw=")</f>
        <v>#VALUE!</v>
      </c>
      <c r="GX98" t="e">
        <f>AND('UP133'!EY60,"AAAAAFW/es0=")</f>
        <v>#VALUE!</v>
      </c>
      <c r="GY98" t="e">
        <f>AND('UP133'!EZ60,"AAAAAFW/es4=")</f>
        <v>#VALUE!</v>
      </c>
      <c r="GZ98" t="e">
        <f>AND('UP133'!FA60,"AAAAAFW/es8=")</f>
        <v>#VALUE!</v>
      </c>
      <c r="HA98" t="e">
        <f>AND('UP133'!FB60,"AAAAAFW/etA=")</f>
        <v>#VALUE!</v>
      </c>
      <c r="HB98" t="e">
        <f>AND('UP133'!FC60,"AAAAAFW/etE=")</f>
        <v>#VALUE!</v>
      </c>
      <c r="HC98" t="e">
        <f>AND('UP133'!FD60,"AAAAAFW/etI=")</f>
        <v>#VALUE!</v>
      </c>
      <c r="HD98" t="e">
        <f>AND('UP133'!FE60,"AAAAAFW/etM=")</f>
        <v>#VALUE!</v>
      </c>
      <c r="HE98" t="e">
        <f>AND('UP133'!FF60,"AAAAAFW/etQ=")</f>
        <v>#VALUE!</v>
      </c>
      <c r="HF98" t="e">
        <f>AND('UP133'!FG60,"AAAAAFW/etU=")</f>
        <v>#VALUE!</v>
      </c>
      <c r="HG98" t="e">
        <f>AND('UP133'!FH60,"AAAAAFW/etY=")</f>
        <v>#VALUE!</v>
      </c>
      <c r="HH98" t="e">
        <f>AND('UP133'!FI60,"AAAAAFW/etc=")</f>
        <v>#VALUE!</v>
      </c>
      <c r="HI98" t="e">
        <f>AND('UP133'!FJ60,"AAAAAFW/etg=")</f>
        <v>#VALUE!</v>
      </c>
      <c r="HJ98" t="e">
        <f>AND('UP133'!FK60,"AAAAAFW/etk=")</f>
        <v>#VALUE!</v>
      </c>
      <c r="HK98" t="e">
        <f>AND('UP133'!FL60,"AAAAAFW/eto=")</f>
        <v>#VALUE!</v>
      </c>
      <c r="HL98" t="e">
        <f>AND('UP133'!FM60,"AAAAAFW/ets=")</f>
        <v>#VALUE!</v>
      </c>
      <c r="HM98" t="e">
        <f>AND('UP133'!FN60,"AAAAAFW/etw=")</f>
        <v>#VALUE!</v>
      </c>
      <c r="HN98" t="e">
        <f>AND('UP133'!FO60,"AAAAAFW/et0=")</f>
        <v>#VALUE!</v>
      </c>
      <c r="HO98" t="e">
        <f>AND('UP133'!FP60,"AAAAAFW/et4=")</f>
        <v>#VALUE!</v>
      </c>
      <c r="HP98" t="e">
        <f>AND('UP133'!FQ60,"AAAAAFW/et8=")</f>
        <v>#VALUE!</v>
      </c>
      <c r="HQ98" t="e">
        <f>AND('UP133'!FR60,"AAAAAFW/euA=")</f>
        <v>#VALUE!</v>
      </c>
      <c r="HR98" t="e">
        <f>AND('UP133'!FS60,"AAAAAFW/euE=")</f>
        <v>#VALUE!</v>
      </c>
      <c r="HS98" t="e">
        <f>AND('UP133'!FT60,"AAAAAFW/euI=")</f>
        <v>#VALUE!</v>
      </c>
      <c r="HT98" t="e">
        <f>AND('UP133'!FU60,"AAAAAFW/euM=")</f>
        <v>#VALUE!</v>
      </c>
      <c r="HU98" t="e">
        <f>AND('UP133'!FV60,"AAAAAFW/euQ=")</f>
        <v>#VALUE!</v>
      </c>
      <c r="HV98" t="e">
        <f>AND('UP133'!FW60,"AAAAAFW/euU=")</f>
        <v>#VALUE!</v>
      </c>
      <c r="HW98" t="e">
        <f>AND('UP133'!FX60,"AAAAAFW/euY=")</f>
        <v>#VALUE!</v>
      </c>
      <c r="HX98" t="e">
        <f>AND('UP133'!FY60,"AAAAAFW/euc=")</f>
        <v>#VALUE!</v>
      </c>
      <c r="HY98" t="e">
        <f>AND('UP133'!FZ60,"AAAAAFW/eug=")</f>
        <v>#VALUE!</v>
      </c>
      <c r="HZ98" t="e">
        <f>AND('UP133'!GA60,"AAAAAFW/euk=")</f>
        <v>#VALUE!</v>
      </c>
      <c r="IA98" t="e">
        <f>AND('UP133'!GB60,"AAAAAFW/euo=")</f>
        <v>#VALUE!</v>
      </c>
      <c r="IB98" t="e">
        <f>AND('UP133'!GC60,"AAAAAFW/eus=")</f>
        <v>#VALUE!</v>
      </c>
      <c r="IC98" t="e">
        <f>AND('UP133'!GD60,"AAAAAFW/euw=")</f>
        <v>#VALUE!</v>
      </c>
      <c r="ID98" t="e">
        <f>AND('UP133'!GE60,"AAAAAFW/eu0=")</f>
        <v>#VALUE!</v>
      </c>
      <c r="IE98" t="e">
        <f>AND('UP133'!GF60,"AAAAAFW/eu4=")</f>
        <v>#VALUE!</v>
      </c>
      <c r="IF98" t="e">
        <f>AND('UP133'!GG60,"AAAAAFW/eu8=")</f>
        <v>#VALUE!</v>
      </c>
      <c r="IG98" t="e">
        <f>AND('UP133'!GH60,"AAAAAFW/evA=")</f>
        <v>#VALUE!</v>
      </c>
      <c r="IH98" t="e">
        <f>AND('UP133'!GI60,"AAAAAFW/evE=")</f>
        <v>#VALUE!</v>
      </c>
      <c r="II98" t="e">
        <f>AND('UP133'!GJ60,"AAAAAFW/evI=")</f>
        <v>#VALUE!</v>
      </c>
      <c r="IJ98" t="e">
        <f>AND('UP133'!GK60,"AAAAAFW/evM=")</f>
        <v>#VALUE!</v>
      </c>
      <c r="IK98" t="e">
        <f>AND('UP133'!GL60,"AAAAAFW/evQ=")</f>
        <v>#VALUE!</v>
      </c>
      <c r="IL98" t="e">
        <f>AND('UP133'!GM60,"AAAAAFW/evU=")</f>
        <v>#VALUE!</v>
      </c>
      <c r="IM98" t="e">
        <f>AND('UP133'!GN60,"AAAAAFW/evY=")</f>
        <v>#VALUE!</v>
      </c>
      <c r="IN98" t="e">
        <f>AND('UP133'!GO60,"AAAAAFW/evc=")</f>
        <v>#VALUE!</v>
      </c>
      <c r="IO98" t="e">
        <f>AND('UP133'!GP60,"AAAAAFW/evg=")</f>
        <v>#VALUE!</v>
      </c>
      <c r="IP98" t="e">
        <f>AND('UP133'!GQ60,"AAAAAFW/evk=")</f>
        <v>#VALUE!</v>
      </c>
      <c r="IQ98" t="e">
        <f>AND('UP133'!GR60,"AAAAAFW/evo=")</f>
        <v>#VALUE!</v>
      </c>
      <c r="IR98" t="e">
        <f>AND('UP133'!GS60,"AAAAAFW/evs=")</f>
        <v>#VALUE!</v>
      </c>
      <c r="IS98" t="e">
        <f>AND('UP133'!GT60,"AAAAAFW/evw=")</f>
        <v>#VALUE!</v>
      </c>
      <c r="IT98" t="e">
        <f>AND('UP133'!GU60,"AAAAAFW/ev0=")</f>
        <v>#VALUE!</v>
      </c>
      <c r="IU98" t="e">
        <f>AND('UP133'!GV60,"AAAAAFW/ev4=")</f>
        <v>#VALUE!</v>
      </c>
      <c r="IV98" t="e">
        <f>AND('UP133'!GW60,"AAAAAFW/ev8=")</f>
        <v>#VALUE!</v>
      </c>
    </row>
    <row r="99" spans="1:256">
      <c r="A99" t="e">
        <f>AND('UP133'!GX60,"AAAAAD9/XgA=")</f>
        <v>#VALUE!</v>
      </c>
      <c r="B99" t="e">
        <f>AND('UP133'!GY60,"AAAAAD9/XgE=")</f>
        <v>#VALUE!</v>
      </c>
      <c r="C99" t="e">
        <f>AND('UP133'!GZ60,"AAAAAD9/XgI=")</f>
        <v>#VALUE!</v>
      </c>
      <c r="D99" t="e">
        <f>AND('UP133'!HA60,"AAAAAD9/XgM=")</f>
        <v>#VALUE!</v>
      </c>
      <c r="E99" t="e">
        <f>AND('UP133'!HB60,"AAAAAD9/XgQ=")</f>
        <v>#VALUE!</v>
      </c>
      <c r="F99" t="e">
        <f>AND('UP133'!HC60,"AAAAAD9/XgU=")</f>
        <v>#VALUE!</v>
      </c>
      <c r="G99" t="e">
        <f>AND('UP133'!HD60,"AAAAAD9/XgY=")</f>
        <v>#VALUE!</v>
      </c>
      <c r="H99" t="e">
        <f>AND('UP133'!HE60,"AAAAAD9/Xgc=")</f>
        <v>#VALUE!</v>
      </c>
      <c r="I99" t="e">
        <f>AND('UP133'!HF60,"AAAAAD9/Xgg=")</f>
        <v>#VALUE!</v>
      </c>
      <c r="J99" t="e">
        <f>AND('UP133'!HG60,"AAAAAD9/Xgk=")</f>
        <v>#VALUE!</v>
      </c>
      <c r="K99" t="e">
        <f>AND('UP133'!HH60,"AAAAAD9/Xgo=")</f>
        <v>#VALUE!</v>
      </c>
      <c r="L99" t="e">
        <f>AND('UP133'!HI60,"AAAAAD9/Xgs=")</f>
        <v>#VALUE!</v>
      </c>
      <c r="M99" t="e">
        <f>AND('UP133'!HJ60,"AAAAAD9/Xgw=")</f>
        <v>#VALUE!</v>
      </c>
      <c r="N99" t="e">
        <f>AND('UP133'!HK60,"AAAAAD9/Xg0=")</f>
        <v>#VALUE!</v>
      </c>
      <c r="O99" t="e">
        <f>AND('UP133'!HL60,"AAAAAD9/Xg4=")</f>
        <v>#VALUE!</v>
      </c>
      <c r="P99" t="e">
        <f>AND('UP133'!HM60,"AAAAAD9/Xg8=")</f>
        <v>#VALUE!</v>
      </c>
      <c r="Q99" t="e">
        <f>AND('UP133'!HN60,"AAAAAD9/XhA=")</f>
        <v>#VALUE!</v>
      </c>
      <c r="R99" t="e">
        <f>AND('UP133'!HO60,"AAAAAD9/XhE=")</f>
        <v>#VALUE!</v>
      </c>
      <c r="S99" t="e">
        <f>AND('UP133'!HP60,"AAAAAD9/XhI=")</f>
        <v>#VALUE!</v>
      </c>
      <c r="T99" t="e">
        <f>AND('UP133'!HQ60,"AAAAAD9/XhM=")</f>
        <v>#VALUE!</v>
      </c>
      <c r="U99" t="e">
        <f>AND('UP133'!HR60,"AAAAAD9/XhQ=")</f>
        <v>#VALUE!</v>
      </c>
      <c r="V99" t="e">
        <f>AND('UP133'!HS60,"AAAAAD9/XhU=")</f>
        <v>#VALUE!</v>
      </c>
      <c r="W99" t="e">
        <f>AND('UP133'!HT60,"AAAAAD9/XhY=")</f>
        <v>#VALUE!</v>
      </c>
      <c r="X99" t="e">
        <f>AND('UP133'!HU60,"AAAAAD9/Xhc=")</f>
        <v>#VALUE!</v>
      </c>
      <c r="Y99" t="e">
        <f>AND('UP133'!HV60,"AAAAAD9/Xhg=")</f>
        <v>#VALUE!</v>
      </c>
      <c r="Z99" t="e">
        <f>AND('UP133'!HW60,"AAAAAD9/Xhk=")</f>
        <v>#VALUE!</v>
      </c>
      <c r="AA99" t="e">
        <f>AND('UP133'!HX60,"AAAAAD9/Xho=")</f>
        <v>#VALUE!</v>
      </c>
      <c r="AB99" t="e">
        <f>AND('UP133'!HY60,"AAAAAD9/Xhs=")</f>
        <v>#VALUE!</v>
      </c>
      <c r="AC99" t="e">
        <f>AND('UP133'!HZ60,"AAAAAD9/Xhw=")</f>
        <v>#VALUE!</v>
      </c>
      <c r="AD99" t="e">
        <f>AND('UP133'!IA60,"AAAAAD9/Xh0=")</f>
        <v>#VALUE!</v>
      </c>
      <c r="AE99" t="e">
        <f>AND('UP133'!IB60,"AAAAAD9/Xh4=")</f>
        <v>#VALUE!</v>
      </c>
      <c r="AF99" t="e">
        <f>AND('UP133'!IC60,"AAAAAD9/Xh8=")</f>
        <v>#VALUE!</v>
      </c>
      <c r="AG99" t="e">
        <f>AND('UP133'!ID60,"AAAAAD9/XiA=")</f>
        <v>#VALUE!</v>
      </c>
      <c r="AH99" t="e">
        <f>AND('UP133'!IE60,"AAAAAD9/XiE=")</f>
        <v>#VALUE!</v>
      </c>
      <c r="AI99" t="e">
        <f>AND('UP133'!IF60,"AAAAAD9/XiI=")</f>
        <v>#VALUE!</v>
      </c>
      <c r="AJ99" t="e">
        <f>AND('UP133'!IG60,"AAAAAD9/XiM=")</f>
        <v>#VALUE!</v>
      </c>
      <c r="AK99" t="e">
        <f>AND('UP133'!IH60,"AAAAAD9/XiQ=")</f>
        <v>#VALUE!</v>
      </c>
      <c r="AL99" t="e">
        <f>AND('UP133'!II60,"AAAAAD9/XiU=")</f>
        <v>#VALUE!</v>
      </c>
      <c r="AM99" t="e">
        <f>AND('UP133'!IJ60,"AAAAAD9/XiY=")</f>
        <v>#VALUE!</v>
      </c>
      <c r="AN99" t="e">
        <f>AND('UP133'!IK60,"AAAAAD9/Xic=")</f>
        <v>#VALUE!</v>
      </c>
      <c r="AO99" t="e">
        <f>AND('UP133'!IL60,"AAAAAD9/Xig=")</f>
        <v>#VALUE!</v>
      </c>
      <c r="AP99" t="e">
        <f>AND('UP133'!IM60,"AAAAAD9/Xik=")</f>
        <v>#VALUE!</v>
      </c>
      <c r="AQ99" t="e">
        <f>AND('UP133'!IN60,"AAAAAD9/Xio=")</f>
        <v>#VALUE!</v>
      </c>
      <c r="AR99" t="e">
        <f>AND('UP133'!IO60,"AAAAAD9/Xis=")</f>
        <v>#VALUE!</v>
      </c>
      <c r="AS99" t="e">
        <f>AND('UP133'!IP60,"AAAAAD9/Xiw=")</f>
        <v>#VALUE!</v>
      </c>
      <c r="AT99" t="e">
        <f>AND('UP133'!IQ60,"AAAAAD9/Xi0=")</f>
        <v>#VALUE!</v>
      </c>
      <c r="AU99">
        <f>IF('UP133'!61:61,"AAAAAD9/Xi4=",0)</f>
        <v>0</v>
      </c>
      <c r="AV99" t="e">
        <f>AND('UP133'!A61,"AAAAAD9/Xi8=")</f>
        <v>#VALUE!</v>
      </c>
      <c r="AW99" t="e">
        <f>AND('UP133'!B61,"AAAAAD9/XjA=")</f>
        <v>#VALUE!</v>
      </c>
      <c r="AX99" t="e">
        <f>AND('UP133'!C61,"AAAAAD9/XjE=")</f>
        <v>#VALUE!</v>
      </c>
      <c r="AY99" t="e">
        <f>AND('UP133'!D61,"AAAAAD9/XjI=")</f>
        <v>#VALUE!</v>
      </c>
      <c r="AZ99" t="e">
        <f>AND('UP133'!E61,"AAAAAD9/XjM=")</f>
        <v>#VALUE!</v>
      </c>
      <c r="BA99" t="e">
        <f>AND('UP133'!F61,"AAAAAD9/XjQ=")</f>
        <v>#VALUE!</v>
      </c>
      <c r="BB99" t="e">
        <f>AND('UP133'!G61,"AAAAAD9/XjU=")</f>
        <v>#VALUE!</v>
      </c>
      <c r="BC99" t="e">
        <f>AND('UP133'!H61,"AAAAAD9/XjY=")</f>
        <v>#VALUE!</v>
      </c>
      <c r="BD99" t="e">
        <f>AND('UP133'!I61,"AAAAAD9/Xjc=")</f>
        <v>#VALUE!</v>
      </c>
      <c r="BE99" t="e">
        <f>AND('UP133'!J61,"AAAAAD9/Xjg=")</f>
        <v>#VALUE!</v>
      </c>
      <c r="BF99" t="e">
        <f>AND('UP133'!K61,"AAAAAD9/Xjk=")</f>
        <v>#VALUE!</v>
      </c>
      <c r="BG99" t="e">
        <f>AND('UP133'!L61,"AAAAAD9/Xjo=")</f>
        <v>#VALUE!</v>
      </c>
      <c r="BH99" t="e">
        <f>AND('UP133'!M61,"AAAAAD9/Xjs=")</f>
        <v>#VALUE!</v>
      </c>
      <c r="BI99" t="e">
        <f>AND('UP133'!N61,"AAAAAD9/Xjw=")</f>
        <v>#VALUE!</v>
      </c>
      <c r="BJ99" t="e">
        <f>AND('UP133'!O61,"AAAAAD9/Xj0=")</f>
        <v>#VALUE!</v>
      </c>
      <c r="BK99" t="e">
        <f>AND('UP133'!P61,"AAAAAD9/Xj4=")</f>
        <v>#VALUE!</v>
      </c>
      <c r="BL99" t="e">
        <f>AND('UP133'!Q61,"AAAAAD9/Xj8=")</f>
        <v>#VALUE!</v>
      </c>
      <c r="BM99" t="e">
        <f>AND('UP133'!R61,"AAAAAD9/XkA=")</f>
        <v>#VALUE!</v>
      </c>
      <c r="BN99" t="e">
        <f>AND('UP133'!S61,"AAAAAD9/XkE=")</f>
        <v>#VALUE!</v>
      </c>
      <c r="BO99" t="e">
        <f>AND('UP133'!T61,"AAAAAD9/XkI=")</f>
        <v>#VALUE!</v>
      </c>
      <c r="BP99" t="e">
        <f>AND('UP133'!U61,"AAAAAD9/XkM=")</f>
        <v>#VALUE!</v>
      </c>
      <c r="BQ99" t="e">
        <f>AND('UP133'!V61,"AAAAAD9/XkQ=")</f>
        <v>#VALUE!</v>
      </c>
      <c r="BR99" t="e">
        <f>AND('UP133'!W61,"AAAAAD9/XkU=")</f>
        <v>#VALUE!</v>
      </c>
      <c r="BS99" t="e">
        <f>AND('UP133'!X61,"AAAAAD9/XkY=")</f>
        <v>#VALUE!</v>
      </c>
      <c r="BT99" t="e">
        <f>AND('UP133'!Y61,"AAAAAD9/Xkc=")</f>
        <v>#VALUE!</v>
      </c>
      <c r="BU99" t="e">
        <f>AND('UP133'!Z61,"AAAAAD9/Xkg=")</f>
        <v>#VALUE!</v>
      </c>
      <c r="BV99" t="e">
        <f>AND('UP133'!AA61,"AAAAAD9/Xkk=")</f>
        <v>#VALUE!</v>
      </c>
      <c r="BW99" t="e">
        <f>AND('UP133'!AB61,"AAAAAD9/Xko=")</f>
        <v>#VALUE!</v>
      </c>
      <c r="BX99" t="e">
        <f>AND('UP133'!AC61,"AAAAAD9/Xks=")</f>
        <v>#VALUE!</v>
      </c>
      <c r="BY99" t="e">
        <f>AND('UP133'!AD61,"AAAAAD9/Xkw=")</f>
        <v>#VALUE!</v>
      </c>
      <c r="BZ99" t="e">
        <f>AND('UP133'!AE61,"AAAAAD9/Xk0=")</f>
        <v>#VALUE!</v>
      </c>
      <c r="CA99" t="e">
        <f>AND('UP133'!AF61,"AAAAAD9/Xk4=")</f>
        <v>#VALUE!</v>
      </c>
      <c r="CB99" t="e">
        <f>AND('UP133'!AG61,"AAAAAD9/Xk8=")</f>
        <v>#VALUE!</v>
      </c>
      <c r="CC99" t="e">
        <f>AND('UP133'!AH61,"AAAAAD9/XlA=")</f>
        <v>#VALUE!</v>
      </c>
      <c r="CD99" t="e">
        <f>AND('UP133'!AI61,"AAAAAD9/XlE=")</f>
        <v>#VALUE!</v>
      </c>
      <c r="CE99" t="e">
        <f>AND('UP133'!AJ61,"AAAAAD9/XlI=")</f>
        <v>#VALUE!</v>
      </c>
      <c r="CF99" t="e">
        <f>AND('UP133'!AK61,"AAAAAD9/XlM=")</f>
        <v>#VALUE!</v>
      </c>
      <c r="CG99" t="e">
        <f>AND('UP133'!AL61,"AAAAAD9/XlQ=")</f>
        <v>#VALUE!</v>
      </c>
      <c r="CH99" t="e">
        <f>AND('UP133'!AM61,"AAAAAD9/XlU=")</f>
        <v>#VALUE!</v>
      </c>
      <c r="CI99" t="e">
        <f>AND('UP133'!AN61,"AAAAAD9/XlY=")</f>
        <v>#VALUE!</v>
      </c>
      <c r="CJ99" t="e">
        <f>AND('UP133'!AO61,"AAAAAD9/Xlc=")</f>
        <v>#VALUE!</v>
      </c>
      <c r="CK99" t="e">
        <f>AND('UP133'!AP61,"AAAAAD9/Xlg=")</f>
        <v>#VALUE!</v>
      </c>
      <c r="CL99" t="e">
        <f>AND('UP133'!AQ61,"AAAAAD9/Xlk=")</f>
        <v>#VALUE!</v>
      </c>
      <c r="CM99" t="e">
        <f>AND('UP133'!AR61,"AAAAAD9/Xlo=")</f>
        <v>#VALUE!</v>
      </c>
      <c r="CN99" t="e">
        <f>AND('UP133'!AS61,"AAAAAD9/Xls=")</f>
        <v>#VALUE!</v>
      </c>
      <c r="CO99" t="e">
        <f>AND('UP133'!AT61,"AAAAAD9/Xlw=")</f>
        <v>#VALUE!</v>
      </c>
      <c r="CP99" t="e">
        <f>AND('UP133'!AU61,"AAAAAD9/Xl0=")</f>
        <v>#VALUE!</v>
      </c>
      <c r="CQ99" t="e">
        <f>AND('UP133'!AV61,"AAAAAD9/Xl4=")</f>
        <v>#VALUE!</v>
      </c>
      <c r="CR99" t="e">
        <f>AND('UP133'!AW61,"AAAAAD9/Xl8=")</f>
        <v>#VALUE!</v>
      </c>
      <c r="CS99" t="e">
        <f>AND('UP133'!AX61,"AAAAAD9/XmA=")</f>
        <v>#VALUE!</v>
      </c>
      <c r="CT99" t="e">
        <f>AND('UP133'!AY61,"AAAAAD9/XmE=")</f>
        <v>#VALUE!</v>
      </c>
      <c r="CU99" t="e">
        <f>AND('UP133'!AZ61,"AAAAAD9/XmI=")</f>
        <v>#VALUE!</v>
      </c>
      <c r="CV99" t="e">
        <f>AND('UP133'!BA61,"AAAAAD9/XmM=")</f>
        <v>#VALUE!</v>
      </c>
      <c r="CW99" t="e">
        <f>AND('UP133'!BB61,"AAAAAD9/XmQ=")</f>
        <v>#VALUE!</v>
      </c>
      <c r="CX99" t="e">
        <f>AND('UP133'!BC61,"AAAAAD9/XmU=")</f>
        <v>#VALUE!</v>
      </c>
      <c r="CY99" t="e">
        <f>AND('UP133'!BD61,"AAAAAD9/XmY=")</f>
        <v>#VALUE!</v>
      </c>
      <c r="CZ99" t="e">
        <f>AND('UP133'!BE61,"AAAAAD9/Xmc=")</f>
        <v>#VALUE!</v>
      </c>
      <c r="DA99" t="e">
        <f>AND('UP133'!BF61,"AAAAAD9/Xmg=")</f>
        <v>#VALUE!</v>
      </c>
      <c r="DB99" t="e">
        <f>AND('UP133'!BG61,"AAAAAD9/Xmk=")</f>
        <v>#VALUE!</v>
      </c>
      <c r="DC99" t="e">
        <f>AND('UP133'!BH61,"AAAAAD9/Xmo=")</f>
        <v>#VALUE!</v>
      </c>
      <c r="DD99" t="e">
        <f>AND('UP133'!BI61,"AAAAAD9/Xms=")</f>
        <v>#VALUE!</v>
      </c>
      <c r="DE99" t="e">
        <f>AND('UP133'!BJ61,"AAAAAD9/Xmw=")</f>
        <v>#VALUE!</v>
      </c>
      <c r="DF99" t="e">
        <f>AND('UP133'!BK61,"AAAAAD9/Xm0=")</f>
        <v>#VALUE!</v>
      </c>
      <c r="DG99" t="e">
        <f>AND('UP133'!BL61,"AAAAAD9/Xm4=")</f>
        <v>#VALUE!</v>
      </c>
      <c r="DH99" t="e">
        <f>AND('UP133'!BM61,"AAAAAD9/Xm8=")</f>
        <v>#VALUE!</v>
      </c>
      <c r="DI99" t="e">
        <f>AND('UP133'!BN61,"AAAAAD9/XnA=")</f>
        <v>#VALUE!</v>
      </c>
      <c r="DJ99" t="e">
        <f>AND('UP133'!BO61,"AAAAAD9/XnE=")</f>
        <v>#VALUE!</v>
      </c>
      <c r="DK99" t="e">
        <f>AND('UP133'!BP61,"AAAAAD9/XnI=")</f>
        <v>#VALUE!</v>
      </c>
      <c r="DL99" t="e">
        <f>AND('UP133'!BQ61,"AAAAAD9/XnM=")</f>
        <v>#VALUE!</v>
      </c>
      <c r="DM99" t="e">
        <f>AND('UP133'!BR61,"AAAAAD9/XnQ=")</f>
        <v>#VALUE!</v>
      </c>
      <c r="DN99" t="e">
        <f>AND('UP133'!BS61,"AAAAAD9/XnU=")</f>
        <v>#VALUE!</v>
      </c>
      <c r="DO99" t="e">
        <f>AND('UP133'!BT61,"AAAAAD9/XnY=")</f>
        <v>#VALUE!</v>
      </c>
      <c r="DP99" t="e">
        <f>AND('UP133'!BU61,"AAAAAD9/Xnc=")</f>
        <v>#VALUE!</v>
      </c>
      <c r="DQ99" t="e">
        <f>AND('UP133'!BV61,"AAAAAD9/Xng=")</f>
        <v>#VALUE!</v>
      </c>
      <c r="DR99" t="e">
        <f>AND('UP133'!BW61,"AAAAAD9/Xnk=")</f>
        <v>#VALUE!</v>
      </c>
      <c r="DS99" t="e">
        <f>AND('UP133'!BX61,"AAAAAD9/Xno=")</f>
        <v>#VALUE!</v>
      </c>
      <c r="DT99" t="e">
        <f>AND('UP133'!BY61,"AAAAAD9/Xns=")</f>
        <v>#VALUE!</v>
      </c>
      <c r="DU99" t="e">
        <f>AND('UP133'!BZ61,"AAAAAD9/Xnw=")</f>
        <v>#VALUE!</v>
      </c>
      <c r="DV99" t="e">
        <f>AND('UP133'!CA61,"AAAAAD9/Xn0=")</f>
        <v>#VALUE!</v>
      </c>
      <c r="DW99" t="e">
        <f>AND('UP133'!CB61,"AAAAAD9/Xn4=")</f>
        <v>#VALUE!</v>
      </c>
      <c r="DX99" t="e">
        <f>AND('UP133'!CC61,"AAAAAD9/Xn8=")</f>
        <v>#VALUE!</v>
      </c>
      <c r="DY99" t="e">
        <f>AND('UP133'!CD61,"AAAAAD9/XoA=")</f>
        <v>#VALUE!</v>
      </c>
      <c r="DZ99" t="e">
        <f>AND('UP133'!CE61,"AAAAAD9/XoE=")</f>
        <v>#VALUE!</v>
      </c>
      <c r="EA99" t="e">
        <f>AND('UP133'!CF61,"AAAAAD9/XoI=")</f>
        <v>#VALUE!</v>
      </c>
      <c r="EB99" t="e">
        <f>AND('UP133'!CG61,"AAAAAD9/XoM=")</f>
        <v>#VALUE!</v>
      </c>
      <c r="EC99" t="e">
        <f>AND('UP133'!CH61,"AAAAAD9/XoQ=")</f>
        <v>#VALUE!</v>
      </c>
      <c r="ED99" t="e">
        <f>AND('UP133'!CI61,"AAAAAD9/XoU=")</f>
        <v>#VALUE!</v>
      </c>
      <c r="EE99" t="e">
        <f>AND('UP133'!CJ61,"AAAAAD9/XoY=")</f>
        <v>#VALUE!</v>
      </c>
      <c r="EF99" t="e">
        <f>AND('UP133'!CK61,"AAAAAD9/Xoc=")</f>
        <v>#VALUE!</v>
      </c>
      <c r="EG99" t="e">
        <f>AND('UP133'!CL61,"AAAAAD9/Xog=")</f>
        <v>#VALUE!</v>
      </c>
      <c r="EH99" t="e">
        <f>AND('UP133'!CM61,"AAAAAD9/Xok=")</f>
        <v>#VALUE!</v>
      </c>
      <c r="EI99" t="e">
        <f>AND('UP133'!CN61,"AAAAAD9/Xoo=")</f>
        <v>#VALUE!</v>
      </c>
      <c r="EJ99" t="e">
        <f>AND('UP133'!CO61,"AAAAAD9/Xos=")</f>
        <v>#VALUE!</v>
      </c>
      <c r="EK99" t="e">
        <f>AND('UP133'!CP61,"AAAAAD9/Xow=")</f>
        <v>#VALUE!</v>
      </c>
      <c r="EL99" t="e">
        <f>AND('UP133'!CQ61,"AAAAAD9/Xo0=")</f>
        <v>#VALUE!</v>
      </c>
      <c r="EM99" t="e">
        <f>AND('UP133'!CR61,"AAAAAD9/Xo4=")</f>
        <v>#VALUE!</v>
      </c>
      <c r="EN99" t="e">
        <f>AND('UP133'!CS61,"AAAAAD9/Xo8=")</f>
        <v>#VALUE!</v>
      </c>
      <c r="EO99" t="e">
        <f>AND('UP133'!CT61,"AAAAAD9/XpA=")</f>
        <v>#VALUE!</v>
      </c>
      <c r="EP99" t="e">
        <f>AND('UP133'!CU61,"AAAAAD9/XpE=")</f>
        <v>#VALUE!</v>
      </c>
      <c r="EQ99" t="e">
        <f>AND('UP133'!CV61,"AAAAAD9/XpI=")</f>
        <v>#VALUE!</v>
      </c>
      <c r="ER99" t="e">
        <f>AND('UP133'!CW61,"AAAAAD9/XpM=")</f>
        <v>#VALUE!</v>
      </c>
      <c r="ES99" t="e">
        <f>AND('UP133'!CX61,"AAAAAD9/XpQ=")</f>
        <v>#VALUE!</v>
      </c>
      <c r="ET99" t="e">
        <f>AND('UP133'!CY61,"AAAAAD9/XpU=")</f>
        <v>#VALUE!</v>
      </c>
      <c r="EU99" t="e">
        <f>AND('UP133'!CZ61,"AAAAAD9/XpY=")</f>
        <v>#VALUE!</v>
      </c>
      <c r="EV99" t="e">
        <f>AND('UP133'!DA61,"AAAAAD9/Xpc=")</f>
        <v>#VALUE!</v>
      </c>
      <c r="EW99" t="e">
        <f>AND('UP133'!DB61,"AAAAAD9/Xpg=")</f>
        <v>#VALUE!</v>
      </c>
      <c r="EX99" t="e">
        <f>AND('UP133'!DC61,"AAAAAD9/Xpk=")</f>
        <v>#VALUE!</v>
      </c>
      <c r="EY99" t="e">
        <f>AND('UP133'!DD61,"AAAAAD9/Xpo=")</f>
        <v>#VALUE!</v>
      </c>
      <c r="EZ99" t="e">
        <f>AND('UP133'!DE61,"AAAAAD9/Xps=")</f>
        <v>#VALUE!</v>
      </c>
      <c r="FA99" t="e">
        <f>AND('UP133'!DF61,"AAAAAD9/Xpw=")</f>
        <v>#VALUE!</v>
      </c>
      <c r="FB99" t="e">
        <f>AND('UP133'!DG61,"AAAAAD9/Xp0=")</f>
        <v>#VALUE!</v>
      </c>
      <c r="FC99" t="e">
        <f>AND('UP133'!DH61,"AAAAAD9/Xp4=")</f>
        <v>#VALUE!</v>
      </c>
      <c r="FD99" t="e">
        <f>AND('UP133'!DI61,"AAAAAD9/Xp8=")</f>
        <v>#VALUE!</v>
      </c>
      <c r="FE99" t="e">
        <f>AND('UP133'!DJ61,"AAAAAD9/XqA=")</f>
        <v>#VALUE!</v>
      </c>
      <c r="FF99" t="e">
        <f>AND('UP133'!DK61,"AAAAAD9/XqE=")</f>
        <v>#VALUE!</v>
      </c>
      <c r="FG99" t="e">
        <f>AND('UP133'!DL61,"AAAAAD9/XqI=")</f>
        <v>#VALUE!</v>
      </c>
      <c r="FH99" t="e">
        <f>AND('UP133'!DM61,"AAAAAD9/XqM=")</f>
        <v>#VALUE!</v>
      </c>
      <c r="FI99" t="e">
        <f>AND('UP133'!DN61,"AAAAAD9/XqQ=")</f>
        <v>#VALUE!</v>
      </c>
      <c r="FJ99" t="e">
        <f>AND('UP133'!DO61,"AAAAAD9/XqU=")</f>
        <v>#VALUE!</v>
      </c>
      <c r="FK99" t="e">
        <f>AND('UP133'!DP61,"AAAAAD9/XqY=")</f>
        <v>#VALUE!</v>
      </c>
      <c r="FL99" t="e">
        <f>AND('UP133'!DQ61,"AAAAAD9/Xqc=")</f>
        <v>#VALUE!</v>
      </c>
      <c r="FM99" t="e">
        <f>AND('UP133'!DR61,"AAAAAD9/Xqg=")</f>
        <v>#VALUE!</v>
      </c>
      <c r="FN99" t="e">
        <f>AND('UP133'!DS61,"AAAAAD9/Xqk=")</f>
        <v>#VALUE!</v>
      </c>
      <c r="FO99" t="e">
        <f>AND('UP133'!DT61,"AAAAAD9/Xqo=")</f>
        <v>#VALUE!</v>
      </c>
      <c r="FP99" t="e">
        <f>AND('UP133'!DU61,"AAAAAD9/Xqs=")</f>
        <v>#VALUE!</v>
      </c>
      <c r="FQ99" t="e">
        <f>AND('UP133'!DV61,"AAAAAD9/Xqw=")</f>
        <v>#VALUE!</v>
      </c>
      <c r="FR99" t="e">
        <f>AND('UP133'!DW61,"AAAAAD9/Xq0=")</f>
        <v>#VALUE!</v>
      </c>
      <c r="FS99" t="e">
        <f>AND('UP133'!DX61,"AAAAAD9/Xq4=")</f>
        <v>#VALUE!</v>
      </c>
      <c r="FT99" t="e">
        <f>AND('UP133'!DY61,"AAAAAD9/Xq8=")</f>
        <v>#VALUE!</v>
      </c>
      <c r="FU99" t="e">
        <f>AND('UP133'!DZ61,"AAAAAD9/XrA=")</f>
        <v>#VALUE!</v>
      </c>
      <c r="FV99" t="e">
        <f>AND('UP133'!EA61,"AAAAAD9/XrE=")</f>
        <v>#VALUE!</v>
      </c>
      <c r="FW99" t="e">
        <f>AND('UP133'!EB61,"AAAAAD9/XrI=")</f>
        <v>#VALUE!</v>
      </c>
      <c r="FX99" t="e">
        <f>AND('UP133'!EC61,"AAAAAD9/XrM=")</f>
        <v>#VALUE!</v>
      </c>
      <c r="FY99" t="e">
        <f>AND('UP133'!ED61,"AAAAAD9/XrQ=")</f>
        <v>#VALUE!</v>
      </c>
      <c r="FZ99" t="e">
        <f>AND('UP133'!EE61,"AAAAAD9/XrU=")</f>
        <v>#VALUE!</v>
      </c>
      <c r="GA99" t="e">
        <f>AND('UP133'!EF61,"AAAAAD9/XrY=")</f>
        <v>#VALUE!</v>
      </c>
      <c r="GB99" t="e">
        <f>AND('UP133'!EG61,"AAAAAD9/Xrc=")</f>
        <v>#VALUE!</v>
      </c>
      <c r="GC99" t="e">
        <f>AND('UP133'!EH61,"AAAAAD9/Xrg=")</f>
        <v>#VALUE!</v>
      </c>
      <c r="GD99" t="e">
        <f>AND('UP133'!EI61,"AAAAAD9/Xrk=")</f>
        <v>#VALUE!</v>
      </c>
      <c r="GE99" t="e">
        <f>AND('UP133'!EJ61,"AAAAAD9/Xro=")</f>
        <v>#VALUE!</v>
      </c>
      <c r="GF99" t="e">
        <f>AND('UP133'!EK61,"AAAAAD9/Xrs=")</f>
        <v>#VALUE!</v>
      </c>
      <c r="GG99" t="e">
        <f>AND('UP133'!EL61,"AAAAAD9/Xrw=")</f>
        <v>#VALUE!</v>
      </c>
      <c r="GH99" t="e">
        <f>AND('UP133'!EM61,"AAAAAD9/Xr0=")</f>
        <v>#VALUE!</v>
      </c>
      <c r="GI99" t="e">
        <f>AND('UP133'!EN61,"AAAAAD9/Xr4=")</f>
        <v>#VALUE!</v>
      </c>
      <c r="GJ99" t="e">
        <f>AND('UP133'!EO61,"AAAAAD9/Xr8=")</f>
        <v>#VALUE!</v>
      </c>
      <c r="GK99" t="e">
        <f>AND('UP133'!EP61,"AAAAAD9/XsA=")</f>
        <v>#VALUE!</v>
      </c>
      <c r="GL99" t="e">
        <f>AND('UP133'!EQ61,"AAAAAD9/XsE=")</f>
        <v>#VALUE!</v>
      </c>
      <c r="GM99" t="e">
        <f>AND('UP133'!ER61,"AAAAAD9/XsI=")</f>
        <v>#VALUE!</v>
      </c>
      <c r="GN99" t="e">
        <f>AND('UP133'!ES61,"AAAAAD9/XsM=")</f>
        <v>#VALUE!</v>
      </c>
      <c r="GO99" t="e">
        <f>AND('UP133'!ET61,"AAAAAD9/XsQ=")</f>
        <v>#VALUE!</v>
      </c>
      <c r="GP99" t="e">
        <f>AND('UP133'!EU61,"AAAAAD9/XsU=")</f>
        <v>#VALUE!</v>
      </c>
      <c r="GQ99" t="e">
        <f>AND('UP133'!EV61,"AAAAAD9/XsY=")</f>
        <v>#VALUE!</v>
      </c>
      <c r="GR99" t="e">
        <f>AND('UP133'!EW61,"AAAAAD9/Xsc=")</f>
        <v>#VALUE!</v>
      </c>
      <c r="GS99" t="e">
        <f>AND('UP133'!EX61,"AAAAAD9/Xsg=")</f>
        <v>#VALUE!</v>
      </c>
      <c r="GT99" t="e">
        <f>AND('UP133'!EY61,"AAAAAD9/Xsk=")</f>
        <v>#VALUE!</v>
      </c>
      <c r="GU99" t="e">
        <f>AND('UP133'!EZ61,"AAAAAD9/Xso=")</f>
        <v>#VALUE!</v>
      </c>
      <c r="GV99" t="e">
        <f>AND('UP133'!FA61,"AAAAAD9/Xss=")</f>
        <v>#VALUE!</v>
      </c>
      <c r="GW99" t="e">
        <f>AND('UP133'!FB61,"AAAAAD9/Xsw=")</f>
        <v>#VALUE!</v>
      </c>
      <c r="GX99" t="e">
        <f>AND('UP133'!FC61,"AAAAAD9/Xs0=")</f>
        <v>#VALUE!</v>
      </c>
      <c r="GY99" t="e">
        <f>AND('UP133'!FD61,"AAAAAD9/Xs4=")</f>
        <v>#VALUE!</v>
      </c>
      <c r="GZ99" t="e">
        <f>AND('UP133'!FE61,"AAAAAD9/Xs8=")</f>
        <v>#VALUE!</v>
      </c>
      <c r="HA99" t="e">
        <f>AND('UP133'!FF61,"AAAAAD9/XtA=")</f>
        <v>#VALUE!</v>
      </c>
      <c r="HB99" t="e">
        <f>AND('UP133'!FG61,"AAAAAD9/XtE=")</f>
        <v>#VALUE!</v>
      </c>
      <c r="HC99" t="e">
        <f>AND('UP133'!FH61,"AAAAAD9/XtI=")</f>
        <v>#VALUE!</v>
      </c>
      <c r="HD99" t="e">
        <f>AND('UP133'!FI61,"AAAAAD9/XtM=")</f>
        <v>#VALUE!</v>
      </c>
      <c r="HE99" t="e">
        <f>AND('UP133'!FJ61,"AAAAAD9/XtQ=")</f>
        <v>#VALUE!</v>
      </c>
      <c r="HF99" t="e">
        <f>AND('UP133'!FK61,"AAAAAD9/XtU=")</f>
        <v>#VALUE!</v>
      </c>
      <c r="HG99" t="e">
        <f>AND('UP133'!FL61,"AAAAAD9/XtY=")</f>
        <v>#VALUE!</v>
      </c>
      <c r="HH99" t="e">
        <f>AND('UP133'!FM61,"AAAAAD9/Xtc=")</f>
        <v>#VALUE!</v>
      </c>
      <c r="HI99" t="e">
        <f>AND('UP133'!FN61,"AAAAAD9/Xtg=")</f>
        <v>#VALUE!</v>
      </c>
      <c r="HJ99" t="e">
        <f>AND('UP133'!FO61,"AAAAAD9/Xtk=")</f>
        <v>#VALUE!</v>
      </c>
      <c r="HK99" t="e">
        <f>AND('UP133'!FP61,"AAAAAD9/Xto=")</f>
        <v>#VALUE!</v>
      </c>
      <c r="HL99" t="e">
        <f>AND('UP133'!FQ61,"AAAAAD9/Xts=")</f>
        <v>#VALUE!</v>
      </c>
      <c r="HM99" t="e">
        <f>AND('UP133'!FR61,"AAAAAD9/Xtw=")</f>
        <v>#VALUE!</v>
      </c>
      <c r="HN99" t="e">
        <f>AND('UP133'!FS61,"AAAAAD9/Xt0=")</f>
        <v>#VALUE!</v>
      </c>
      <c r="HO99" t="e">
        <f>AND('UP133'!FT61,"AAAAAD9/Xt4=")</f>
        <v>#VALUE!</v>
      </c>
      <c r="HP99" t="e">
        <f>AND('UP133'!FU61,"AAAAAD9/Xt8=")</f>
        <v>#VALUE!</v>
      </c>
      <c r="HQ99" t="e">
        <f>AND('UP133'!FV61,"AAAAAD9/XuA=")</f>
        <v>#VALUE!</v>
      </c>
      <c r="HR99" t="e">
        <f>AND('UP133'!FW61,"AAAAAD9/XuE=")</f>
        <v>#VALUE!</v>
      </c>
      <c r="HS99" t="e">
        <f>AND('UP133'!FX61,"AAAAAD9/XuI=")</f>
        <v>#VALUE!</v>
      </c>
      <c r="HT99" t="e">
        <f>AND('UP133'!FY61,"AAAAAD9/XuM=")</f>
        <v>#VALUE!</v>
      </c>
      <c r="HU99" t="e">
        <f>AND('UP133'!FZ61,"AAAAAD9/XuQ=")</f>
        <v>#VALUE!</v>
      </c>
      <c r="HV99" t="e">
        <f>AND('UP133'!GA61,"AAAAAD9/XuU=")</f>
        <v>#VALUE!</v>
      </c>
      <c r="HW99" t="e">
        <f>AND('UP133'!GB61,"AAAAAD9/XuY=")</f>
        <v>#VALUE!</v>
      </c>
      <c r="HX99" t="e">
        <f>AND('UP133'!GC61,"AAAAAD9/Xuc=")</f>
        <v>#VALUE!</v>
      </c>
      <c r="HY99" t="e">
        <f>AND('UP133'!GD61,"AAAAAD9/Xug=")</f>
        <v>#VALUE!</v>
      </c>
      <c r="HZ99" t="e">
        <f>AND('UP133'!GE61,"AAAAAD9/Xuk=")</f>
        <v>#VALUE!</v>
      </c>
      <c r="IA99" t="e">
        <f>AND('UP133'!GF61,"AAAAAD9/Xuo=")</f>
        <v>#VALUE!</v>
      </c>
      <c r="IB99" t="e">
        <f>AND('UP133'!GG61,"AAAAAD9/Xus=")</f>
        <v>#VALUE!</v>
      </c>
      <c r="IC99" t="e">
        <f>AND('UP133'!GH61,"AAAAAD9/Xuw=")</f>
        <v>#VALUE!</v>
      </c>
      <c r="ID99" t="e">
        <f>AND('UP133'!GI61,"AAAAAD9/Xu0=")</f>
        <v>#VALUE!</v>
      </c>
      <c r="IE99" t="e">
        <f>AND('UP133'!GJ61,"AAAAAD9/Xu4=")</f>
        <v>#VALUE!</v>
      </c>
      <c r="IF99" t="e">
        <f>AND('UP133'!GK61,"AAAAAD9/Xu8=")</f>
        <v>#VALUE!</v>
      </c>
      <c r="IG99" t="e">
        <f>AND('UP133'!GL61,"AAAAAD9/XvA=")</f>
        <v>#VALUE!</v>
      </c>
      <c r="IH99" t="e">
        <f>AND('UP133'!GM61,"AAAAAD9/XvE=")</f>
        <v>#VALUE!</v>
      </c>
      <c r="II99" t="e">
        <f>AND('UP133'!GN61,"AAAAAD9/XvI=")</f>
        <v>#VALUE!</v>
      </c>
      <c r="IJ99" t="e">
        <f>AND('UP133'!GO61,"AAAAAD9/XvM=")</f>
        <v>#VALUE!</v>
      </c>
      <c r="IK99" t="e">
        <f>AND('UP133'!GP61,"AAAAAD9/XvQ=")</f>
        <v>#VALUE!</v>
      </c>
      <c r="IL99" t="e">
        <f>AND('UP133'!GQ61,"AAAAAD9/XvU=")</f>
        <v>#VALUE!</v>
      </c>
      <c r="IM99" t="e">
        <f>AND('UP133'!GR61,"AAAAAD9/XvY=")</f>
        <v>#VALUE!</v>
      </c>
      <c r="IN99" t="e">
        <f>AND('UP133'!GS61,"AAAAAD9/Xvc=")</f>
        <v>#VALUE!</v>
      </c>
      <c r="IO99" t="e">
        <f>AND('UP133'!GT61,"AAAAAD9/Xvg=")</f>
        <v>#VALUE!</v>
      </c>
      <c r="IP99" t="e">
        <f>AND('UP133'!GU61,"AAAAAD9/Xvk=")</f>
        <v>#VALUE!</v>
      </c>
      <c r="IQ99" t="e">
        <f>AND('UP133'!GV61,"AAAAAD9/Xvo=")</f>
        <v>#VALUE!</v>
      </c>
      <c r="IR99" t="e">
        <f>AND('UP133'!GW61,"AAAAAD9/Xvs=")</f>
        <v>#VALUE!</v>
      </c>
      <c r="IS99" t="e">
        <f>AND('UP133'!GX61,"AAAAAD9/Xvw=")</f>
        <v>#VALUE!</v>
      </c>
      <c r="IT99" t="e">
        <f>AND('UP133'!GY61,"AAAAAD9/Xv0=")</f>
        <v>#VALUE!</v>
      </c>
      <c r="IU99" t="e">
        <f>AND('UP133'!GZ61,"AAAAAD9/Xv4=")</f>
        <v>#VALUE!</v>
      </c>
      <c r="IV99" t="e">
        <f>AND('UP133'!HA61,"AAAAAD9/Xv8=")</f>
        <v>#VALUE!</v>
      </c>
    </row>
    <row r="100" spans="1:256">
      <c r="A100" t="e">
        <f>AND('UP133'!HB61,"AAAAAC5ffwA=")</f>
        <v>#VALUE!</v>
      </c>
      <c r="B100" t="e">
        <f>AND('UP133'!HC61,"AAAAAC5ffwE=")</f>
        <v>#VALUE!</v>
      </c>
      <c r="C100" t="e">
        <f>AND('UP133'!HD61,"AAAAAC5ffwI=")</f>
        <v>#VALUE!</v>
      </c>
      <c r="D100" t="e">
        <f>AND('UP133'!HE61,"AAAAAC5ffwM=")</f>
        <v>#VALUE!</v>
      </c>
      <c r="E100" t="e">
        <f>AND('UP133'!HF61,"AAAAAC5ffwQ=")</f>
        <v>#VALUE!</v>
      </c>
      <c r="F100" t="e">
        <f>AND('UP133'!HG61,"AAAAAC5ffwU=")</f>
        <v>#VALUE!</v>
      </c>
      <c r="G100" t="e">
        <f>AND('UP133'!HH61,"AAAAAC5ffwY=")</f>
        <v>#VALUE!</v>
      </c>
      <c r="H100" t="e">
        <f>AND('UP133'!HI61,"AAAAAC5ffwc=")</f>
        <v>#VALUE!</v>
      </c>
      <c r="I100" t="e">
        <f>AND('UP133'!HJ61,"AAAAAC5ffwg=")</f>
        <v>#VALUE!</v>
      </c>
      <c r="J100" t="e">
        <f>AND('UP133'!HK61,"AAAAAC5ffwk=")</f>
        <v>#VALUE!</v>
      </c>
      <c r="K100" t="e">
        <f>AND('UP133'!HL61,"AAAAAC5ffwo=")</f>
        <v>#VALUE!</v>
      </c>
      <c r="L100" t="e">
        <f>AND('UP133'!HM61,"AAAAAC5ffws=")</f>
        <v>#VALUE!</v>
      </c>
      <c r="M100" t="e">
        <f>AND('UP133'!HN61,"AAAAAC5ffww=")</f>
        <v>#VALUE!</v>
      </c>
      <c r="N100" t="e">
        <f>AND('UP133'!HO61,"AAAAAC5ffw0=")</f>
        <v>#VALUE!</v>
      </c>
      <c r="O100" t="e">
        <f>AND('UP133'!HP61,"AAAAAC5ffw4=")</f>
        <v>#VALUE!</v>
      </c>
      <c r="P100" t="e">
        <f>AND('UP133'!HQ61,"AAAAAC5ffw8=")</f>
        <v>#VALUE!</v>
      </c>
      <c r="Q100" t="e">
        <f>AND('UP133'!HR61,"AAAAAC5ffxA=")</f>
        <v>#VALUE!</v>
      </c>
      <c r="R100" t="e">
        <f>AND('UP133'!HS61,"AAAAAC5ffxE=")</f>
        <v>#VALUE!</v>
      </c>
      <c r="S100" t="e">
        <f>AND('UP133'!HT61,"AAAAAC5ffxI=")</f>
        <v>#VALUE!</v>
      </c>
      <c r="T100" t="e">
        <f>AND('UP133'!HU61,"AAAAAC5ffxM=")</f>
        <v>#VALUE!</v>
      </c>
      <c r="U100" t="e">
        <f>AND('UP133'!HV61,"AAAAAC5ffxQ=")</f>
        <v>#VALUE!</v>
      </c>
      <c r="V100" t="e">
        <f>AND('UP133'!HW61,"AAAAAC5ffxU=")</f>
        <v>#VALUE!</v>
      </c>
      <c r="W100" t="e">
        <f>AND('UP133'!HX61,"AAAAAC5ffxY=")</f>
        <v>#VALUE!</v>
      </c>
      <c r="X100" t="e">
        <f>AND('UP133'!HY61,"AAAAAC5ffxc=")</f>
        <v>#VALUE!</v>
      </c>
      <c r="Y100" t="e">
        <f>AND('UP133'!HZ61,"AAAAAC5ffxg=")</f>
        <v>#VALUE!</v>
      </c>
      <c r="Z100" t="e">
        <f>AND('UP133'!IA61,"AAAAAC5ffxk=")</f>
        <v>#VALUE!</v>
      </c>
      <c r="AA100" t="e">
        <f>AND('UP133'!IB61,"AAAAAC5ffxo=")</f>
        <v>#VALUE!</v>
      </c>
      <c r="AB100" t="e">
        <f>AND('UP133'!IC61,"AAAAAC5ffxs=")</f>
        <v>#VALUE!</v>
      </c>
      <c r="AC100" t="e">
        <f>AND('UP133'!ID61,"AAAAAC5ffxw=")</f>
        <v>#VALUE!</v>
      </c>
      <c r="AD100" t="e">
        <f>AND('UP133'!IE61,"AAAAAC5ffx0=")</f>
        <v>#VALUE!</v>
      </c>
      <c r="AE100" t="e">
        <f>AND('UP133'!IF61,"AAAAAC5ffx4=")</f>
        <v>#VALUE!</v>
      </c>
      <c r="AF100" t="e">
        <f>AND('UP133'!IG61,"AAAAAC5ffx8=")</f>
        <v>#VALUE!</v>
      </c>
      <c r="AG100" t="e">
        <f>AND('UP133'!IH61,"AAAAAC5ffyA=")</f>
        <v>#VALUE!</v>
      </c>
      <c r="AH100" t="e">
        <f>AND('UP133'!II61,"AAAAAC5ffyE=")</f>
        <v>#VALUE!</v>
      </c>
      <c r="AI100" t="e">
        <f>AND('UP133'!IJ61,"AAAAAC5ffyI=")</f>
        <v>#VALUE!</v>
      </c>
      <c r="AJ100" t="e">
        <f>AND('UP133'!IK61,"AAAAAC5ffyM=")</f>
        <v>#VALUE!</v>
      </c>
      <c r="AK100" t="e">
        <f>AND('UP133'!IL61,"AAAAAC5ffyQ=")</f>
        <v>#VALUE!</v>
      </c>
      <c r="AL100" t="e">
        <f>AND('UP133'!IM61,"AAAAAC5ffyU=")</f>
        <v>#VALUE!</v>
      </c>
      <c r="AM100" t="e">
        <f>AND('UP133'!IN61,"AAAAAC5ffyY=")</f>
        <v>#VALUE!</v>
      </c>
      <c r="AN100" t="e">
        <f>AND('UP133'!IO61,"AAAAAC5ffyc=")</f>
        <v>#VALUE!</v>
      </c>
      <c r="AO100" t="e">
        <f>AND('UP133'!IP61,"AAAAAC5ffyg=")</f>
        <v>#VALUE!</v>
      </c>
      <c r="AP100" t="e">
        <f>AND('UP133'!IQ61,"AAAAAC5ffyk=")</f>
        <v>#VALUE!</v>
      </c>
      <c r="AQ100">
        <f>IF('UP133'!62:62,"AAAAAC5ffyo=",0)</f>
        <v>0</v>
      </c>
      <c r="AR100" t="e">
        <f>AND('UP133'!A62,"AAAAAC5ffys=")</f>
        <v>#VALUE!</v>
      </c>
      <c r="AS100" t="e">
        <f>AND('UP133'!B62,"AAAAAC5ffyw=")</f>
        <v>#VALUE!</v>
      </c>
      <c r="AT100" t="e">
        <f>AND('UP133'!C62,"AAAAAC5ffy0=")</f>
        <v>#VALUE!</v>
      </c>
      <c r="AU100" t="e">
        <f>AND('UP133'!D62,"AAAAAC5ffy4=")</f>
        <v>#VALUE!</v>
      </c>
      <c r="AV100" t="e">
        <f>AND('UP133'!E62,"AAAAAC5ffy8=")</f>
        <v>#VALUE!</v>
      </c>
      <c r="AW100" t="e">
        <f>AND('UP133'!F62,"AAAAAC5ffzA=")</f>
        <v>#VALUE!</v>
      </c>
      <c r="AX100" t="e">
        <f>AND('UP133'!G62,"AAAAAC5ffzE=")</f>
        <v>#VALUE!</v>
      </c>
      <c r="AY100" t="e">
        <f>AND('UP133'!H62,"AAAAAC5ffzI=")</f>
        <v>#VALUE!</v>
      </c>
      <c r="AZ100" t="e">
        <f>AND('UP133'!I62,"AAAAAC5ffzM=")</f>
        <v>#VALUE!</v>
      </c>
      <c r="BA100" t="e">
        <f>AND('UP133'!J62,"AAAAAC5ffzQ=")</f>
        <v>#VALUE!</v>
      </c>
      <c r="BB100" t="e">
        <f>AND('UP133'!K62,"AAAAAC5ffzU=")</f>
        <v>#VALUE!</v>
      </c>
      <c r="BC100" t="e">
        <f>AND('UP133'!L62,"AAAAAC5ffzY=")</f>
        <v>#VALUE!</v>
      </c>
      <c r="BD100" t="e">
        <f>AND('UP133'!M62,"AAAAAC5ffzc=")</f>
        <v>#VALUE!</v>
      </c>
      <c r="BE100" t="e">
        <f>AND('UP133'!N62,"AAAAAC5ffzg=")</f>
        <v>#VALUE!</v>
      </c>
      <c r="BF100" t="e">
        <f>AND('UP133'!O62,"AAAAAC5ffzk=")</f>
        <v>#VALUE!</v>
      </c>
      <c r="BG100" t="e">
        <f>AND('UP133'!P62,"AAAAAC5ffzo=")</f>
        <v>#VALUE!</v>
      </c>
      <c r="BH100" t="e">
        <f>AND('UP133'!Q62,"AAAAAC5ffzs=")</f>
        <v>#VALUE!</v>
      </c>
      <c r="BI100" t="e">
        <f>AND('UP133'!R62,"AAAAAC5ffzw=")</f>
        <v>#VALUE!</v>
      </c>
      <c r="BJ100" t="e">
        <f>AND('UP133'!S62,"AAAAAC5ffz0=")</f>
        <v>#VALUE!</v>
      </c>
      <c r="BK100" t="e">
        <f>AND('UP133'!T62,"AAAAAC5ffz4=")</f>
        <v>#VALUE!</v>
      </c>
      <c r="BL100" t="e">
        <f>AND('UP133'!U62,"AAAAAC5ffz8=")</f>
        <v>#VALUE!</v>
      </c>
      <c r="BM100" t="e">
        <f>AND('UP133'!V62,"AAAAAC5ff0A=")</f>
        <v>#VALUE!</v>
      </c>
      <c r="BN100" t="e">
        <f>AND('UP133'!W62,"AAAAAC5ff0E=")</f>
        <v>#VALUE!</v>
      </c>
      <c r="BO100" t="e">
        <f>AND('UP133'!X62,"AAAAAC5ff0I=")</f>
        <v>#VALUE!</v>
      </c>
      <c r="BP100" t="e">
        <f>AND('UP133'!Y62,"AAAAAC5ff0M=")</f>
        <v>#VALUE!</v>
      </c>
      <c r="BQ100" t="e">
        <f>AND('UP133'!Z62,"AAAAAC5ff0Q=")</f>
        <v>#VALUE!</v>
      </c>
      <c r="BR100" t="e">
        <f>AND('UP133'!AA62,"AAAAAC5ff0U=")</f>
        <v>#VALUE!</v>
      </c>
      <c r="BS100" t="e">
        <f>AND('UP133'!AB62,"AAAAAC5ff0Y=")</f>
        <v>#VALUE!</v>
      </c>
      <c r="BT100" t="e">
        <f>AND('UP133'!AC62,"AAAAAC5ff0c=")</f>
        <v>#VALUE!</v>
      </c>
      <c r="BU100" t="e">
        <f>AND('UP133'!AD62,"AAAAAC5ff0g=")</f>
        <v>#VALUE!</v>
      </c>
      <c r="BV100" t="e">
        <f>AND('UP133'!AE62,"AAAAAC5ff0k=")</f>
        <v>#VALUE!</v>
      </c>
      <c r="BW100" t="e">
        <f>AND('UP133'!AF62,"AAAAAC5ff0o=")</f>
        <v>#VALUE!</v>
      </c>
      <c r="BX100" t="e">
        <f>AND('UP133'!AG62,"AAAAAC5ff0s=")</f>
        <v>#VALUE!</v>
      </c>
      <c r="BY100" t="e">
        <f>AND('UP133'!AH62,"AAAAAC5ff0w=")</f>
        <v>#VALUE!</v>
      </c>
      <c r="BZ100" t="e">
        <f>AND('UP133'!AI62,"AAAAAC5ff00=")</f>
        <v>#VALUE!</v>
      </c>
      <c r="CA100" t="e">
        <f>AND('UP133'!AJ62,"AAAAAC5ff04=")</f>
        <v>#VALUE!</v>
      </c>
      <c r="CB100" t="e">
        <f>AND('UP133'!AK62,"AAAAAC5ff08=")</f>
        <v>#VALUE!</v>
      </c>
      <c r="CC100" t="e">
        <f>AND('UP133'!AL62,"AAAAAC5ff1A=")</f>
        <v>#VALUE!</v>
      </c>
      <c r="CD100" t="e">
        <f>AND('UP133'!AM62,"AAAAAC5ff1E=")</f>
        <v>#VALUE!</v>
      </c>
      <c r="CE100" t="e">
        <f>AND('UP133'!AN62,"AAAAAC5ff1I=")</f>
        <v>#VALUE!</v>
      </c>
      <c r="CF100" t="e">
        <f>AND('UP133'!AO62,"AAAAAC5ff1M=")</f>
        <v>#VALUE!</v>
      </c>
      <c r="CG100" t="e">
        <f>AND('UP133'!AP62,"AAAAAC5ff1Q=")</f>
        <v>#VALUE!</v>
      </c>
      <c r="CH100" t="e">
        <f>AND('UP133'!AQ62,"AAAAAC5ff1U=")</f>
        <v>#VALUE!</v>
      </c>
      <c r="CI100" t="e">
        <f>AND('UP133'!AR62,"AAAAAC5ff1Y=")</f>
        <v>#VALUE!</v>
      </c>
      <c r="CJ100" t="e">
        <f>AND('UP133'!AS62,"AAAAAC5ff1c=")</f>
        <v>#VALUE!</v>
      </c>
      <c r="CK100" t="e">
        <f>AND('UP133'!AT62,"AAAAAC5ff1g=")</f>
        <v>#VALUE!</v>
      </c>
      <c r="CL100" t="e">
        <f>AND('UP133'!AU62,"AAAAAC5ff1k=")</f>
        <v>#VALUE!</v>
      </c>
      <c r="CM100" t="e">
        <f>AND('UP133'!AV62,"AAAAAC5ff1o=")</f>
        <v>#VALUE!</v>
      </c>
      <c r="CN100" t="e">
        <f>AND('UP133'!AW62,"AAAAAC5ff1s=")</f>
        <v>#VALUE!</v>
      </c>
      <c r="CO100" t="e">
        <f>AND('UP133'!AX62,"AAAAAC5ff1w=")</f>
        <v>#VALUE!</v>
      </c>
      <c r="CP100" t="e">
        <f>AND('UP133'!AY62,"AAAAAC5ff10=")</f>
        <v>#VALUE!</v>
      </c>
      <c r="CQ100" t="e">
        <f>AND('UP133'!AZ62,"AAAAAC5ff14=")</f>
        <v>#VALUE!</v>
      </c>
      <c r="CR100" t="e">
        <f>AND('UP133'!BA62,"AAAAAC5ff18=")</f>
        <v>#VALUE!</v>
      </c>
      <c r="CS100" t="e">
        <f>AND('UP133'!BB62,"AAAAAC5ff2A=")</f>
        <v>#VALUE!</v>
      </c>
      <c r="CT100" t="e">
        <f>AND('UP133'!BC62,"AAAAAC5ff2E=")</f>
        <v>#VALUE!</v>
      </c>
      <c r="CU100" t="e">
        <f>AND('UP133'!BD62,"AAAAAC5ff2I=")</f>
        <v>#VALUE!</v>
      </c>
      <c r="CV100" t="e">
        <f>AND('UP133'!BE62,"AAAAAC5ff2M=")</f>
        <v>#VALUE!</v>
      </c>
      <c r="CW100" t="e">
        <f>AND('UP133'!BF62,"AAAAAC5ff2Q=")</f>
        <v>#VALUE!</v>
      </c>
      <c r="CX100" t="e">
        <f>AND('UP133'!BG62,"AAAAAC5ff2U=")</f>
        <v>#VALUE!</v>
      </c>
      <c r="CY100" t="e">
        <f>AND('UP133'!BH62,"AAAAAC5ff2Y=")</f>
        <v>#VALUE!</v>
      </c>
      <c r="CZ100" t="e">
        <f>AND('UP133'!BI62,"AAAAAC5ff2c=")</f>
        <v>#VALUE!</v>
      </c>
      <c r="DA100" t="e">
        <f>AND('UP133'!BJ62,"AAAAAC5ff2g=")</f>
        <v>#VALUE!</v>
      </c>
      <c r="DB100" t="e">
        <f>AND('UP133'!BK62,"AAAAAC5ff2k=")</f>
        <v>#VALUE!</v>
      </c>
      <c r="DC100" t="e">
        <f>AND('UP133'!BL62,"AAAAAC5ff2o=")</f>
        <v>#VALUE!</v>
      </c>
      <c r="DD100" t="e">
        <f>AND('UP133'!BM62,"AAAAAC5ff2s=")</f>
        <v>#VALUE!</v>
      </c>
      <c r="DE100" t="e">
        <f>AND('UP133'!BN62,"AAAAAC5ff2w=")</f>
        <v>#VALUE!</v>
      </c>
      <c r="DF100" t="e">
        <f>AND('UP133'!BO62,"AAAAAC5ff20=")</f>
        <v>#VALUE!</v>
      </c>
      <c r="DG100" t="e">
        <f>AND('UP133'!BP62,"AAAAAC5ff24=")</f>
        <v>#VALUE!</v>
      </c>
      <c r="DH100" t="e">
        <f>AND('UP133'!BQ62,"AAAAAC5ff28=")</f>
        <v>#VALUE!</v>
      </c>
      <c r="DI100" t="e">
        <f>AND('UP133'!BR62,"AAAAAC5ff3A=")</f>
        <v>#VALUE!</v>
      </c>
      <c r="DJ100" t="e">
        <f>AND('UP133'!BS62,"AAAAAC5ff3E=")</f>
        <v>#VALUE!</v>
      </c>
      <c r="DK100" t="e">
        <f>AND('UP133'!BT62,"AAAAAC5ff3I=")</f>
        <v>#VALUE!</v>
      </c>
      <c r="DL100" t="e">
        <f>AND('UP133'!BU62,"AAAAAC5ff3M=")</f>
        <v>#VALUE!</v>
      </c>
      <c r="DM100" t="e">
        <f>AND('UP133'!BV62,"AAAAAC5ff3Q=")</f>
        <v>#VALUE!</v>
      </c>
      <c r="DN100" t="e">
        <f>AND('UP133'!BW62,"AAAAAC5ff3U=")</f>
        <v>#VALUE!</v>
      </c>
      <c r="DO100" t="e">
        <f>AND('UP133'!BX62,"AAAAAC5ff3Y=")</f>
        <v>#VALUE!</v>
      </c>
      <c r="DP100" t="e">
        <f>AND('UP133'!BY62,"AAAAAC5ff3c=")</f>
        <v>#VALUE!</v>
      </c>
      <c r="DQ100" t="e">
        <f>AND('UP133'!BZ62,"AAAAAC5ff3g=")</f>
        <v>#VALUE!</v>
      </c>
      <c r="DR100" t="e">
        <f>AND('UP133'!CA62,"AAAAAC5ff3k=")</f>
        <v>#VALUE!</v>
      </c>
      <c r="DS100" t="e">
        <f>AND('UP133'!CB62,"AAAAAC5ff3o=")</f>
        <v>#VALUE!</v>
      </c>
      <c r="DT100" t="e">
        <f>AND('UP133'!CC62,"AAAAAC5ff3s=")</f>
        <v>#VALUE!</v>
      </c>
      <c r="DU100" t="e">
        <f>AND('UP133'!CD62,"AAAAAC5ff3w=")</f>
        <v>#VALUE!</v>
      </c>
      <c r="DV100" t="e">
        <f>AND('UP133'!CE62,"AAAAAC5ff30=")</f>
        <v>#VALUE!</v>
      </c>
      <c r="DW100" t="e">
        <f>AND('UP133'!CF62,"AAAAAC5ff34=")</f>
        <v>#VALUE!</v>
      </c>
      <c r="DX100" t="e">
        <f>AND('UP133'!CG62,"AAAAAC5ff38=")</f>
        <v>#VALUE!</v>
      </c>
      <c r="DY100" t="e">
        <f>AND('UP133'!CH62,"AAAAAC5ff4A=")</f>
        <v>#VALUE!</v>
      </c>
      <c r="DZ100" t="e">
        <f>AND('UP133'!CI62,"AAAAAC5ff4E=")</f>
        <v>#VALUE!</v>
      </c>
      <c r="EA100" t="e">
        <f>AND('UP133'!CJ62,"AAAAAC5ff4I=")</f>
        <v>#VALUE!</v>
      </c>
      <c r="EB100" t="e">
        <f>AND('UP133'!CK62,"AAAAAC5ff4M=")</f>
        <v>#VALUE!</v>
      </c>
      <c r="EC100" t="e">
        <f>AND('UP133'!CL62,"AAAAAC5ff4Q=")</f>
        <v>#VALUE!</v>
      </c>
      <c r="ED100" t="e">
        <f>AND('UP133'!CM62,"AAAAAC5ff4U=")</f>
        <v>#VALUE!</v>
      </c>
      <c r="EE100" t="e">
        <f>AND('UP133'!CN62,"AAAAAC5ff4Y=")</f>
        <v>#VALUE!</v>
      </c>
      <c r="EF100" t="e">
        <f>AND('UP133'!CO62,"AAAAAC5ff4c=")</f>
        <v>#VALUE!</v>
      </c>
      <c r="EG100" t="e">
        <f>AND('UP133'!CP62,"AAAAAC5ff4g=")</f>
        <v>#VALUE!</v>
      </c>
      <c r="EH100" t="e">
        <f>AND('UP133'!CQ62,"AAAAAC5ff4k=")</f>
        <v>#VALUE!</v>
      </c>
      <c r="EI100" t="e">
        <f>AND('UP133'!CR62,"AAAAAC5ff4o=")</f>
        <v>#VALUE!</v>
      </c>
      <c r="EJ100" t="e">
        <f>AND('UP133'!CS62,"AAAAAC5ff4s=")</f>
        <v>#VALUE!</v>
      </c>
      <c r="EK100" t="e">
        <f>AND('UP133'!CT62,"AAAAAC5ff4w=")</f>
        <v>#VALUE!</v>
      </c>
      <c r="EL100" t="e">
        <f>AND('UP133'!CU62,"AAAAAC5ff40=")</f>
        <v>#VALUE!</v>
      </c>
      <c r="EM100" t="e">
        <f>AND('UP133'!CV62,"AAAAAC5ff44=")</f>
        <v>#VALUE!</v>
      </c>
      <c r="EN100" t="e">
        <f>AND('UP133'!CW62,"AAAAAC5ff48=")</f>
        <v>#VALUE!</v>
      </c>
      <c r="EO100" t="e">
        <f>AND('UP133'!CX62,"AAAAAC5ff5A=")</f>
        <v>#VALUE!</v>
      </c>
      <c r="EP100" t="e">
        <f>AND('UP133'!CY62,"AAAAAC5ff5E=")</f>
        <v>#VALUE!</v>
      </c>
      <c r="EQ100" t="e">
        <f>AND('UP133'!CZ62,"AAAAAC5ff5I=")</f>
        <v>#VALUE!</v>
      </c>
      <c r="ER100" t="e">
        <f>AND('UP133'!DA62,"AAAAAC5ff5M=")</f>
        <v>#VALUE!</v>
      </c>
      <c r="ES100" t="e">
        <f>AND('UP133'!DB62,"AAAAAC5ff5Q=")</f>
        <v>#VALUE!</v>
      </c>
      <c r="ET100" t="e">
        <f>AND('UP133'!DC62,"AAAAAC5ff5U=")</f>
        <v>#VALUE!</v>
      </c>
      <c r="EU100" t="e">
        <f>AND('UP133'!DD62,"AAAAAC5ff5Y=")</f>
        <v>#VALUE!</v>
      </c>
      <c r="EV100" t="e">
        <f>AND('UP133'!DE62,"AAAAAC5ff5c=")</f>
        <v>#VALUE!</v>
      </c>
      <c r="EW100" t="e">
        <f>AND('UP133'!DF62,"AAAAAC5ff5g=")</f>
        <v>#VALUE!</v>
      </c>
      <c r="EX100" t="e">
        <f>AND('UP133'!DG62,"AAAAAC5ff5k=")</f>
        <v>#VALUE!</v>
      </c>
      <c r="EY100" t="e">
        <f>AND('UP133'!DH62,"AAAAAC5ff5o=")</f>
        <v>#VALUE!</v>
      </c>
      <c r="EZ100" t="e">
        <f>AND('UP133'!DI62,"AAAAAC5ff5s=")</f>
        <v>#VALUE!</v>
      </c>
      <c r="FA100" t="e">
        <f>AND('UP133'!DJ62,"AAAAAC5ff5w=")</f>
        <v>#VALUE!</v>
      </c>
      <c r="FB100" t="e">
        <f>AND('UP133'!DK62,"AAAAAC5ff50=")</f>
        <v>#VALUE!</v>
      </c>
      <c r="FC100" t="e">
        <f>AND('UP133'!DL62,"AAAAAC5ff54=")</f>
        <v>#VALUE!</v>
      </c>
      <c r="FD100" t="e">
        <f>AND('UP133'!DM62,"AAAAAC5ff58=")</f>
        <v>#VALUE!</v>
      </c>
      <c r="FE100" t="e">
        <f>AND('UP133'!DN62,"AAAAAC5ff6A=")</f>
        <v>#VALUE!</v>
      </c>
      <c r="FF100" t="e">
        <f>AND('UP133'!DO62,"AAAAAC5ff6E=")</f>
        <v>#VALUE!</v>
      </c>
      <c r="FG100" t="e">
        <f>AND('UP133'!DP62,"AAAAAC5ff6I=")</f>
        <v>#VALUE!</v>
      </c>
      <c r="FH100" t="e">
        <f>AND('UP133'!DQ62,"AAAAAC5ff6M=")</f>
        <v>#VALUE!</v>
      </c>
      <c r="FI100" t="e">
        <f>AND('UP133'!DR62,"AAAAAC5ff6Q=")</f>
        <v>#VALUE!</v>
      </c>
      <c r="FJ100" t="e">
        <f>AND('UP133'!DS62,"AAAAAC5ff6U=")</f>
        <v>#VALUE!</v>
      </c>
      <c r="FK100" t="e">
        <f>AND('UP133'!DT62,"AAAAAC5ff6Y=")</f>
        <v>#VALUE!</v>
      </c>
      <c r="FL100" t="e">
        <f>AND('UP133'!DU62,"AAAAAC5ff6c=")</f>
        <v>#VALUE!</v>
      </c>
      <c r="FM100" t="e">
        <f>AND('UP133'!DV62,"AAAAAC5ff6g=")</f>
        <v>#VALUE!</v>
      </c>
      <c r="FN100" t="e">
        <f>AND('UP133'!DW62,"AAAAAC5ff6k=")</f>
        <v>#VALUE!</v>
      </c>
      <c r="FO100" t="e">
        <f>AND('UP133'!DX62,"AAAAAC5ff6o=")</f>
        <v>#VALUE!</v>
      </c>
      <c r="FP100" t="e">
        <f>AND('UP133'!DY62,"AAAAAC5ff6s=")</f>
        <v>#VALUE!</v>
      </c>
      <c r="FQ100" t="e">
        <f>AND('UP133'!DZ62,"AAAAAC5ff6w=")</f>
        <v>#VALUE!</v>
      </c>
      <c r="FR100" t="e">
        <f>AND('UP133'!EA62,"AAAAAC5ff60=")</f>
        <v>#VALUE!</v>
      </c>
      <c r="FS100" t="e">
        <f>AND('UP133'!EB62,"AAAAAC5ff64=")</f>
        <v>#VALUE!</v>
      </c>
      <c r="FT100" t="e">
        <f>AND('UP133'!EC62,"AAAAAC5ff68=")</f>
        <v>#VALUE!</v>
      </c>
      <c r="FU100" t="e">
        <f>AND('UP133'!ED62,"AAAAAC5ff7A=")</f>
        <v>#VALUE!</v>
      </c>
      <c r="FV100" t="e">
        <f>AND('UP133'!EE62,"AAAAAC5ff7E=")</f>
        <v>#VALUE!</v>
      </c>
      <c r="FW100" t="e">
        <f>AND('UP133'!EF62,"AAAAAC5ff7I=")</f>
        <v>#VALUE!</v>
      </c>
      <c r="FX100" t="e">
        <f>AND('UP133'!EG62,"AAAAAC5ff7M=")</f>
        <v>#VALUE!</v>
      </c>
      <c r="FY100" t="e">
        <f>AND('UP133'!EH62,"AAAAAC5ff7Q=")</f>
        <v>#VALUE!</v>
      </c>
      <c r="FZ100" t="e">
        <f>AND('UP133'!EI62,"AAAAAC5ff7U=")</f>
        <v>#VALUE!</v>
      </c>
      <c r="GA100" t="e">
        <f>AND('UP133'!EJ62,"AAAAAC5ff7Y=")</f>
        <v>#VALUE!</v>
      </c>
      <c r="GB100" t="e">
        <f>AND('UP133'!EK62,"AAAAAC5ff7c=")</f>
        <v>#VALUE!</v>
      </c>
      <c r="GC100" t="e">
        <f>AND('UP133'!EL62,"AAAAAC5ff7g=")</f>
        <v>#VALUE!</v>
      </c>
      <c r="GD100" t="e">
        <f>AND('UP133'!EM62,"AAAAAC5ff7k=")</f>
        <v>#VALUE!</v>
      </c>
      <c r="GE100" t="e">
        <f>AND('UP133'!EN62,"AAAAAC5ff7o=")</f>
        <v>#VALUE!</v>
      </c>
      <c r="GF100" t="e">
        <f>AND('UP133'!EO62,"AAAAAC5ff7s=")</f>
        <v>#VALUE!</v>
      </c>
      <c r="GG100" t="e">
        <f>AND('UP133'!EP62,"AAAAAC5ff7w=")</f>
        <v>#VALUE!</v>
      </c>
      <c r="GH100" t="e">
        <f>AND('UP133'!EQ62,"AAAAAC5ff70=")</f>
        <v>#VALUE!</v>
      </c>
      <c r="GI100" t="e">
        <f>AND('UP133'!ER62,"AAAAAC5ff74=")</f>
        <v>#VALUE!</v>
      </c>
      <c r="GJ100" t="e">
        <f>AND('UP133'!ES62,"AAAAAC5ff78=")</f>
        <v>#VALUE!</v>
      </c>
      <c r="GK100" t="e">
        <f>AND('UP133'!ET62,"AAAAAC5ff8A=")</f>
        <v>#VALUE!</v>
      </c>
      <c r="GL100" t="e">
        <f>AND('UP133'!EU62,"AAAAAC5ff8E=")</f>
        <v>#VALUE!</v>
      </c>
      <c r="GM100" t="e">
        <f>AND('UP133'!EV62,"AAAAAC5ff8I=")</f>
        <v>#VALUE!</v>
      </c>
      <c r="GN100" t="e">
        <f>AND('UP133'!EW62,"AAAAAC5ff8M=")</f>
        <v>#VALUE!</v>
      </c>
      <c r="GO100" t="e">
        <f>AND('UP133'!EX62,"AAAAAC5ff8Q=")</f>
        <v>#VALUE!</v>
      </c>
      <c r="GP100" t="e">
        <f>AND('UP133'!EY62,"AAAAAC5ff8U=")</f>
        <v>#VALUE!</v>
      </c>
      <c r="GQ100" t="e">
        <f>AND('UP133'!EZ62,"AAAAAC5ff8Y=")</f>
        <v>#VALUE!</v>
      </c>
      <c r="GR100" t="e">
        <f>AND('UP133'!FA62,"AAAAAC5ff8c=")</f>
        <v>#VALUE!</v>
      </c>
      <c r="GS100" t="e">
        <f>AND('UP133'!FB62,"AAAAAC5ff8g=")</f>
        <v>#VALUE!</v>
      </c>
      <c r="GT100" t="e">
        <f>AND('UP133'!FC62,"AAAAAC5ff8k=")</f>
        <v>#VALUE!</v>
      </c>
      <c r="GU100" t="e">
        <f>AND('UP133'!FD62,"AAAAAC5ff8o=")</f>
        <v>#VALUE!</v>
      </c>
      <c r="GV100" t="e">
        <f>AND('UP133'!FE62,"AAAAAC5ff8s=")</f>
        <v>#VALUE!</v>
      </c>
      <c r="GW100" t="e">
        <f>AND('UP133'!FF62,"AAAAAC5ff8w=")</f>
        <v>#VALUE!</v>
      </c>
      <c r="GX100" t="e">
        <f>AND('UP133'!FG62,"AAAAAC5ff80=")</f>
        <v>#VALUE!</v>
      </c>
      <c r="GY100" t="e">
        <f>AND('UP133'!FH62,"AAAAAC5ff84=")</f>
        <v>#VALUE!</v>
      </c>
      <c r="GZ100" t="e">
        <f>AND('UP133'!FI62,"AAAAAC5ff88=")</f>
        <v>#VALUE!</v>
      </c>
      <c r="HA100" t="e">
        <f>AND('UP133'!FJ62,"AAAAAC5ff9A=")</f>
        <v>#VALUE!</v>
      </c>
      <c r="HB100" t="e">
        <f>AND('UP133'!FK62,"AAAAAC5ff9E=")</f>
        <v>#VALUE!</v>
      </c>
      <c r="HC100" t="e">
        <f>AND('UP133'!FL62,"AAAAAC5ff9I=")</f>
        <v>#VALUE!</v>
      </c>
      <c r="HD100" t="e">
        <f>AND('UP133'!FM62,"AAAAAC5ff9M=")</f>
        <v>#VALUE!</v>
      </c>
      <c r="HE100" t="e">
        <f>AND('UP133'!FN62,"AAAAAC5ff9Q=")</f>
        <v>#VALUE!</v>
      </c>
      <c r="HF100" t="e">
        <f>AND('UP133'!FO62,"AAAAAC5ff9U=")</f>
        <v>#VALUE!</v>
      </c>
      <c r="HG100" t="e">
        <f>AND('UP133'!FP62,"AAAAAC5ff9Y=")</f>
        <v>#VALUE!</v>
      </c>
      <c r="HH100" t="e">
        <f>AND('UP133'!FQ62,"AAAAAC5ff9c=")</f>
        <v>#VALUE!</v>
      </c>
      <c r="HI100" t="e">
        <f>AND('UP133'!FR62,"AAAAAC5ff9g=")</f>
        <v>#VALUE!</v>
      </c>
      <c r="HJ100" t="e">
        <f>AND('UP133'!FS62,"AAAAAC5ff9k=")</f>
        <v>#VALUE!</v>
      </c>
      <c r="HK100" t="e">
        <f>AND('UP133'!FT62,"AAAAAC5ff9o=")</f>
        <v>#VALUE!</v>
      </c>
      <c r="HL100" t="e">
        <f>AND('UP133'!FU62,"AAAAAC5ff9s=")</f>
        <v>#VALUE!</v>
      </c>
      <c r="HM100" t="e">
        <f>AND('UP133'!FV62,"AAAAAC5ff9w=")</f>
        <v>#VALUE!</v>
      </c>
      <c r="HN100" t="e">
        <f>AND('UP133'!FW62,"AAAAAC5ff90=")</f>
        <v>#VALUE!</v>
      </c>
      <c r="HO100" t="e">
        <f>AND('UP133'!FX62,"AAAAAC5ff94=")</f>
        <v>#VALUE!</v>
      </c>
      <c r="HP100" t="e">
        <f>AND('UP133'!FY62,"AAAAAC5ff98=")</f>
        <v>#VALUE!</v>
      </c>
      <c r="HQ100" t="e">
        <f>AND('UP133'!FZ62,"AAAAAC5ff+A=")</f>
        <v>#VALUE!</v>
      </c>
      <c r="HR100" t="e">
        <f>AND('UP133'!GA62,"AAAAAC5ff+E=")</f>
        <v>#VALUE!</v>
      </c>
      <c r="HS100" t="e">
        <f>AND('UP133'!GB62,"AAAAAC5ff+I=")</f>
        <v>#VALUE!</v>
      </c>
      <c r="HT100" t="e">
        <f>AND('UP133'!GC62,"AAAAAC5ff+M=")</f>
        <v>#VALUE!</v>
      </c>
      <c r="HU100" t="e">
        <f>AND('UP133'!GD62,"AAAAAC5ff+Q=")</f>
        <v>#VALUE!</v>
      </c>
      <c r="HV100" t="e">
        <f>AND('UP133'!GE62,"AAAAAC5ff+U=")</f>
        <v>#VALUE!</v>
      </c>
      <c r="HW100" t="e">
        <f>AND('UP133'!GF62,"AAAAAC5ff+Y=")</f>
        <v>#VALUE!</v>
      </c>
      <c r="HX100" t="e">
        <f>AND('UP133'!GG62,"AAAAAC5ff+c=")</f>
        <v>#VALUE!</v>
      </c>
      <c r="HY100" t="e">
        <f>AND('UP133'!GH62,"AAAAAC5ff+g=")</f>
        <v>#VALUE!</v>
      </c>
      <c r="HZ100" t="e">
        <f>AND('UP133'!GI62,"AAAAAC5ff+k=")</f>
        <v>#VALUE!</v>
      </c>
      <c r="IA100" t="e">
        <f>AND('UP133'!GJ62,"AAAAAC5ff+o=")</f>
        <v>#VALUE!</v>
      </c>
      <c r="IB100" t="e">
        <f>AND('UP133'!GK62,"AAAAAC5ff+s=")</f>
        <v>#VALUE!</v>
      </c>
      <c r="IC100" t="e">
        <f>AND('UP133'!GL62,"AAAAAC5ff+w=")</f>
        <v>#VALUE!</v>
      </c>
      <c r="ID100" t="e">
        <f>AND('UP133'!GM62,"AAAAAC5ff+0=")</f>
        <v>#VALUE!</v>
      </c>
      <c r="IE100" t="e">
        <f>AND('UP133'!GN62,"AAAAAC5ff+4=")</f>
        <v>#VALUE!</v>
      </c>
      <c r="IF100" t="e">
        <f>AND('UP133'!GO62,"AAAAAC5ff+8=")</f>
        <v>#VALUE!</v>
      </c>
      <c r="IG100" t="e">
        <f>AND('UP133'!GP62,"AAAAAC5ff/A=")</f>
        <v>#VALUE!</v>
      </c>
      <c r="IH100" t="e">
        <f>AND('UP133'!GQ62,"AAAAAC5ff/E=")</f>
        <v>#VALUE!</v>
      </c>
      <c r="II100" t="e">
        <f>AND('UP133'!GR62,"AAAAAC5ff/I=")</f>
        <v>#VALUE!</v>
      </c>
      <c r="IJ100" t="e">
        <f>AND('UP133'!GS62,"AAAAAC5ff/M=")</f>
        <v>#VALUE!</v>
      </c>
      <c r="IK100" t="e">
        <f>AND('UP133'!GT62,"AAAAAC5ff/Q=")</f>
        <v>#VALUE!</v>
      </c>
      <c r="IL100" t="e">
        <f>AND('UP133'!GU62,"AAAAAC5ff/U=")</f>
        <v>#VALUE!</v>
      </c>
      <c r="IM100" t="e">
        <f>AND('UP133'!GV62,"AAAAAC5ff/Y=")</f>
        <v>#VALUE!</v>
      </c>
      <c r="IN100" t="e">
        <f>AND('UP133'!GW62,"AAAAAC5ff/c=")</f>
        <v>#VALUE!</v>
      </c>
      <c r="IO100" t="e">
        <f>AND('UP133'!GX62,"AAAAAC5ff/g=")</f>
        <v>#VALUE!</v>
      </c>
      <c r="IP100" t="e">
        <f>AND('UP133'!GY62,"AAAAAC5ff/k=")</f>
        <v>#VALUE!</v>
      </c>
      <c r="IQ100" t="e">
        <f>AND('UP133'!GZ62,"AAAAAC5ff/o=")</f>
        <v>#VALUE!</v>
      </c>
      <c r="IR100" t="e">
        <f>AND('UP133'!HA62,"AAAAAC5ff/s=")</f>
        <v>#VALUE!</v>
      </c>
      <c r="IS100" t="e">
        <f>AND('UP133'!HB62,"AAAAAC5ff/w=")</f>
        <v>#VALUE!</v>
      </c>
      <c r="IT100" t="e">
        <f>AND('UP133'!HC62,"AAAAAC5ff/0=")</f>
        <v>#VALUE!</v>
      </c>
      <c r="IU100" t="e">
        <f>AND('UP133'!HD62,"AAAAAC5ff/4=")</f>
        <v>#VALUE!</v>
      </c>
      <c r="IV100" t="e">
        <f>AND('UP133'!HE62,"AAAAAC5ff/8=")</f>
        <v>#VALUE!</v>
      </c>
    </row>
    <row r="101" spans="1:256">
      <c r="A101" t="e">
        <f>AND('UP133'!HF62,"AAAAAHh98QA=")</f>
        <v>#VALUE!</v>
      </c>
      <c r="B101" t="e">
        <f>AND('UP133'!HG62,"AAAAAHh98QE=")</f>
        <v>#VALUE!</v>
      </c>
      <c r="C101" t="e">
        <f>AND('UP133'!HH62,"AAAAAHh98QI=")</f>
        <v>#VALUE!</v>
      </c>
      <c r="D101" t="e">
        <f>AND('UP133'!HI62,"AAAAAHh98QM=")</f>
        <v>#VALUE!</v>
      </c>
      <c r="E101" t="e">
        <f>AND('UP133'!HJ62,"AAAAAHh98QQ=")</f>
        <v>#VALUE!</v>
      </c>
      <c r="F101" t="e">
        <f>AND('UP133'!HK62,"AAAAAHh98QU=")</f>
        <v>#VALUE!</v>
      </c>
      <c r="G101" t="e">
        <f>AND('UP133'!HL62,"AAAAAHh98QY=")</f>
        <v>#VALUE!</v>
      </c>
      <c r="H101" t="e">
        <f>AND('UP133'!HM62,"AAAAAHh98Qc=")</f>
        <v>#VALUE!</v>
      </c>
      <c r="I101" t="e">
        <f>AND('UP133'!HN62,"AAAAAHh98Qg=")</f>
        <v>#VALUE!</v>
      </c>
      <c r="J101" t="e">
        <f>AND('UP133'!HO62,"AAAAAHh98Qk=")</f>
        <v>#VALUE!</v>
      </c>
      <c r="K101" t="e">
        <f>AND('UP133'!HP62,"AAAAAHh98Qo=")</f>
        <v>#VALUE!</v>
      </c>
      <c r="L101" t="e">
        <f>AND('UP133'!HQ62,"AAAAAHh98Qs=")</f>
        <v>#VALUE!</v>
      </c>
      <c r="M101" t="e">
        <f>AND('UP133'!HR62,"AAAAAHh98Qw=")</f>
        <v>#VALUE!</v>
      </c>
      <c r="N101" t="e">
        <f>AND('UP133'!HS62,"AAAAAHh98Q0=")</f>
        <v>#VALUE!</v>
      </c>
      <c r="O101" t="e">
        <f>AND('UP133'!HT62,"AAAAAHh98Q4=")</f>
        <v>#VALUE!</v>
      </c>
      <c r="P101" t="e">
        <f>AND('UP133'!HU62,"AAAAAHh98Q8=")</f>
        <v>#VALUE!</v>
      </c>
      <c r="Q101" t="e">
        <f>AND('UP133'!HV62,"AAAAAHh98RA=")</f>
        <v>#VALUE!</v>
      </c>
      <c r="R101" t="e">
        <f>AND('UP133'!HW62,"AAAAAHh98RE=")</f>
        <v>#VALUE!</v>
      </c>
      <c r="S101" t="e">
        <f>AND('UP133'!HX62,"AAAAAHh98RI=")</f>
        <v>#VALUE!</v>
      </c>
      <c r="T101" t="e">
        <f>AND('UP133'!HY62,"AAAAAHh98RM=")</f>
        <v>#VALUE!</v>
      </c>
      <c r="U101" t="e">
        <f>AND('UP133'!HZ62,"AAAAAHh98RQ=")</f>
        <v>#VALUE!</v>
      </c>
      <c r="V101" t="e">
        <f>AND('UP133'!IA62,"AAAAAHh98RU=")</f>
        <v>#VALUE!</v>
      </c>
      <c r="W101" t="e">
        <f>AND('UP133'!IB62,"AAAAAHh98RY=")</f>
        <v>#VALUE!</v>
      </c>
      <c r="X101" t="e">
        <f>AND('UP133'!IC62,"AAAAAHh98Rc=")</f>
        <v>#VALUE!</v>
      </c>
      <c r="Y101" t="e">
        <f>AND('UP133'!ID62,"AAAAAHh98Rg=")</f>
        <v>#VALUE!</v>
      </c>
      <c r="Z101" t="e">
        <f>AND('UP133'!IE62,"AAAAAHh98Rk=")</f>
        <v>#VALUE!</v>
      </c>
      <c r="AA101" t="e">
        <f>AND('UP133'!IF62,"AAAAAHh98Ro=")</f>
        <v>#VALUE!</v>
      </c>
      <c r="AB101" t="e">
        <f>AND('UP133'!IG62,"AAAAAHh98Rs=")</f>
        <v>#VALUE!</v>
      </c>
      <c r="AC101" t="e">
        <f>AND('UP133'!IH62,"AAAAAHh98Rw=")</f>
        <v>#VALUE!</v>
      </c>
      <c r="AD101" t="e">
        <f>AND('UP133'!II62,"AAAAAHh98R0=")</f>
        <v>#VALUE!</v>
      </c>
      <c r="AE101" t="e">
        <f>AND('UP133'!IJ62,"AAAAAHh98R4=")</f>
        <v>#VALUE!</v>
      </c>
      <c r="AF101" t="e">
        <f>AND('UP133'!IK62,"AAAAAHh98R8=")</f>
        <v>#VALUE!</v>
      </c>
      <c r="AG101" t="e">
        <f>AND('UP133'!IL62,"AAAAAHh98SA=")</f>
        <v>#VALUE!</v>
      </c>
      <c r="AH101" t="e">
        <f>AND('UP133'!IM62,"AAAAAHh98SE=")</f>
        <v>#VALUE!</v>
      </c>
      <c r="AI101" t="e">
        <f>AND('UP133'!IN62,"AAAAAHh98SI=")</f>
        <v>#VALUE!</v>
      </c>
      <c r="AJ101" t="e">
        <f>AND('UP133'!IO62,"AAAAAHh98SM=")</f>
        <v>#VALUE!</v>
      </c>
      <c r="AK101" t="e">
        <f>AND('UP133'!IP62,"AAAAAHh98SQ=")</f>
        <v>#VALUE!</v>
      </c>
      <c r="AL101" t="e">
        <f>AND('UP133'!IQ62,"AAAAAHh98SU=")</f>
        <v>#VALUE!</v>
      </c>
      <c r="AM101">
        <f>IF('UP133'!63:63,"AAAAAHh98SY=",0)</f>
        <v>0</v>
      </c>
      <c r="AN101" t="e">
        <f>AND('UP133'!A63,"AAAAAHh98Sc=")</f>
        <v>#VALUE!</v>
      </c>
      <c r="AO101" t="e">
        <f>AND('UP133'!B63,"AAAAAHh98Sg=")</f>
        <v>#VALUE!</v>
      </c>
      <c r="AP101" t="e">
        <f>AND('UP133'!C63,"AAAAAHh98Sk=")</f>
        <v>#VALUE!</v>
      </c>
      <c r="AQ101" t="e">
        <f>AND('UP133'!D63,"AAAAAHh98So=")</f>
        <v>#VALUE!</v>
      </c>
      <c r="AR101" t="e">
        <f>AND('UP133'!E63,"AAAAAHh98Ss=")</f>
        <v>#VALUE!</v>
      </c>
      <c r="AS101" t="e">
        <f>AND('UP133'!F63,"AAAAAHh98Sw=")</f>
        <v>#VALUE!</v>
      </c>
      <c r="AT101" t="e">
        <f>AND('UP133'!G63,"AAAAAHh98S0=")</f>
        <v>#VALUE!</v>
      </c>
      <c r="AU101" t="e">
        <f>AND('UP133'!H63,"AAAAAHh98S4=")</f>
        <v>#VALUE!</v>
      </c>
      <c r="AV101" t="e">
        <f>AND('UP133'!I63,"AAAAAHh98S8=")</f>
        <v>#VALUE!</v>
      </c>
      <c r="AW101" t="e">
        <f>AND('UP133'!J63,"AAAAAHh98TA=")</f>
        <v>#VALUE!</v>
      </c>
      <c r="AX101" t="e">
        <f>AND('UP133'!K63,"AAAAAHh98TE=")</f>
        <v>#VALUE!</v>
      </c>
      <c r="AY101" t="e">
        <f>AND('UP133'!L63,"AAAAAHh98TI=")</f>
        <v>#VALUE!</v>
      </c>
      <c r="AZ101" t="e">
        <f>AND('UP133'!M63,"AAAAAHh98TM=")</f>
        <v>#VALUE!</v>
      </c>
      <c r="BA101" t="e">
        <f>AND('UP133'!N63,"AAAAAHh98TQ=")</f>
        <v>#VALUE!</v>
      </c>
      <c r="BB101" t="e">
        <f>AND('UP133'!O63,"AAAAAHh98TU=")</f>
        <v>#VALUE!</v>
      </c>
      <c r="BC101" t="e">
        <f>AND('UP133'!P63,"AAAAAHh98TY=")</f>
        <v>#VALUE!</v>
      </c>
      <c r="BD101" t="e">
        <f>AND('UP133'!Q63,"AAAAAHh98Tc=")</f>
        <v>#VALUE!</v>
      </c>
      <c r="BE101" t="e">
        <f>AND('UP133'!R63,"AAAAAHh98Tg=")</f>
        <v>#VALUE!</v>
      </c>
      <c r="BF101" t="e">
        <f>AND('UP133'!S63,"AAAAAHh98Tk=")</f>
        <v>#VALUE!</v>
      </c>
      <c r="BG101" t="e">
        <f>AND('UP133'!T63,"AAAAAHh98To=")</f>
        <v>#VALUE!</v>
      </c>
      <c r="BH101" t="e">
        <f>AND('UP133'!U63,"AAAAAHh98Ts=")</f>
        <v>#VALUE!</v>
      </c>
      <c r="BI101" t="e">
        <f>AND('UP133'!V63,"AAAAAHh98Tw=")</f>
        <v>#VALUE!</v>
      </c>
      <c r="BJ101" t="e">
        <f>AND('UP133'!W63,"AAAAAHh98T0=")</f>
        <v>#VALUE!</v>
      </c>
      <c r="BK101" t="e">
        <f>AND('UP133'!X63,"AAAAAHh98T4=")</f>
        <v>#VALUE!</v>
      </c>
      <c r="BL101" t="e">
        <f>AND('UP133'!Y63,"AAAAAHh98T8=")</f>
        <v>#VALUE!</v>
      </c>
      <c r="BM101" t="e">
        <f>AND('UP133'!Z63,"AAAAAHh98UA=")</f>
        <v>#VALUE!</v>
      </c>
      <c r="BN101" t="e">
        <f>AND('UP133'!AA63,"AAAAAHh98UE=")</f>
        <v>#VALUE!</v>
      </c>
      <c r="BO101" t="e">
        <f>AND('UP133'!AB63,"AAAAAHh98UI=")</f>
        <v>#VALUE!</v>
      </c>
      <c r="BP101" t="e">
        <f>AND('UP133'!AC63,"AAAAAHh98UM=")</f>
        <v>#VALUE!</v>
      </c>
      <c r="BQ101" t="e">
        <f>AND('UP133'!AD63,"AAAAAHh98UQ=")</f>
        <v>#VALUE!</v>
      </c>
      <c r="BR101" t="e">
        <f>AND('UP133'!AE63,"AAAAAHh98UU=")</f>
        <v>#VALUE!</v>
      </c>
      <c r="BS101" t="e">
        <f>AND('UP133'!AF63,"AAAAAHh98UY=")</f>
        <v>#VALUE!</v>
      </c>
      <c r="BT101" t="e">
        <f>AND('UP133'!AG63,"AAAAAHh98Uc=")</f>
        <v>#VALUE!</v>
      </c>
      <c r="BU101" t="e">
        <f>AND('UP133'!AH63,"AAAAAHh98Ug=")</f>
        <v>#VALUE!</v>
      </c>
      <c r="BV101" t="e">
        <f>AND('UP133'!AI63,"AAAAAHh98Uk=")</f>
        <v>#VALUE!</v>
      </c>
      <c r="BW101" t="e">
        <f>AND('UP133'!AJ63,"AAAAAHh98Uo=")</f>
        <v>#VALUE!</v>
      </c>
      <c r="BX101" t="e">
        <f>AND('UP133'!AK63,"AAAAAHh98Us=")</f>
        <v>#VALUE!</v>
      </c>
      <c r="BY101" t="e">
        <f>AND('UP133'!AL63,"AAAAAHh98Uw=")</f>
        <v>#VALUE!</v>
      </c>
      <c r="BZ101" t="e">
        <f>AND('UP133'!AM63,"AAAAAHh98U0=")</f>
        <v>#VALUE!</v>
      </c>
      <c r="CA101" t="e">
        <f>AND('UP133'!AN63,"AAAAAHh98U4=")</f>
        <v>#VALUE!</v>
      </c>
      <c r="CB101" t="e">
        <f>AND('UP133'!AO63,"AAAAAHh98U8=")</f>
        <v>#VALUE!</v>
      </c>
      <c r="CC101" t="e">
        <f>AND('UP133'!AP63,"AAAAAHh98VA=")</f>
        <v>#VALUE!</v>
      </c>
      <c r="CD101" t="e">
        <f>AND('UP133'!AQ63,"AAAAAHh98VE=")</f>
        <v>#VALUE!</v>
      </c>
      <c r="CE101" t="e">
        <f>AND('UP133'!AR63,"AAAAAHh98VI=")</f>
        <v>#VALUE!</v>
      </c>
      <c r="CF101" t="e">
        <f>AND('UP133'!AS63,"AAAAAHh98VM=")</f>
        <v>#VALUE!</v>
      </c>
      <c r="CG101" t="e">
        <f>AND('UP133'!AT63,"AAAAAHh98VQ=")</f>
        <v>#VALUE!</v>
      </c>
      <c r="CH101" t="e">
        <f>AND('UP133'!AU63,"AAAAAHh98VU=")</f>
        <v>#VALUE!</v>
      </c>
      <c r="CI101" t="e">
        <f>AND('UP133'!AV63,"AAAAAHh98VY=")</f>
        <v>#VALUE!</v>
      </c>
      <c r="CJ101" t="e">
        <f>AND('UP133'!AW63,"AAAAAHh98Vc=")</f>
        <v>#VALUE!</v>
      </c>
      <c r="CK101" t="e">
        <f>AND('UP133'!AX63,"AAAAAHh98Vg=")</f>
        <v>#VALUE!</v>
      </c>
      <c r="CL101" t="e">
        <f>AND('UP133'!AY63,"AAAAAHh98Vk=")</f>
        <v>#VALUE!</v>
      </c>
      <c r="CM101" t="e">
        <f>AND('UP133'!AZ63,"AAAAAHh98Vo=")</f>
        <v>#VALUE!</v>
      </c>
      <c r="CN101" t="e">
        <f>AND('UP133'!BA63,"AAAAAHh98Vs=")</f>
        <v>#VALUE!</v>
      </c>
      <c r="CO101" t="e">
        <f>AND('UP133'!BB63,"AAAAAHh98Vw=")</f>
        <v>#VALUE!</v>
      </c>
      <c r="CP101" t="e">
        <f>AND('UP133'!BC63,"AAAAAHh98V0=")</f>
        <v>#VALUE!</v>
      </c>
      <c r="CQ101" t="e">
        <f>AND('UP133'!BD63,"AAAAAHh98V4=")</f>
        <v>#VALUE!</v>
      </c>
      <c r="CR101" t="e">
        <f>AND('UP133'!BE63,"AAAAAHh98V8=")</f>
        <v>#VALUE!</v>
      </c>
      <c r="CS101" t="e">
        <f>AND('UP133'!BF63,"AAAAAHh98WA=")</f>
        <v>#VALUE!</v>
      </c>
      <c r="CT101" t="e">
        <f>AND('UP133'!BG63,"AAAAAHh98WE=")</f>
        <v>#VALUE!</v>
      </c>
      <c r="CU101" t="e">
        <f>AND('UP133'!BH63,"AAAAAHh98WI=")</f>
        <v>#VALUE!</v>
      </c>
      <c r="CV101" t="e">
        <f>AND('UP133'!BI63,"AAAAAHh98WM=")</f>
        <v>#VALUE!</v>
      </c>
      <c r="CW101" t="e">
        <f>AND('UP133'!BJ63,"AAAAAHh98WQ=")</f>
        <v>#VALUE!</v>
      </c>
      <c r="CX101" t="e">
        <f>AND('UP133'!BK63,"AAAAAHh98WU=")</f>
        <v>#VALUE!</v>
      </c>
      <c r="CY101" t="e">
        <f>AND('UP133'!BL63,"AAAAAHh98WY=")</f>
        <v>#VALUE!</v>
      </c>
      <c r="CZ101" t="e">
        <f>AND('UP133'!BM63,"AAAAAHh98Wc=")</f>
        <v>#VALUE!</v>
      </c>
      <c r="DA101" t="e">
        <f>AND('UP133'!BN63,"AAAAAHh98Wg=")</f>
        <v>#VALUE!</v>
      </c>
      <c r="DB101" t="e">
        <f>AND('UP133'!BO63,"AAAAAHh98Wk=")</f>
        <v>#VALUE!</v>
      </c>
      <c r="DC101" t="e">
        <f>AND('UP133'!BP63,"AAAAAHh98Wo=")</f>
        <v>#VALUE!</v>
      </c>
      <c r="DD101" t="e">
        <f>AND('UP133'!BQ63,"AAAAAHh98Ws=")</f>
        <v>#VALUE!</v>
      </c>
      <c r="DE101" t="e">
        <f>AND('UP133'!BR63,"AAAAAHh98Ww=")</f>
        <v>#VALUE!</v>
      </c>
      <c r="DF101" t="e">
        <f>AND('UP133'!BS63,"AAAAAHh98W0=")</f>
        <v>#VALUE!</v>
      </c>
      <c r="DG101" t="e">
        <f>AND('UP133'!BT63,"AAAAAHh98W4=")</f>
        <v>#VALUE!</v>
      </c>
      <c r="DH101" t="e">
        <f>AND('UP133'!BU63,"AAAAAHh98W8=")</f>
        <v>#VALUE!</v>
      </c>
      <c r="DI101" t="e">
        <f>AND('UP133'!BV63,"AAAAAHh98XA=")</f>
        <v>#VALUE!</v>
      </c>
      <c r="DJ101" t="e">
        <f>AND('UP133'!BW63,"AAAAAHh98XE=")</f>
        <v>#VALUE!</v>
      </c>
      <c r="DK101" t="e">
        <f>AND('UP133'!BX63,"AAAAAHh98XI=")</f>
        <v>#VALUE!</v>
      </c>
      <c r="DL101" t="e">
        <f>AND('UP133'!BY63,"AAAAAHh98XM=")</f>
        <v>#VALUE!</v>
      </c>
      <c r="DM101" t="e">
        <f>AND('UP133'!BZ63,"AAAAAHh98XQ=")</f>
        <v>#VALUE!</v>
      </c>
      <c r="DN101" t="e">
        <f>AND('UP133'!CA63,"AAAAAHh98XU=")</f>
        <v>#VALUE!</v>
      </c>
      <c r="DO101" t="e">
        <f>AND('UP133'!CB63,"AAAAAHh98XY=")</f>
        <v>#VALUE!</v>
      </c>
      <c r="DP101" t="e">
        <f>AND('UP133'!CC63,"AAAAAHh98Xc=")</f>
        <v>#VALUE!</v>
      </c>
      <c r="DQ101" t="e">
        <f>AND('UP133'!CD63,"AAAAAHh98Xg=")</f>
        <v>#VALUE!</v>
      </c>
      <c r="DR101" t="e">
        <f>AND('UP133'!CE63,"AAAAAHh98Xk=")</f>
        <v>#VALUE!</v>
      </c>
      <c r="DS101" t="e">
        <f>AND('UP133'!CF63,"AAAAAHh98Xo=")</f>
        <v>#VALUE!</v>
      </c>
      <c r="DT101" t="e">
        <f>AND('UP133'!CG63,"AAAAAHh98Xs=")</f>
        <v>#VALUE!</v>
      </c>
      <c r="DU101" t="e">
        <f>AND('UP133'!CH63,"AAAAAHh98Xw=")</f>
        <v>#VALUE!</v>
      </c>
      <c r="DV101" t="e">
        <f>AND('UP133'!CI63,"AAAAAHh98X0=")</f>
        <v>#VALUE!</v>
      </c>
      <c r="DW101" t="e">
        <f>AND('UP133'!CJ63,"AAAAAHh98X4=")</f>
        <v>#VALUE!</v>
      </c>
      <c r="DX101" t="e">
        <f>AND('UP133'!CK63,"AAAAAHh98X8=")</f>
        <v>#VALUE!</v>
      </c>
      <c r="DY101" t="e">
        <f>AND('UP133'!CL63,"AAAAAHh98YA=")</f>
        <v>#VALUE!</v>
      </c>
      <c r="DZ101" t="e">
        <f>AND('UP133'!CM63,"AAAAAHh98YE=")</f>
        <v>#VALUE!</v>
      </c>
      <c r="EA101" t="e">
        <f>AND('UP133'!CN63,"AAAAAHh98YI=")</f>
        <v>#VALUE!</v>
      </c>
      <c r="EB101" t="e">
        <f>AND('UP133'!CO63,"AAAAAHh98YM=")</f>
        <v>#VALUE!</v>
      </c>
      <c r="EC101" t="e">
        <f>AND('UP133'!CP63,"AAAAAHh98YQ=")</f>
        <v>#VALUE!</v>
      </c>
      <c r="ED101" t="e">
        <f>AND('UP133'!CQ63,"AAAAAHh98YU=")</f>
        <v>#VALUE!</v>
      </c>
      <c r="EE101" t="e">
        <f>AND('UP133'!CR63,"AAAAAHh98YY=")</f>
        <v>#VALUE!</v>
      </c>
      <c r="EF101" t="e">
        <f>AND('UP133'!CS63,"AAAAAHh98Yc=")</f>
        <v>#VALUE!</v>
      </c>
      <c r="EG101" t="e">
        <f>AND('UP133'!CT63,"AAAAAHh98Yg=")</f>
        <v>#VALUE!</v>
      </c>
      <c r="EH101" t="e">
        <f>AND('UP133'!CU63,"AAAAAHh98Yk=")</f>
        <v>#VALUE!</v>
      </c>
      <c r="EI101" t="e">
        <f>AND('UP133'!CV63,"AAAAAHh98Yo=")</f>
        <v>#VALUE!</v>
      </c>
      <c r="EJ101" t="e">
        <f>AND('UP133'!CW63,"AAAAAHh98Ys=")</f>
        <v>#VALUE!</v>
      </c>
      <c r="EK101" t="e">
        <f>AND('UP133'!CX63,"AAAAAHh98Yw=")</f>
        <v>#VALUE!</v>
      </c>
      <c r="EL101" t="e">
        <f>AND('UP133'!CY63,"AAAAAHh98Y0=")</f>
        <v>#VALUE!</v>
      </c>
      <c r="EM101" t="e">
        <f>AND('UP133'!CZ63,"AAAAAHh98Y4=")</f>
        <v>#VALUE!</v>
      </c>
      <c r="EN101" t="e">
        <f>AND('UP133'!DA63,"AAAAAHh98Y8=")</f>
        <v>#VALUE!</v>
      </c>
      <c r="EO101" t="e">
        <f>AND('UP133'!DB63,"AAAAAHh98ZA=")</f>
        <v>#VALUE!</v>
      </c>
      <c r="EP101" t="e">
        <f>AND('UP133'!DC63,"AAAAAHh98ZE=")</f>
        <v>#VALUE!</v>
      </c>
      <c r="EQ101" t="e">
        <f>AND('UP133'!DD63,"AAAAAHh98ZI=")</f>
        <v>#VALUE!</v>
      </c>
      <c r="ER101" t="e">
        <f>AND('UP133'!DE63,"AAAAAHh98ZM=")</f>
        <v>#VALUE!</v>
      </c>
      <c r="ES101" t="e">
        <f>AND('UP133'!DF63,"AAAAAHh98ZQ=")</f>
        <v>#VALUE!</v>
      </c>
      <c r="ET101" t="e">
        <f>AND('UP133'!DG63,"AAAAAHh98ZU=")</f>
        <v>#VALUE!</v>
      </c>
      <c r="EU101" t="e">
        <f>AND('UP133'!DH63,"AAAAAHh98ZY=")</f>
        <v>#VALUE!</v>
      </c>
      <c r="EV101" t="e">
        <f>AND('UP133'!DI63,"AAAAAHh98Zc=")</f>
        <v>#VALUE!</v>
      </c>
      <c r="EW101" t="e">
        <f>AND('UP133'!DJ63,"AAAAAHh98Zg=")</f>
        <v>#VALUE!</v>
      </c>
      <c r="EX101" t="e">
        <f>AND('UP133'!DK63,"AAAAAHh98Zk=")</f>
        <v>#VALUE!</v>
      </c>
      <c r="EY101" t="e">
        <f>AND('UP133'!DL63,"AAAAAHh98Zo=")</f>
        <v>#VALUE!</v>
      </c>
      <c r="EZ101" t="e">
        <f>AND('UP133'!DM63,"AAAAAHh98Zs=")</f>
        <v>#VALUE!</v>
      </c>
      <c r="FA101" t="e">
        <f>AND('UP133'!DN63,"AAAAAHh98Zw=")</f>
        <v>#VALUE!</v>
      </c>
      <c r="FB101" t="e">
        <f>AND('UP133'!DO63,"AAAAAHh98Z0=")</f>
        <v>#VALUE!</v>
      </c>
      <c r="FC101" t="e">
        <f>AND('UP133'!DP63,"AAAAAHh98Z4=")</f>
        <v>#VALUE!</v>
      </c>
      <c r="FD101" t="e">
        <f>AND('UP133'!DQ63,"AAAAAHh98Z8=")</f>
        <v>#VALUE!</v>
      </c>
      <c r="FE101" t="e">
        <f>AND('UP133'!DR63,"AAAAAHh98aA=")</f>
        <v>#VALUE!</v>
      </c>
      <c r="FF101" t="e">
        <f>AND('UP133'!DS63,"AAAAAHh98aE=")</f>
        <v>#VALUE!</v>
      </c>
      <c r="FG101" t="e">
        <f>AND('UP133'!DT63,"AAAAAHh98aI=")</f>
        <v>#VALUE!</v>
      </c>
      <c r="FH101" t="e">
        <f>AND('UP133'!DU63,"AAAAAHh98aM=")</f>
        <v>#VALUE!</v>
      </c>
      <c r="FI101" t="e">
        <f>AND('UP133'!DV63,"AAAAAHh98aQ=")</f>
        <v>#VALUE!</v>
      </c>
      <c r="FJ101" t="e">
        <f>AND('UP133'!DW63,"AAAAAHh98aU=")</f>
        <v>#VALUE!</v>
      </c>
      <c r="FK101" t="e">
        <f>AND('UP133'!DX63,"AAAAAHh98aY=")</f>
        <v>#VALUE!</v>
      </c>
      <c r="FL101" t="e">
        <f>AND('UP133'!DY63,"AAAAAHh98ac=")</f>
        <v>#VALUE!</v>
      </c>
      <c r="FM101" t="e">
        <f>AND('UP133'!DZ63,"AAAAAHh98ag=")</f>
        <v>#VALUE!</v>
      </c>
      <c r="FN101" t="e">
        <f>AND('UP133'!EA63,"AAAAAHh98ak=")</f>
        <v>#VALUE!</v>
      </c>
      <c r="FO101" t="e">
        <f>AND('UP133'!EB63,"AAAAAHh98ao=")</f>
        <v>#VALUE!</v>
      </c>
      <c r="FP101" t="e">
        <f>AND('UP133'!EC63,"AAAAAHh98as=")</f>
        <v>#VALUE!</v>
      </c>
      <c r="FQ101" t="e">
        <f>AND('UP133'!ED63,"AAAAAHh98aw=")</f>
        <v>#VALUE!</v>
      </c>
      <c r="FR101" t="e">
        <f>AND('UP133'!EE63,"AAAAAHh98a0=")</f>
        <v>#VALUE!</v>
      </c>
      <c r="FS101" t="e">
        <f>AND('UP133'!EF63,"AAAAAHh98a4=")</f>
        <v>#VALUE!</v>
      </c>
      <c r="FT101" t="e">
        <f>AND('UP133'!EG63,"AAAAAHh98a8=")</f>
        <v>#VALUE!</v>
      </c>
      <c r="FU101" t="e">
        <f>AND('UP133'!EH63,"AAAAAHh98bA=")</f>
        <v>#VALUE!</v>
      </c>
      <c r="FV101" t="e">
        <f>AND('UP133'!EI63,"AAAAAHh98bE=")</f>
        <v>#VALUE!</v>
      </c>
      <c r="FW101" t="e">
        <f>AND('UP133'!EJ63,"AAAAAHh98bI=")</f>
        <v>#VALUE!</v>
      </c>
      <c r="FX101" t="e">
        <f>AND('UP133'!EK63,"AAAAAHh98bM=")</f>
        <v>#VALUE!</v>
      </c>
      <c r="FY101" t="e">
        <f>AND('UP133'!EL63,"AAAAAHh98bQ=")</f>
        <v>#VALUE!</v>
      </c>
      <c r="FZ101" t="e">
        <f>AND('UP133'!EM63,"AAAAAHh98bU=")</f>
        <v>#VALUE!</v>
      </c>
      <c r="GA101" t="e">
        <f>AND('UP133'!EN63,"AAAAAHh98bY=")</f>
        <v>#VALUE!</v>
      </c>
      <c r="GB101" t="e">
        <f>AND('UP133'!EO63,"AAAAAHh98bc=")</f>
        <v>#VALUE!</v>
      </c>
      <c r="GC101" t="e">
        <f>AND('UP133'!EP63,"AAAAAHh98bg=")</f>
        <v>#VALUE!</v>
      </c>
      <c r="GD101" t="e">
        <f>AND('UP133'!EQ63,"AAAAAHh98bk=")</f>
        <v>#VALUE!</v>
      </c>
      <c r="GE101" t="e">
        <f>AND('UP133'!ER63,"AAAAAHh98bo=")</f>
        <v>#VALUE!</v>
      </c>
      <c r="GF101" t="e">
        <f>AND('UP133'!ES63,"AAAAAHh98bs=")</f>
        <v>#VALUE!</v>
      </c>
      <c r="GG101" t="e">
        <f>AND('UP133'!ET63,"AAAAAHh98bw=")</f>
        <v>#VALUE!</v>
      </c>
      <c r="GH101" t="e">
        <f>AND('UP133'!EU63,"AAAAAHh98b0=")</f>
        <v>#VALUE!</v>
      </c>
      <c r="GI101" t="e">
        <f>AND('UP133'!EV63,"AAAAAHh98b4=")</f>
        <v>#VALUE!</v>
      </c>
      <c r="GJ101" t="e">
        <f>AND('UP133'!EW63,"AAAAAHh98b8=")</f>
        <v>#VALUE!</v>
      </c>
      <c r="GK101" t="e">
        <f>AND('UP133'!EX63,"AAAAAHh98cA=")</f>
        <v>#VALUE!</v>
      </c>
      <c r="GL101" t="e">
        <f>AND('UP133'!EY63,"AAAAAHh98cE=")</f>
        <v>#VALUE!</v>
      </c>
      <c r="GM101" t="e">
        <f>AND('UP133'!EZ63,"AAAAAHh98cI=")</f>
        <v>#VALUE!</v>
      </c>
      <c r="GN101" t="e">
        <f>AND('UP133'!FA63,"AAAAAHh98cM=")</f>
        <v>#VALUE!</v>
      </c>
      <c r="GO101" t="e">
        <f>AND('UP133'!FB63,"AAAAAHh98cQ=")</f>
        <v>#VALUE!</v>
      </c>
      <c r="GP101" t="e">
        <f>AND('UP133'!FC63,"AAAAAHh98cU=")</f>
        <v>#VALUE!</v>
      </c>
      <c r="GQ101" t="e">
        <f>AND('UP133'!FD63,"AAAAAHh98cY=")</f>
        <v>#VALUE!</v>
      </c>
      <c r="GR101" t="e">
        <f>AND('UP133'!FE63,"AAAAAHh98cc=")</f>
        <v>#VALUE!</v>
      </c>
      <c r="GS101" t="e">
        <f>AND('UP133'!FF63,"AAAAAHh98cg=")</f>
        <v>#VALUE!</v>
      </c>
      <c r="GT101" t="e">
        <f>AND('UP133'!FG63,"AAAAAHh98ck=")</f>
        <v>#VALUE!</v>
      </c>
      <c r="GU101" t="e">
        <f>AND('UP133'!FH63,"AAAAAHh98co=")</f>
        <v>#VALUE!</v>
      </c>
      <c r="GV101" t="e">
        <f>AND('UP133'!FI63,"AAAAAHh98cs=")</f>
        <v>#VALUE!</v>
      </c>
      <c r="GW101" t="e">
        <f>AND('UP133'!FJ63,"AAAAAHh98cw=")</f>
        <v>#VALUE!</v>
      </c>
      <c r="GX101" t="e">
        <f>AND('UP133'!FK63,"AAAAAHh98c0=")</f>
        <v>#VALUE!</v>
      </c>
      <c r="GY101" t="e">
        <f>AND('UP133'!FL63,"AAAAAHh98c4=")</f>
        <v>#VALUE!</v>
      </c>
      <c r="GZ101" t="e">
        <f>AND('UP133'!FM63,"AAAAAHh98c8=")</f>
        <v>#VALUE!</v>
      </c>
      <c r="HA101" t="e">
        <f>AND('UP133'!FN63,"AAAAAHh98dA=")</f>
        <v>#VALUE!</v>
      </c>
      <c r="HB101" t="e">
        <f>AND('UP133'!FO63,"AAAAAHh98dE=")</f>
        <v>#VALUE!</v>
      </c>
      <c r="HC101" t="e">
        <f>AND('UP133'!FP63,"AAAAAHh98dI=")</f>
        <v>#VALUE!</v>
      </c>
      <c r="HD101" t="e">
        <f>AND('UP133'!FQ63,"AAAAAHh98dM=")</f>
        <v>#VALUE!</v>
      </c>
      <c r="HE101" t="e">
        <f>AND('UP133'!FR63,"AAAAAHh98dQ=")</f>
        <v>#VALUE!</v>
      </c>
      <c r="HF101" t="e">
        <f>AND('UP133'!FS63,"AAAAAHh98dU=")</f>
        <v>#VALUE!</v>
      </c>
      <c r="HG101" t="e">
        <f>AND('UP133'!FT63,"AAAAAHh98dY=")</f>
        <v>#VALUE!</v>
      </c>
      <c r="HH101" t="e">
        <f>AND('UP133'!FU63,"AAAAAHh98dc=")</f>
        <v>#VALUE!</v>
      </c>
      <c r="HI101" t="e">
        <f>AND('UP133'!FV63,"AAAAAHh98dg=")</f>
        <v>#VALUE!</v>
      </c>
      <c r="HJ101" t="e">
        <f>AND('UP133'!FW63,"AAAAAHh98dk=")</f>
        <v>#VALUE!</v>
      </c>
      <c r="HK101" t="e">
        <f>AND('UP133'!FX63,"AAAAAHh98do=")</f>
        <v>#VALUE!</v>
      </c>
      <c r="HL101" t="e">
        <f>AND('UP133'!FY63,"AAAAAHh98ds=")</f>
        <v>#VALUE!</v>
      </c>
      <c r="HM101" t="e">
        <f>AND('UP133'!FZ63,"AAAAAHh98dw=")</f>
        <v>#VALUE!</v>
      </c>
      <c r="HN101" t="e">
        <f>AND('UP133'!GA63,"AAAAAHh98d0=")</f>
        <v>#VALUE!</v>
      </c>
      <c r="HO101" t="e">
        <f>AND('UP133'!GB63,"AAAAAHh98d4=")</f>
        <v>#VALUE!</v>
      </c>
      <c r="HP101" t="e">
        <f>AND('UP133'!GC63,"AAAAAHh98d8=")</f>
        <v>#VALUE!</v>
      </c>
      <c r="HQ101" t="e">
        <f>AND('UP133'!GD63,"AAAAAHh98eA=")</f>
        <v>#VALUE!</v>
      </c>
      <c r="HR101" t="e">
        <f>AND('UP133'!GE63,"AAAAAHh98eE=")</f>
        <v>#VALUE!</v>
      </c>
      <c r="HS101" t="e">
        <f>AND('UP133'!GF63,"AAAAAHh98eI=")</f>
        <v>#VALUE!</v>
      </c>
      <c r="HT101" t="e">
        <f>AND('UP133'!GG63,"AAAAAHh98eM=")</f>
        <v>#VALUE!</v>
      </c>
      <c r="HU101" t="e">
        <f>AND('UP133'!GH63,"AAAAAHh98eQ=")</f>
        <v>#VALUE!</v>
      </c>
      <c r="HV101" t="e">
        <f>AND('UP133'!GI63,"AAAAAHh98eU=")</f>
        <v>#VALUE!</v>
      </c>
      <c r="HW101" t="e">
        <f>AND('UP133'!GJ63,"AAAAAHh98eY=")</f>
        <v>#VALUE!</v>
      </c>
      <c r="HX101" t="e">
        <f>AND('UP133'!GK63,"AAAAAHh98ec=")</f>
        <v>#VALUE!</v>
      </c>
      <c r="HY101" t="e">
        <f>AND('UP133'!GL63,"AAAAAHh98eg=")</f>
        <v>#VALUE!</v>
      </c>
      <c r="HZ101" t="e">
        <f>AND('UP133'!GM63,"AAAAAHh98ek=")</f>
        <v>#VALUE!</v>
      </c>
      <c r="IA101" t="e">
        <f>AND('UP133'!GN63,"AAAAAHh98eo=")</f>
        <v>#VALUE!</v>
      </c>
      <c r="IB101" t="e">
        <f>AND('UP133'!GO63,"AAAAAHh98es=")</f>
        <v>#VALUE!</v>
      </c>
      <c r="IC101" t="e">
        <f>AND('UP133'!GP63,"AAAAAHh98ew=")</f>
        <v>#VALUE!</v>
      </c>
      <c r="ID101" t="e">
        <f>AND('UP133'!GQ63,"AAAAAHh98e0=")</f>
        <v>#VALUE!</v>
      </c>
      <c r="IE101" t="e">
        <f>AND('UP133'!GR63,"AAAAAHh98e4=")</f>
        <v>#VALUE!</v>
      </c>
      <c r="IF101" t="e">
        <f>AND('UP133'!GS63,"AAAAAHh98e8=")</f>
        <v>#VALUE!</v>
      </c>
      <c r="IG101" t="e">
        <f>AND('UP133'!GT63,"AAAAAHh98fA=")</f>
        <v>#VALUE!</v>
      </c>
      <c r="IH101" t="e">
        <f>AND('UP133'!GU63,"AAAAAHh98fE=")</f>
        <v>#VALUE!</v>
      </c>
      <c r="II101" t="e">
        <f>AND('UP133'!GV63,"AAAAAHh98fI=")</f>
        <v>#VALUE!</v>
      </c>
      <c r="IJ101" t="e">
        <f>AND('UP133'!GW63,"AAAAAHh98fM=")</f>
        <v>#VALUE!</v>
      </c>
      <c r="IK101" t="e">
        <f>AND('UP133'!GX63,"AAAAAHh98fQ=")</f>
        <v>#VALUE!</v>
      </c>
      <c r="IL101" t="e">
        <f>AND('UP133'!GY63,"AAAAAHh98fU=")</f>
        <v>#VALUE!</v>
      </c>
      <c r="IM101" t="e">
        <f>AND('UP133'!GZ63,"AAAAAHh98fY=")</f>
        <v>#VALUE!</v>
      </c>
      <c r="IN101" t="e">
        <f>AND('UP133'!HA63,"AAAAAHh98fc=")</f>
        <v>#VALUE!</v>
      </c>
      <c r="IO101" t="e">
        <f>AND('UP133'!HB63,"AAAAAHh98fg=")</f>
        <v>#VALUE!</v>
      </c>
      <c r="IP101" t="e">
        <f>AND('UP133'!HC63,"AAAAAHh98fk=")</f>
        <v>#VALUE!</v>
      </c>
      <c r="IQ101" t="e">
        <f>AND('UP133'!HD63,"AAAAAHh98fo=")</f>
        <v>#VALUE!</v>
      </c>
      <c r="IR101" t="e">
        <f>AND('UP133'!HE63,"AAAAAHh98fs=")</f>
        <v>#VALUE!</v>
      </c>
      <c r="IS101" t="e">
        <f>AND('UP133'!HF63,"AAAAAHh98fw=")</f>
        <v>#VALUE!</v>
      </c>
      <c r="IT101" t="e">
        <f>AND('UP133'!HG63,"AAAAAHh98f0=")</f>
        <v>#VALUE!</v>
      </c>
      <c r="IU101" t="e">
        <f>AND('UP133'!HH63,"AAAAAHh98f4=")</f>
        <v>#VALUE!</v>
      </c>
      <c r="IV101" t="e">
        <f>AND('UP133'!HI63,"AAAAAHh98f8=")</f>
        <v>#VALUE!</v>
      </c>
    </row>
    <row r="102" spans="1:256">
      <c r="A102" t="e">
        <f>AND('UP133'!HJ63,"AAAAAHpu/wA=")</f>
        <v>#VALUE!</v>
      </c>
      <c r="B102" t="e">
        <f>AND('UP133'!HK63,"AAAAAHpu/wE=")</f>
        <v>#VALUE!</v>
      </c>
      <c r="C102" t="e">
        <f>AND('UP133'!HL63,"AAAAAHpu/wI=")</f>
        <v>#VALUE!</v>
      </c>
      <c r="D102" t="e">
        <f>AND('UP133'!HM63,"AAAAAHpu/wM=")</f>
        <v>#VALUE!</v>
      </c>
      <c r="E102" t="e">
        <f>AND('UP133'!HN63,"AAAAAHpu/wQ=")</f>
        <v>#VALUE!</v>
      </c>
      <c r="F102" t="e">
        <f>AND('UP133'!HO63,"AAAAAHpu/wU=")</f>
        <v>#VALUE!</v>
      </c>
      <c r="G102" t="e">
        <f>AND('UP133'!HP63,"AAAAAHpu/wY=")</f>
        <v>#VALUE!</v>
      </c>
      <c r="H102" t="e">
        <f>AND('UP133'!HQ63,"AAAAAHpu/wc=")</f>
        <v>#VALUE!</v>
      </c>
      <c r="I102" t="e">
        <f>AND('UP133'!HR63,"AAAAAHpu/wg=")</f>
        <v>#VALUE!</v>
      </c>
      <c r="J102" t="e">
        <f>AND('UP133'!HS63,"AAAAAHpu/wk=")</f>
        <v>#VALUE!</v>
      </c>
      <c r="K102" t="e">
        <f>AND('UP133'!HT63,"AAAAAHpu/wo=")</f>
        <v>#VALUE!</v>
      </c>
      <c r="L102" t="e">
        <f>AND('UP133'!HU63,"AAAAAHpu/ws=")</f>
        <v>#VALUE!</v>
      </c>
      <c r="M102" t="e">
        <f>AND('UP133'!HV63,"AAAAAHpu/ww=")</f>
        <v>#VALUE!</v>
      </c>
      <c r="N102" t="e">
        <f>AND('UP133'!HW63,"AAAAAHpu/w0=")</f>
        <v>#VALUE!</v>
      </c>
      <c r="O102" t="e">
        <f>AND('UP133'!HX63,"AAAAAHpu/w4=")</f>
        <v>#VALUE!</v>
      </c>
      <c r="P102" t="e">
        <f>AND('UP133'!HY63,"AAAAAHpu/w8=")</f>
        <v>#VALUE!</v>
      </c>
      <c r="Q102" t="e">
        <f>AND('UP133'!HZ63,"AAAAAHpu/xA=")</f>
        <v>#VALUE!</v>
      </c>
      <c r="R102" t="e">
        <f>AND('UP133'!IA63,"AAAAAHpu/xE=")</f>
        <v>#VALUE!</v>
      </c>
      <c r="S102" t="e">
        <f>AND('UP133'!IB63,"AAAAAHpu/xI=")</f>
        <v>#VALUE!</v>
      </c>
      <c r="T102" t="e">
        <f>AND('UP133'!IC63,"AAAAAHpu/xM=")</f>
        <v>#VALUE!</v>
      </c>
      <c r="U102" t="e">
        <f>AND('UP133'!ID63,"AAAAAHpu/xQ=")</f>
        <v>#VALUE!</v>
      </c>
      <c r="V102" t="e">
        <f>AND('UP133'!IE63,"AAAAAHpu/xU=")</f>
        <v>#VALUE!</v>
      </c>
      <c r="W102" t="e">
        <f>AND('UP133'!IF63,"AAAAAHpu/xY=")</f>
        <v>#VALUE!</v>
      </c>
      <c r="X102" t="e">
        <f>AND('UP133'!IG63,"AAAAAHpu/xc=")</f>
        <v>#VALUE!</v>
      </c>
      <c r="Y102" t="e">
        <f>AND('UP133'!IH63,"AAAAAHpu/xg=")</f>
        <v>#VALUE!</v>
      </c>
      <c r="Z102" t="e">
        <f>AND('UP133'!II63,"AAAAAHpu/xk=")</f>
        <v>#VALUE!</v>
      </c>
      <c r="AA102" t="e">
        <f>AND('UP133'!IJ63,"AAAAAHpu/xo=")</f>
        <v>#VALUE!</v>
      </c>
      <c r="AB102" t="e">
        <f>AND('UP133'!IK63,"AAAAAHpu/xs=")</f>
        <v>#VALUE!</v>
      </c>
      <c r="AC102" t="e">
        <f>AND('UP133'!IL63,"AAAAAHpu/xw=")</f>
        <v>#VALUE!</v>
      </c>
      <c r="AD102" t="e">
        <f>AND('UP133'!IM63,"AAAAAHpu/x0=")</f>
        <v>#VALUE!</v>
      </c>
      <c r="AE102" t="e">
        <f>AND('UP133'!IN63,"AAAAAHpu/x4=")</f>
        <v>#VALUE!</v>
      </c>
      <c r="AF102" t="e">
        <f>AND('UP133'!IO63,"AAAAAHpu/x8=")</f>
        <v>#VALUE!</v>
      </c>
      <c r="AG102" t="e">
        <f>AND('UP133'!IP63,"AAAAAHpu/yA=")</f>
        <v>#VALUE!</v>
      </c>
      <c r="AH102" t="e">
        <f>AND('UP133'!IQ63,"AAAAAHpu/yE=")</f>
        <v>#VALUE!</v>
      </c>
      <c r="AI102">
        <f>IF('UP133'!64:64,"AAAAAHpu/yI=",0)</f>
        <v>0</v>
      </c>
      <c r="AJ102" t="e">
        <f>AND('UP133'!A64,"AAAAAHpu/yM=")</f>
        <v>#VALUE!</v>
      </c>
      <c r="AK102" t="e">
        <f>AND('UP133'!B64,"AAAAAHpu/yQ=")</f>
        <v>#VALUE!</v>
      </c>
      <c r="AL102" t="e">
        <f>AND('UP133'!C64,"AAAAAHpu/yU=")</f>
        <v>#VALUE!</v>
      </c>
      <c r="AM102" t="e">
        <f>AND('UP133'!D64,"AAAAAHpu/yY=")</f>
        <v>#VALUE!</v>
      </c>
      <c r="AN102" t="e">
        <f>AND('UP133'!E64,"AAAAAHpu/yc=")</f>
        <v>#VALUE!</v>
      </c>
      <c r="AO102" t="e">
        <f>AND('UP133'!F64,"AAAAAHpu/yg=")</f>
        <v>#VALUE!</v>
      </c>
      <c r="AP102" t="e">
        <f>AND('UP133'!G64,"AAAAAHpu/yk=")</f>
        <v>#VALUE!</v>
      </c>
      <c r="AQ102" t="e">
        <f>AND('UP133'!H64,"AAAAAHpu/yo=")</f>
        <v>#VALUE!</v>
      </c>
      <c r="AR102" t="e">
        <f>AND('UP133'!I64,"AAAAAHpu/ys=")</f>
        <v>#VALUE!</v>
      </c>
      <c r="AS102" t="e">
        <f>AND('UP133'!J64,"AAAAAHpu/yw=")</f>
        <v>#VALUE!</v>
      </c>
      <c r="AT102" t="e">
        <f>AND('UP133'!K64,"AAAAAHpu/y0=")</f>
        <v>#VALUE!</v>
      </c>
      <c r="AU102" t="e">
        <f>AND('UP133'!L64,"AAAAAHpu/y4=")</f>
        <v>#VALUE!</v>
      </c>
      <c r="AV102" t="e">
        <f>AND('UP133'!M64,"AAAAAHpu/y8=")</f>
        <v>#VALUE!</v>
      </c>
      <c r="AW102" t="e">
        <f>AND('UP133'!N64,"AAAAAHpu/zA=")</f>
        <v>#VALUE!</v>
      </c>
      <c r="AX102" t="e">
        <f>AND('UP133'!O64,"AAAAAHpu/zE=")</f>
        <v>#VALUE!</v>
      </c>
      <c r="AY102" t="e">
        <f>AND('UP133'!P64,"AAAAAHpu/zI=")</f>
        <v>#VALUE!</v>
      </c>
      <c r="AZ102" t="e">
        <f>AND('UP133'!Q64,"AAAAAHpu/zM=")</f>
        <v>#VALUE!</v>
      </c>
      <c r="BA102" t="e">
        <f>AND('UP133'!R64,"AAAAAHpu/zQ=")</f>
        <v>#VALUE!</v>
      </c>
      <c r="BB102" t="e">
        <f>AND('UP133'!S64,"AAAAAHpu/zU=")</f>
        <v>#VALUE!</v>
      </c>
      <c r="BC102" t="e">
        <f>AND('UP133'!T64,"AAAAAHpu/zY=")</f>
        <v>#VALUE!</v>
      </c>
      <c r="BD102" t="e">
        <f>AND('UP133'!U64,"AAAAAHpu/zc=")</f>
        <v>#VALUE!</v>
      </c>
      <c r="BE102" t="e">
        <f>AND('UP133'!V64,"AAAAAHpu/zg=")</f>
        <v>#VALUE!</v>
      </c>
      <c r="BF102" t="e">
        <f>AND('UP133'!W64,"AAAAAHpu/zk=")</f>
        <v>#VALUE!</v>
      </c>
      <c r="BG102" t="e">
        <f>AND('UP133'!X64,"AAAAAHpu/zo=")</f>
        <v>#VALUE!</v>
      </c>
      <c r="BH102" t="e">
        <f>AND('UP133'!Y64,"AAAAAHpu/zs=")</f>
        <v>#VALUE!</v>
      </c>
      <c r="BI102" t="e">
        <f>AND('UP133'!Z64,"AAAAAHpu/zw=")</f>
        <v>#VALUE!</v>
      </c>
      <c r="BJ102" t="e">
        <f>AND('UP133'!AA64,"AAAAAHpu/z0=")</f>
        <v>#VALUE!</v>
      </c>
      <c r="BK102" t="e">
        <f>AND('UP133'!AB64,"AAAAAHpu/z4=")</f>
        <v>#VALUE!</v>
      </c>
      <c r="BL102" t="e">
        <f>AND('UP133'!AC64,"AAAAAHpu/z8=")</f>
        <v>#VALUE!</v>
      </c>
      <c r="BM102" t="e">
        <f>AND('UP133'!AD64,"AAAAAHpu/0A=")</f>
        <v>#VALUE!</v>
      </c>
      <c r="BN102" t="e">
        <f>AND('UP133'!AE64,"AAAAAHpu/0E=")</f>
        <v>#VALUE!</v>
      </c>
      <c r="BO102" t="e">
        <f>AND('UP133'!AF64,"AAAAAHpu/0I=")</f>
        <v>#VALUE!</v>
      </c>
      <c r="BP102" t="e">
        <f>AND('UP133'!AG64,"AAAAAHpu/0M=")</f>
        <v>#VALUE!</v>
      </c>
      <c r="BQ102" t="e">
        <f>AND('UP133'!AH64,"AAAAAHpu/0Q=")</f>
        <v>#VALUE!</v>
      </c>
      <c r="BR102" t="e">
        <f>AND('UP133'!AI64,"AAAAAHpu/0U=")</f>
        <v>#VALUE!</v>
      </c>
      <c r="BS102" t="e">
        <f>AND('UP133'!AJ64,"AAAAAHpu/0Y=")</f>
        <v>#VALUE!</v>
      </c>
      <c r="BT102" t="e">
        <f>AND('UP133'!AK64,"AAAAAHpu/0c=")</f>
        <v>#VALUE!</v>
      </c>
      <c r="BU102" t="e">
        <f>AND('UP133'!AL64,"AAAAAHpu/0g=")</f>
        <v>#VALUE!</v>
      </c>
      <c r="BV102" t="e">
        <f>AND('UP133'!AM64,"AAAAAHpu/0k=")</f>
        <v>#VALUE!</v>
      </c>
      <c r="BW102" t="e">
        <f>AND('UP133'!AN64,"AAAAAHpu/0o=")</f>
        <v>#VALUE!</v>
      </c>
      <c r="BX102" t="e">
        <f>AND('UP133'!AO64,"AAAAAHpu/0s=")</f>
        <v>#VALUE!</v>
      </c>
      <c r="BY102" t="e">
        <f>AND('UP133'!AP64,"AAAAAHpu/0w=")</f>
        <v>#VALUE!</v>
      </c>
      <c r="BZ102" t="e">
        <f>AND('UP133'!AQ64,"AAAAAHpu/00=")</f>
        <v>#VALUE!</v>
      </c>
      <c r="CA102" t="e">
        <f>AND('UP133'!AR64,"AAAAAHpu/04=")</f>
        <v>#VALUE!</v>
      </c>
      <c r="CB102" t="e">
        <f>AND('UP133'!AS64,"AAAAAHpu/08=")</f>
        <v>#VALUE!</v>
      </c>
      <c r="CC102" t="e">
        <f>AND('UP133'!AT64,"AAAAAHpu/1A=")</f>
        <v>#VALUE!</v>
      </c>
      <c r="CD102" t="e">
        <f>AND('UP133'!AU64,"AAAAAHpu/1E=")</f>
        <v>#VALUE!</v>
      </c>
      <c r="CE102" t="e">
        <f>AND('UP133'!AV64,"AAAAAHpu/1I=")</f>
        <v>#VALUE!</v>
      </c>
      <c r="CF102" t="e">
        <f>AND('UP133'!AW64,"AAAAAHpu/1M=")</f>
        <v>#VALUE!</v>
      </c>
      <c r="CG102" t="e">
        <f>AND('UP133'!AX64,"AAAAAHpu/1Q=")</f>
        <v>#VALUE!</v>
      </c>
      <c r="CH102" t="e">
        <f>AND('UP133'!AY64,"AAAAAHpu/1U=")</f>
        <v>#VALUE!</v>
      </c>
      <c r="CI102" t="e">
        <f>AND('UP133'!AZ64,"AAAAAHpu/1Y=")</f>
        <v>#VALUE!</v>
      </c>
      <c r="CJ102" t="e">
        <f>AND('UP133'!BA64,"AAAAAHpu/1c=")</f>
        <v>#VALUE!</v>
      </c>
      <c r="CK102" t="e">
        <f>AND('UP133'!BB64,"AAAAAHpu/1g=")</f>
        <v>#VALUE!</v>
      </c>
      <c r="CL102" t="e">
        <f>AND('UP133'!BC64,"AAAAAHpu/1k=")</f>
        <v>#VALUE!</v>
      </c>
      <c r="CM102" t="e">
        <f>AND('UP133'!BD64,"AAAAAHpu/1o=")</f>
        <v>#VALUE!</v>
      </c>
      <c r="CN102" t="e">
        <f>AND('UP133'!BE64,"AAAAAHpu/1s=")</f>
        <v>#VALUE!</v>
      </c>
      <c r="CO102" t="e">
        <f>AND('UP133'!BF64,"AAAAAHpu/1w=")</f>
        <v>#VALUE!</v>
      </c>
      <c r="CP102" t="e">
        <f>AND('UP133'!BG64,"AAAAAHpu/10=")</f>
        <v>#VALUE!</v>
      </c>
      <c r="CQ102" t="e">
        <f>AND('UP133'!BH64,"AAAAAHpu/14=")</f>
        <v>#VALUE!</v>
      </c>
      <c r="CR102" t="e">
        <f>AND('UP133'!BI64,"AAAAAHpu/18=")</f>
        <v>#VALUE!</v>
      </c>
      <c r="CS102" t="e">
        <f>AND('UP133'!BJ64,"AAAAAHpu/2A=")</f>
        <v>#VALUE!</v>
      </c>
      <c r="CT102" t="e">
        <f>AND('UP133'!BK64,"AAAAAHpu/2E=")</f>
        <v>#VALUE!</v>
      </c>
      <c r="CU102" t="e">
        <f>AND('UP133'!BL64,"AAAAAHpu/2I=")</f>
        <v>#VALUE!</v>
      </c>
      <c r="CV102" t="e">
        <f>AND('UP133'!BM64,"AAAAAHpu/2M=")</f>
        <v>#VALUE!</v>
      </c>
      <c r="CW102" t="e">
        <f>AND('UP133'!BN64,"AAAAAHpu/2Q=")</f>
        <v>#VALUE!</v>
      </c>
      <c r="CX102" t="e">
        <f>AND('UP133'!BO64,"AAAAAHpu/2U=")</f>
        <v>#VALUE!</v>
      </c>
      <c r="CY102" t="e">
        <f>AND('UP133'!BP64,"AAAAAHpu/2Y=")</f>
        <v>#VALUE!</v>
      </c>
      <c r="CZ102" t="e">
        <f>AND('UP133'!BQ64,"AAAAAHpu/2c=")</f>
        <v>#VALUE!</v>
      </c>
      <c r="DA102" t="e">
        <f>AND('UP133'!BR64,"AAAAAHpu/2g=")</f>
        <v>#VALUE!</v>
      </c>
      <c r="DB102" t="e">
        <f>AND('UP133'!BS64,"AAAAAHpu/2k=")</f>
        <v>#VALUE!</v>
      </c>
      <c r="DC102" t="e">
        <f>AND('UP133'!BT64,"AAAAAHpu/2o=")</f>
        <v>#VALUE!</v>
      </c>
      <c r="DD102" t="e">
        <f>AND('UP133'!BU64,"AAAAAHpu/2s=")</f>
        <v>#VALUE!</v>
      </c>
      <c r="DE102" t="e">
        <f>AND('UP133'!BV64,"AAAAAHpu/2w=")</f>
        <v>#VALUE!</v>
      </c>
      <c r="DF102" t="e">
        <f>AND('UP133'!BW64,"AAAAAHpu/20=")</f>
        <v>#VALUE!</v>
      </c>
      <c r="DG102" t="e">
        <f>AND('UP133'!BX64,"AAAAAHpu/24=")</f>
        <v>#VALUE!</v>
      </c>
      <c r="DH102" t="e">
        <f>AND('UP133'!BY64,"AAAAAHpu/28=")</f>
        <v>#VALUE!</v>
      </c>
      <c r="DI102" t="e">
        <f>AND('UP133'!BZ64,"AAAAAHpu/3A=")</f>
        <v>#VALUE!</v>
      </c>
      <c r="DJ102" t="e">
        <f>AND('UP133'!CA64,"AAAAAHpu/3E=")</f>
        <v>#VALUE!</v>
      </c>
      <c r="DK102" t="e">
        <f>AND('UP133'!CB64,"AAAAAHpu/3I=")</f>
        <v>#VALUE!</v>
      </c>
      <c r="DL102" t="e">
        <f>AND('UP133'!CC64,"AAAAAHpu/3M=")</f>
        <v>#VALUE!</v>
      </c>
      <c r="DM102" t="e">
        <f>AND('UP133'!CD64,"AAAAAHpu/3Q=")</f>
        <v>#VALUE!</v>
      </c>
      <c r="DN102" t="e">
        <f>AND('UP133'!CE64,"AAAAAHpu/3U=")</f>
        <v>#VALUE!</v>
      </c>
      <c r="DO102" t="e">
        <f>AND('UP133'!CF64,"AAAAAHpu/3Y=")</f>
        <v>#VALUE!</v>
      </c>
      <c r="DP102" t="e">
        <f>AND('UP133'!CG64,"AAAAAHpu/3c=")</f>
        <v>#VALUE!</v>
      </c>
      <c r="DQ102" t="e">
        <f>AND('UP133'!CH64,"AAAAAHpu/3g=")</f>
        <v>#VALUE!</v>
      </c>
      <c r="DR102" t="e">
        <f>AND('UP133'!CI64,"AAAAAHpu/3k=")</f>
        <v>#VALUE!</v>
      </c>
      <c r="DS102" t="e">
        <f>AND('UP133'!CJ64,"AAAAAHpu/3o=")</f>
        <v>#VALUE!</v>
      </c>
      <c r="DT102" t="e">
        <f>AND('UP133'!CK64,"AAAAAHpu/3s=")</f>
        <v>#VALUE!</v>
      </c>
      <c r="DU102" t="e">
        <f>AND('UP133'!CL64,"AAAAAHpu/3w=")</f>
        <v>#VALUE!</v>
      </c>
      <c r="DV102" t="e">
        <f>AND('UP133'!CM64,"AAAAAHpu/30=")</f>
        <v>#VALUE!</v>
      </c>
      <c r="DW102" t="e">
        <f>AND('UP133'!CN64,"AAAAAHpu/34=")</f>
        <v>#VALUE!</v>
      </c>
      <c r="DX102" t="e">
        <f>AND('UP133'!CO64,"AAAAAHpu/38=")</f>
        <v>#VALUE!</v>
      </c>
      <c r="DY102" t="e">
        <f>AND('UP133'!CP64,"AAAAAHpu/4A=")</f>
        <v>#VALUE!</v>
      </c>
      <c r="DZ102" t="e">
        <f>AND('UP133'!CQ64,"AAAAAHpu/4E=")</f>
        <v>#VALUE!</v>
      </c>
      <c r="EA102" t="e">
        <f>AND('UP133'!CR64,"AAAAAHpu/4I=")</f>
        <v>#VALUE!</v>
      </c>
      <c r="EB102" t="e">
        <f>AND('UP133'!CS64,"AAAAAHpu/4M=")</f>
        <v>#VALUE!</v>
      </c>
      <c r="EC102" t="e">
        <f>AND('UP133'!CT64,"AAAAAHpu/4Q=")</f>
        <v>#VALUE!</v>
      </c>
      <c r="ED102" t="e">
        <f>AND('UP133'!CU64,"AAAAAHpu/4U=")</f>
        <v>#VALUE!</v>
      </c>
      <c r="EE102" t="e">
        <f>AND('UP133'!CV64,"AAAAAHpu/4Y=")</f>
        <v>#VALUE!</v>
      </c>
      <c r="EF102" t="e">
        <f>AND('UP133'!CW64,"AAAAAHpu/4c=")</f>
        <v>#VALUE!</v>
      </c>
      <c r="EG102" t="e">
        <f>AND('UP133'!CX64,"AAAAAHpu/4g=")</f>
        <v>#VALUE!</v>
      </c>
      <c r="EH102" t="e">
        <f>AND('UP133'!CY64,"AAAAAHpu/4k=")</f>
        <v>#VALUE!</v>
      </c>
      <c r="EI102" t="e">
        <f>AND('UP133'!CZ64,"AAAAAHpu/4o=")</f>
        <v>#VALUE!</v>
      </c>
      <c r="EJ102" t="e">
        <f>AND('UP133'!DA64,"AAAAAHpu/4s=")</f>
        <v>#VALUE!</v>
      </c>
      <c r="EK102" t="e">
        <f>AND('UP133'!DB64,"AAAAAHpu/4w=")</f>
        <v>#VALUE!</v>
      </c>
      <c r="EL102" t="e">
        <f>AND('UP133'!DC64,"AAAAAHpu/40=")</f>
        <v>#VALUE!</v>
      </c>
      <c r="EM102" t="e">
        <f>AND('UP133'!DD64,"AAAAAHpu/44=")</f>
        <v>#VALUE!</v>
      </c>
      <c r="EN102" t="e">
        <f>AND('UP133'!DE64,"AAAAAHpu/48=")</f>
        <v>#VALUE!</v>
      </c>
      <c r="EO102" t="e">
        <f>AND('UP133'!DF64,"AAAAAHpu/5A=")</f>
        <v>#VALUE!</v>
      </c>
      <c r="EP102" t="e">
        <f>AND('UP133'!DG64,"AAAAAHpu/5E=")</f>
        <v>#VALUE!</v>
      </c>
      <c r="EQ102" t="e">
        <f>AND('UP133'!DH64,"AAAAAHpu/5I=")</f>
        <v>#VALUE!</v>
      </c>
      <c r="ER102" t="e">
        <f>AND('UP133'!DI64,"AAAAAHpu/5M=")</f>
        <v>#VALUE!</v>
      </c>
      <c r="ES102" t="e">
        <f>AND('UP133'!DJ64,"AAAAAHpu/5Q=")</f>
        <v>#VALUE!</v>
      </c>
      <c r="ET102" t="e">
        <f>AND('UP133'!DK64,"AAAAAHpu/5U=")</f>
        <v>#VALUE!</v>
      </c>
      <c r="EU102" t="e">
        <f>AND('UP133'!DL64,"AAAAAHpu/5Y=")</f>
        <v>#VALUE!</v>
      </c>
      <c r="EV102" t="e">
        <f>AND('UP133'!DM64,"AAAAAHpu/5c=")</f>
        <v>#VALUE!</v>
      </c>
      <c r="EW102" t="e">
        <f>AND('UP133'!DN64,"AAAAAHpu/5g=")</f>
        <v>#VALUE!</v>
      </c>
      <c r="EX102" t="e">
        <f>AND('UP133'!DO64,"AAAAAHpu/5k=")</f>
        <v>#VALUE!</v>
      </c>
      <c r="EY102" t="e">
        <f>AND('UP133'!DP64,"AAAAAHpu/5o=")</f>
        <v>#VALUE!</v>
      </c>
      <c r="EZ102" t="e">
        <f>AND('UP133'!DQ64,"AAAAAHpu/5s=")</f>
        <v>#VALUE!</v>
      </c>
      <c r="FA102" t="e">
        <f>AND('UP133'!DR64,"AAAAAHpu/5w=")</f>
        <v>#VALUE!</v>
      </c>
      <c r="FB102" t="e">
        <f>AND('UP133'!DS64,"AAAAAHpu/50=")</f>
        <v>#VALUE!</v>
      </c>
      <c r="FC102" t="e">
        <f>AND('UP133'!DT64,"AAAAAHpu/54=")</f>
        <v>#VALUE!</v>
      </c>
      <c r="FD102" t="e">
        <f>AND('UP133'!DU64,"AAAAAHpu/58=")</f>
        <v>#VALUE!</v>
      </c>
      <c r="FE102" t="e">
        <f>AND('UP133'!DV64,"AAAAAHpu/6A=")</f>
        <v>#VALUE!</v>
      </c>
      <c r="FF102" t="e">
        <f>AND('UP133'!DW64,"AAAAAHpu/6E=")</f>
        <v>#VALUE!</v>
      </c>
      <c r="FG102" t="e">
        <f>AND('UP133'!DX64,"AAAAAHpu/6I=")</f>
        <v>#VALUE!</v>
      </c>
      <c r="FH102" t="e">
        <f>AND('UP133'!DY64,"AAAAAHpu/6M=")</f>
        <v>#VALUE!</v>
      </c>
      <c r="FI102" t="e">
        <f>AND('UP133'!DZ64,"AAAAAHpu/6Q=")</f>
        <v>#VALUE!</v>
      </c>
      <c r="FJ102" t="e">
        <f>AND('UP133'!EA64,"AAAAAHpu/6U=")</f>
        <v>#VALUE!</v>
      </c>
      <c r="FK102" t="e">
        <f>AND('UP133'!EB64,"AAAAAHpu/6Y=")</f>
        <v>#VALUE!</v>
      </c>
      <c r="FL102" t="e">
        <f>AND('UP133'!EC64,"AAAAAHpu/6c=")</f>
        <v>#VALUE!</v>
      </c>
      <c r="FM102" t="e">
        <f>AND('UP133'!ED64,"AAAAAHpu/6g=")</f>
        <v>#VALUE!</v>
      </c>
      <c r="FN102" t="e">
        <f>AND('UP133'!EE64,"AAAAAHpu/6k=")</f>
        <v>#VALUE!</v>
      </c>
      <c r="FO102" t="e">
        <f>AND('UP133'!EF64,"AAAAAHpu/6o=")</f>
        <v>#VALUE!</v>
      </c>
      <c r="FP102" t="e">
        <f>AND('UP133'!EG64,"AAAAAHpu/6s=")</f>
        <v>#VALUE!</v>
      </c>
      <c r="FQ102" t="e">
        <f>AND('UP133'!EH64,"AAAAAHpu/6w=")</f>
        <v>#VALUE!</v>
      </c>
      <c r="FR102" t="e">
        <f>AND('UP133'!EI64,"AAAAAHpu/60=")</f>
        <v>#VALUE!</v>
      </c>
      <c r="FS102" t="e">
        <f>AND('UP133'!EJ64,"AAAAAHpu/64=")</f>
        <v>#VALUE!</v>
      </c>
      <c r="FT102" t="e">
        <f>AND('UP133'!EK64,"AAAAAHpu/68=")</f>
        <v>#VALUE!</v>
      </c>
      <c r="FU102" t="e">
        <f>AND('UP133'!EL64,"AAAAAHpu/7A=")</f>
        <v>#VALUE!</v>
      </c>
      <c r="FV102" t="e">
        <f>AND('UP133'!EM64,"AAAAAHpu/7E=")</f>
        <v>#VALUE!</v>
      </c>
      <c r="FW102" t="e">
        <f>AND('UP133'!EN64,"AAAAAHpu/7I=")</f>
        <v>#VALUE!</v>
      </c>
      <c r="FX102" t="e">
        <f>AND('UP133'!EO64,"AAAAAHpu/7M=")</f>
        <v>#VALUE!</v>
      </c>
      <c r="FY102" t="e">
        <f>AND('UP133'!EP64,"AAAAAHpu/7Q=")</f>
        <v>#VALUE!</v>
      </c>
      <c r="FZ102" t="e">
        <f>AND('UP133'!EQ64,"AAAAAHpu/7U=")</f>
        <v>#VALUE!</v>
      </c>
      <c r="GA102" t="e">
        <f>AND('UP133'!ER64,"AAAAAHpu/7Y=")</f>
        <v>#VALUE!</v>
      </c>
      <c r="GB102" t="e">
        <f>AND('UP133'!ES64,"AAAAAHpu/7c=")</f>
        <v>#VALUE!</v>
      </c>
      <c r="GC102" t="e">
        <f>AND('UP133'!ET64,"AAAAAHpu/7g=")</f>
        <v>#VALUE!</v>
      </c>
      <c r="GD102" t="e">
        <f>AND('UP133'!EU64,"AAAAAHpu/7k=")</f>
        <v>#VALUE!</v>
      </c>
      <c r="GE102" t="e">
        <f>AND('UP133'!EV64,"AAAAAHpu/7o=")</f>
        <v>#VALUE!</v>
      </c>
      <c r="GF102" t="e">
        <f>AND('UP133'!EW64,"AAAAAHpu/7s=")</f>
        <v>#VALUE!</v>
      </c>
      <c r="GG102" t="e">
        <f>AND('UP133'!EX64,"AAAAAHpu/7w=")</f>
        <v>#VALUE!</v>
      </c>
      <c r="GH102" t="e">
        <f>AND('UP133'!EY64,"AAAAAHpu/70=")</f>
        <v>#VALUE!</v>
      </c>
      <c r="GI102" t="e">
        <f>AND('UP133'!EZ64,"AAAAAHpu/74=")</f>
        <v>#VALUE!</v>
      </c>
      <c r="GJ102" t="e">
        <f>AND('UP133'!FA64,"AAAAAHpu/78=")</f>
        <v>#VALUE!</v>
      </c>
      <c r="GK102" t="e">
        <f>AND('UP133'!FB64,"AAAAAHpu/8A=")</f>
        <v>#VALUE!</v>
      </c>
      <c r="GL102" t="e">
        <f>AND('UP133'!FC64,"AAAAAHpu/8E=")</f>
        <v>#VALUE!</v>
      </c>
      <c r="GM102" t="e">
        <f>AND('UP133'!FD64,"AAAAAHpu/8I=")</f>
        <v>#VALUE!</v>
      </c>
      <c r="GN102" t="e">
        <f>AND('UP133'!FE64,"AAAAAHpu/8M=")</f>
        <v>#VALUE!</v>
      </c>
      <c r="GO102" t="e">
        <f>AND('UP133'!FF64,"AAAAAHpu/8Q=")</f>
        <v>#VALUE!</v>
      </c>
      <c r="GP102" t="e">
        <f>AND('UP133'!FG64,"AAAAAHpu/8U=")</f>
        <v>#VALUE!</v>
      </c>
      <c r="GQ102" t="e">
        <f>AND('UP133'!FH64,"AAAAAHpu/8Y=")</f>
        <v>#VALUE!</v>
      </c>
      <c r="GR102" t="e">
        <f>AND('UP133'!FI64,"AAAAAHpu/8c=")</f>
        <v>#VALUE!</v>
      </c>
      <c r="GS102" t="e">
        <f>AND('UP133'!FJ64,"AAAAAHpu/8g=")</f>
        <v>#VALUE!</v>
      </c>
      <c r="GT102" t="e">
        <f>AND('UP133'!FK64,"AAAAAHpu/8k=")</f>
        <v>#VALUE!</v>
      </c>
      <c r="GU102" t="e">
        <f>AND('UP133'!FL64,"AAAAAHpu/8o=")</f>
        <v>#VALUE!</v>
      </c>
      <c r="GV102" t="e">
        <f>AND('UP133'!FM64,"AAAAAHpu/8s=")</f>
        <v>#VALUE!</v>
      </c>
      <c r="GW102" t="e">
        <f>AND('UP133'!FN64,"AAAAAHpu/8w=")</f>
        <v>#VALUE!</v>
      </c>
      <c r="GX102" t="e">
        <f>AND('UP133'!FO64,"AAAAAHpu/80=")</f>
        <v>#VALUE!</v>
      </c>
      <c r="GY102" t="e">
        <f>AND('UP133'!FP64,"AAAAAHpu/84=")</f>
        <v>#VALUE!</v>
      </c>
      <c r="GZ102" t="e">
        <f>AND('UP133'!FQ64,"AAAAAHpu/88=")</f>
        <v>#VALUE!</v>
      </c>
      <c r="HA102" t="e">
        <f>AND('UP133'!FR64,"AAAAAHpu/9A=")</f>
        <v>#VALUE!</v>
      </c>
      <c r="HB102" t="e">
        <f>AND('UP133'!FS64,"AAAAAHpu/9E=")</f>
        <v>#VALUE!</v>
      </c>
      <c r="HC102" t="e">
        <f>AND('UP133'!FT64,"AAAAAHpu/9I=")</f>
        <v>#VALUE!</v>
      </c>
      <c r="HD102" t="e">
        <f>AND('UP133'!FU64,"AAAAAHpu/9M=")</f>
        <v>#VALUE!</v>
      </c>
      <c r="HE102" t="e">
        <f>AND('UP133'!FV64,"AAAAAHpu/9Q=")</f>
        <v>#VALUE!</v>
      </c>
      <c r="HF102" t="e">
        <f>AND('UP133'!FW64,"AAAAAHpu/9U=")</f>
        <v>#VALUE!</v>
      </c>
      <c r="HG102" t="e">
        <f>AND('UP133'!FX64,"AAAAAHpu/9Y=")</f>
        <v>#VALUE!</v>
      </c>
      <c r="HH102" t="e">
        <f>AND('UP133'!FY64,"AAAAAHpu/9c=")</f>
        <v>#VALUE!</v>
      </c>
      <c r="HI102" t="e">
        <f>AND('UP133'!FZ64,"AAAAAHpu/9g=")</f>
        <v>#VALUE!</v>
      </c>
      <c r="HJ102" t="e">
        <f>AND('UP133'!GA64,"AAAAAHpu/9k=")</f>
        <v>#VALUE!</v>
      </c>
      <c r="HK102" t="e">
        <f>AND('UP133'!GB64,"AAAAAHpu/9o=")</f>
        <v>#VALUE!</v>
      </c>
      <c r="HL102" t="e">
        <f>AND('UP133'!GC64,"AAAAAHpu/9s=")</f>
        <v>#VALUE!</v>
      </c>
      <c r="HM102" t="e">
        <f>AND('UP133'!GD64,"AAAAAHpu/9w=")</f>
        <v>#VALUE!</v>
      </c>
      <c r="HN102" t="e">
        <f>AND('UP133'!GE64,"AAAAAHpu/90=")</f>
        <v>#VALUE!</v>
      </c>
      <c r="HO102" t="e">
        <f>AND('UP133'!GF64,"AAAAAHpu/94=")</f>
        <v>#VALUE!</v>
      </c>
      <c r="HP102" t="e">
        <f>AND('UP133'!GG64,"AAAAAHpu/98=")</f>
        <v>#VALUE!</v>
      </c>
      <c r="HQ102" t="e">
        <f>AND('UP133'!GH64,"AAAAAHpu/+A=")</f>
        <v>#VALUE!</v>
      </c>
      <c r="HR102" t="e">
        <f>AND('UP133'!GI64,"AAAAAHpu/+E=")</f>
        <v>#VALUE!</v>
      </c>
      <c r="HS102" t="e">
        <f>AND('UP133'!GJ64,"AAAAAHpu/+I=")</f>
        <v>#VALUE!</v>
      </c>
      <c r="HT102" t="e">
        <f>AND('UP133'!GK64,"AAAAAHpu/+M=")</f>
        <v>#VALUE!</v>
      </c>
      <c r="HU102" t="e">
        <f>AND('UP133'!GL64,"AAAAAHpu/+Q=")</f>
        <v>#VALUE!</v>
      </c>
      <c r="HV102" t="e">
        <f>AND('UP133'!GM64,"AAAAAHpu/+U=")</f>
        <v>#VALUE!</v>
      </c>
      <c r="HW102" t="e">
        <f>AND('UP133'!GN64,"AAAAAHpu/+Y=")</f>
        <v>#VALUE!</v>
      </c>
      <c r="HX102" t="e">
        <f>AND('UP133'!GO64,"AAAAAHpu/+c=")</f>
        <v>#VALUE!</v>
      </c>
      <c r="HY102" t="e">
        <f>AND('UP133'!GP64,"AAAAAHpu/+g=")</f>
        <v>#VALUE!</v>
      </c>
      <c r="HZ102" t="e">
        <f>AND('UP133'!GQ64,"AAAAAHpu/+k=")</f>
        <v>#VALUE!</v>
      </c>
      <c r="IA102" t="e">
        <f>AND('UP133'!GR64,"AAAAAHpu/+o=")</f>
        <v>#VALUE!</v>
      </c>
      <c r="IB102" t="e">
        <f>AND('UP133'!GS64,"AAAAAHpu/+s=")</f>
        <v>#VALUE!</v>
      </c>
      <c r="IC102" t="e">
        <f>AND('UP133'!GT64,"AAAAAHpu/+w=")</f>
        <v>#VALUE!</v>
      </c>
      <c r="ID102" t="e">
        <f>AND('UP133'!GU64,"AAAAAHpu/+0=")</f>
        <v>#VALUE!</v>
      </c>
      <c r="IE102" t="e">
        <f>AND('UP133'!GV64,"AAAAAHpu/+4=")</f>
        <v>#VALUE!</v>
      </c>
      <c r="IF102" t="e">
        <f>AND('UP133'!GW64,"AAAAAHpu/+8=")</f>
        <v>#VALUE!</v>
      </c>
      <c r="IG102" t="e">
        <f>AND('UP133'!GX64,"AAAAAHpu//A=")</f>
        <v>#VALUE!</v>
      </c>
      <c r="IH102" t="e">
        <f>AND('UP133'!GY64,"AAAAAHpu//E=")</f>
        <v>#VALUE!</v>
      </c>
      <c r="II102" t="e">
        <f>AND('UP133'!GZ64,"AAAAAHpu//I=")</f>
        <v>#VALUE!</v>
      </c>
      <c r="IJ102" t="e">
        <f>AND('UP133'!HA64,"AAAAAHpu//M=")</f>
        <v>#VALUE!</v>
      </c>
      <c r="IK102" t="e">
        <f>AND('UP133'!HB64,"AAAAAHpu//Q=")</f>
        <v>#VALUE!</v>
      </c>
      <c r="IL102" t="e">
        <f>AND('UP133'!HC64,"AAAAAHpu//U=")</f>
        <v>#VALUE!</v>
      </c>
      <c r="IM102" t="e">
        <f>AND('UP133'!HD64,"AAAAAHpu//Y=")</f>
        <v>#VALUE!</v>
      </c>
      <c r="IN102" t="e">
        <f>AND('UP133'!HE64,"AAAAAHpu//c=")</f>
        <v>#VALUE!</v>
      </c>
      <c r="IO102" t="e">
        <f>AND('UP133'!HF64,"AAAAAHpu//g=")</f>
        <v>#VALUE!</v>
      </c>
      <c r="IP102" t="e">
        <f>AND('UP133'!HG64,"AAAAAHpu//k=")</f>
        <v>#VALUE!</v>
      </c>
      <c r="IQ102" t="e">
        <f>AND('UP133'!HH64,"AAAAAHpu//o=")</f>
        <v>#VALUE!</v>
      </c>
      <c r="IR102" t="e">
        <f>AND('UP133'!HI64,"AAAAAHpu//s=")</f>
        <v>#VALUE!</v>
      </c>
      <c r="IS102" t="e">
        <f>AND('UP133'!HJ64,"AAAAAHpu//w=")</f>
        <v>#VALUE!</v>
      </c>
      <c r="IT102" t="e">
        <f>AND('UP133'!HK64,"AAAAAHpu//0=")</f>
        <v>#VALUE!</v>
      </c>
      <c r="IU102" t="e">
        <f>AND('UP133'!HL64,"AAAAAHpu//4=")</f>
        <v>#VALUE!</v>
      </c>
      <c r="IV102" t="e">
        <f>AND('UP133'!HM64,"AAAAAHpu//8=")</f>
        <v>#VALUE!</v>
      </c>
    </row>
    <row r="103" spans="1:256">
      <c r="A103" t="e">
        <f>AND('UP133'!HN64,"AAAAAFZP5wA=")</f>
        <v>#VALUE!</v>
      </c>
      <c r="B103" t="e">
        <f>AND('UP133'!HO64,"AAAAAFZP5wE=")</f>
        <v>#VALUE!</v>
      </c>
      <c r="C103" t="e">
        <f>AND('UP133'!HP64,"AAAAAFZP5wI=")</f>
        <v>#VALUE!</v>
      </c>
      <c r="D103" t="e">
        <f>AND('UP133'!HQ64,"AAAAAFZP5wM=")</f>
        <v>#VALUE!</v>
      </c>
      <c r="E103" t="e">
        <f>AND('UP133'!HR64,"AAAAAFZP5wQ=")</f>
        <v>#VALUE!</v>
      </c>
      <c r="F103" t="e">
        <f>AND('UP133'!HS64,"AAAAAFZP5wU=")</f>
        <v>#VALUE!</v>
      </c>
      <c r="G103" t="e">
        <f>AND('UP133'!HT64,"AAAAAFZP5wY=")</f>
        <v>#VALUE!</v>
      </c>
      <c r="H103" t="e">
        <f>AND('UP133'!HU64,"AAAAAFZP5wc=")</f>
        <v>#VALUE!</v>
      </c>
      <c r="I103" t="e">
        <f>AND('UP133'!HV64,"AAAAAFZP5wg=")</f>
        <v>#VALUE!</v>
      </c>
      <c r="J103" t="e">
        <f>AND('UP133'!HW64,"AAAAAFZP5wk=")</f>
        <v>#VALUE!</v>
      </c>
      <c r="K103" t="e">
        <f>AND('UP133'!HX64,"AAAAAFZP5wo=")</f>
        <v>#VALUE!</v>
      </c>
      <c r="L103" t="e">
        <f>AND('UP133'!HY64,"AAAAAFZP5ws=")</f>
        <v>#VALUE!</v>
      </c>
      <c r="M103" t="e">
        <f>AND('UP133'!HZ64,"AAAAAFZP5ww=")</f>
        <v>#VALUE!</v>
      </c>
      <c r="N103" t="e">
        <f>AND('UP133'!IA64,"AAAAAFZP5w0=")</f>
        <v>#VALUE!</v>
      </c>
      <c r="O103" t="e">
        <f>AND('UP133'!IB64,"AAAAAFZP5w4=")</f>
        <v>#VALUE!</v>
      </c>
      <c r="P103" t="e">
        <f>AND('UP133'!IC64,"AAAAAFZP5w8=")</f>
        <v>#VALUE!</v>
      </c>
      <c r="Q103" t="e">
        <f>AND('UP133'!ID64,"AAAAAFZP5xA=")</f>
        <v>#VALUE!</v>
      </c>
      <c r="R103" t="e">
        <f>AND('UP133'!IE64,"AAAAAFZP5xE=")</f>
        <v>#VALUE!</v>
      </c>
      <c r="S103" t="e">
        <f>AND('UP133'!IF64,"AAAAAFZP5xI=")</f>
        <v>#VALUE!</v>
      </c>
      <c r="T103" t="e">
        <f>AND('UP133'!IG64,"AAAAAFZP5xM=")</f>
        <v>#VALUE!</v>
      </c>
      <c r="U103" t="e">
        <f>AND('UP133'!IH64,"AAAAAFZP5xQ=")</f>
        <v>#VALUE!</v>
      </c>
      <c r="V103" t="e">
        <f>AND('UP133'!II64,"AAAAAFZP5xU=")</f>
        <v>#VALUE!</v>
      </c>
      <c r="W103" t="e">
        <f>AND('UP133'!IJ64,"AAAAAFZP5xY=")</f>
        <v>#VALUE!</v>
      </c>
      <c r="X103" t="e">
        <f>AND('UP133'!IK64,"AAAAAFZP5xc=")</f>
        <v>#VALUE!</v>
      </c>
      <c r="Y103" t="e">
        <f>AND('UP133'!IL64,"AAAAAFZP5xg=")</f>
        <v>#VALUE!</v>
      </c>
      <c r="Z103" t="e">
        <f>AND('UP133'!IM64,"AAAAAFZP5xk=")</f>
        <v>#VALUE!</v>
      </c>
      <c r="AA103" t="e">
        <f>AND('UP133'!IN64,"AAAAAFZP5xo=")</f>
        <v>#VALUE!</v>
      </c>
      <c r="AB103" t="e">
        <f>AND('UP133'!IO64,"AAAAAFZP5xs=")</f>
        <v>#VALUE!</v>
      </c>
      <c r="AC103" t="e">
        <f>AND('UP133'!IP64,"AAAAAFZP5xw=")</f>
        <v>#VALUE!</v>
      </c>
      <c r="AD103" t="e">
        <f>AND('UP133'!IQ64,"AAAAAFZP5x0=")</f>
        <v>#VALUE!</v>
      </c>
      <c r="AE103">
        <f>IF('UP133'!65:65,"AAAAAFZP5x4=",0)</f>
        <v>0</v>
      </c>
      <c r="AF103" t="e">
        <f>AND('UP133'!A65,"AAAAAFZP5x8=")</f>
        <v>#VALUE!</v>
      </c>
      <c r="AG103" t="e">
        <f>AND('UP133'!B65,"AAAAAFZP5yA=")</f>
        <v>#VALUE!</v>
      </c>
      <c r="AH103" t="e">
        <f>AND('UP133'!C65,"AAAAAFZP5yE=")</f>
        <v>#VALUE!</v>
      </c>
      <c r="AI103" t="e">
        <f>AND('UP133'!D65,"AAAAAFZP5yI=")</f>
        <v>#VALUE!</v>
      </c>
      <c r="AJ103" t="e">
        <f>AND('UP133'!E65,"AAAAAFZP5yM=")</f>
        <v>#VALUE!</v>
      </c>
      <c r="AK103" t="e">
        <f>AND('UP133'!F65,"AAAAAFZP5yQ=")</f>
        <v>#VALUE!</v>
      </c>
      <c r="AL103" t="e">
        <f>AND('UP133'!G65,"AAAAAFZP5yU=")</f>
        <v>#VALUE!</v>
      </c>
      <c r="AM103" t="e">
        <f>AND('UP133'!H65,"AAAAAFZP5yY=")</f>
        <v>#VALUE!</v>
      </c>
      <c r="AN103" t="e">
        <f>AND('UP133'!I65,"AAAAAFZP5yc=")</f>
        <v>#VALUE!</v>
      </c>
      <c r="AO103" t="e">
        <f>AND('UP133'!J65,"AAAAAFZP5yg=")</f>
        <v>#VALUE!</v>
      </c>
      <c r="AP103" t="e">
        <f>AND('UP133'!K65,"AAAAAFZP5yk=")</f>
        <v>#VALUE!</v>
      </c>
      <c r="AQ103" t="e">
        <f>AND('UP133'!L65,"AAAAAFZP5yo=")</f>
        <v>#VALUE!</v>
      </c>
      <c r="AR103" t="e">
        <f>AND('UP133'!M65,"AAAAAFZP5ys=")</f>
        <v>#VALUE!</v>
      </c>
      <c r="AS103" t="e">
        <f>AND('UP133'!N65,"AAAAAFZP5yw=")</f>
        <v>#VALUE!</v>
      </c>
      <c r="AT103" t="e">
        <f>AND('UP133'!O65,"AAAAAFZP5y0=")</f>
        <v>#VALUE!</v>
      </c>
      <c r="AU103" t="e">
        <f>AND('UP133'!P65,"AAAAAFZP5y4=")</f>
        <v>#VALUE!</v>
      </c>
      <c r="AV103" t="e">
        <f>AND('UP133'!Q65,"AAAAAFZP5y8=")</f>
        <v>#VALUE!</v>
      </c>
      <c r="AW103" t="e">
        <f>AND('UP133'!R65,"AAAAAFZP5zA=")</f>
        <v>#VALUE!</v>
      </c>
      <c r="AX103" t="e">
        <f>AND('UP133'!S65,"AAAAAFZP5zE=")</f>
        <v>#VALUE!</v>
      </c>
      <c r="AY103" t="e">
        <f>AND('UP133'!T65,"AAAAAFZP5zI=")</f>
        <v>#VALUE!</v>
      </c>
      <c r="AZ103" t="e">
        <f>AND('UP133'!U65,"AAAAAFZP5zM=")</f>
        <v>#VALUE!</v>
      </c>
      <c r="BA103" t="e">
        <f>AND('UP133'!V65,"AAAAAFZP5zQ=")</f>
        <v>#VALUE!</v>
      </c>
      <c r="BB103" t="e">
        <f>AND('UP133'!W65,"AAAAAFZP5zU=")</f>
        <v>#VALUE!</v>
      </c>
      <c r="BC103" t="e">
        <f>AND('UP133'!X65,"AAAAAFZP5zY=")</f>
        <v>#VALUE!</v>
      </c>
      <c r="BD103" t="e">
        <f>AND('UP133'!Y65,"AAAAAFZP5zc=")</f>
        <v>#VALUE!</v>
      </c>
      <c r="BE103" t="e">
        <f>AND('UP133'!Z65,"AAAAAFZP5zg=")</f>
        <v>#VALUE!</v>
      </c>
      <c r="BF103" t="e">
        <f>AND('UP133'!AA65,"AAAAAFZP5zk=")</f>
        <v>#VALUE!</v>
      </c>
      <c r="BG103" t="e">
        <f>AND('UP133'!AB65,"AAAAAFZP5zo=")</f>
        <v>#VALUE!</v>
      </c>
      <c r="BH103" t="e">
        <f>AND('UP133'!AC65,"AAAAAFZP5zs=")</f>
        <v>#VALUE!</v>
      </c>
      <c r="BI103" t="e">
        <f>AND('UP133'!AD65,"AAAAAFZP5zw=")</f>
        <v>#VALUE!</v>
      </c>
      <c r="BJ103" t="e">
        <f>AND('UP133'!AE65,"AAAAAFZP5z0=")</f>
        <v>#VALUE!</v>
      </c>
      <c r="BK103" t="e">
        <f>AND('UP133'!AF65,"AAAAAFZP5z4=")</f>
        <v>#VALUE!</v>
      </c>
      <c r="BL103" t="e">
        <f>AND('UP133'!AG65,"AAAAAFZP5z8=")</f>
        <v>#VALUE!</v>
      </c>
      <c r="BM103" t="e">
        <f>AND('UP133'!AH65,"AAAAAFZP50A=")</f>
        <v>#VALUE!</v>
      </c>
      <c r="BN103" t="e">
        <f>AND('UP133'!AI65,"AAAAAFZP50E=")</f>
        <v>#VALUE!</v>
      </c>
      <c r="BO103" t="e">
        <f>AND('UP133'!AJ65,"AAAAAFZP50I=")</f>
        <v>#VALUE!</v>
      </c>
      <c r="BP103" t="e">
        <f>AND('UP133'!AK65,"AAAAAFZP50M=")</f>
        <v>#VALUE!</v>
      </c>
      <c r="BQ103" t="e">
        <f>AND('UP133'!AL65,"AAAAAFZP50Q=")</f>
        <v>#VALUE!</v>
      </c>
      <c r="BR103" t="e">
        <f>AND('UP133'!AM65,"AAAAAFZP50U=")</f>
        <v>#VALUE!</v>
      </c>
      <c r="BS103" t="e">
        <f>AND('UP133'!AN65,"AAAAAFZP50Y=")</f>
        <v>#VALUE!</v>
      </c>
      <c r="BT103" t="e">
        <f>AND('UP133'!AO65,"AAAAAFZP50c=")</f>
        <v>#VALUE!</v>
      </c>
      <c r="BU103" t="e">
        <f>AND('UP133'!AP65,"AAAAAFZP50g=")</f>
        <v>#VALUE!</v>
      </c>
      <c r="BV103" t="e">
        <f>AND('UP133'!AQ65,"AAAAAFZP50k=")</f>
        <v>#VALUE!</v>
      </c>
      <c r="BW103" t="e">
        <f>AND('UP133'!AR65,"AAAAAFZP50o=")</f>
        <v>#VALUE!</v>
      </c>
      <c r="BX103" t="e">
        <f>AND('UP133'!AS65,"AAAAAFZP50s=")</f>
        <v>#VALUE!</v>
      </c>
      <c r="BY103" t="e">
        <f>AND('UP133'!AT65,"AAAAAFZP50w=")</f>
        <v>#VALUE!</v>
      </c>
      <c r="BZ103" t="e">
        <f>AND('UP133'!AU65,"AAAAAFZP500=")</f>
        <v>#VALUE!</v>
      </c>
      <c r="CA103" t="e">
        <f>AND('UP133'!AV65,"AAAAAFZP504=")</f>
        <v>#VALUE!</v>
      </c>
      <c r="CB103" t="e">
        <f>AND('UP133'!AW65,"AAAAAFZP508=")</f>
        <v>#VALUE!</v>
      </c>
      <c r="CC103" t="e">
        <f>AND('UP133'!AX65,"AAAAAFZP51A=")</f>
        <v>#VALUE!</v>
      </c>
      <c r="CD103" t="e">
        <f>AND('UP133'!AY65,"AAAAAFZP51E=")</f>
        <v>#VALUE!</v>
      </c>
      <c r="CE103" t="e">
        <f>AND('UP133'!AZ65,"AAAAAFZP51I=")</f>
        <v>#VALUE!</v>
      </c>
      <c r="CF103" t="e">
        <f>AND('UP133'!BA65,"AAAAAFZP51M=")</f>
        <v>#VALUE!</v>
      </c>
      <c r="CG103" t="e">
        <f>AND('UP133'!BB65,"AAAAAFZP51Q=")</f>
        <v>#VALUE!</v>
      </c>
      <c r="CH103" t="e">
        <f>AND('UP133'!BC65,"AAAAAFZP51U=")</f>
        <v>#VALUE!</v>
      </c>
      <c r="CI103" t="e">
        <f>AND('UP133'!BD65,"AAAAAFZP51Y=")</f>
        <v>#VALUE!</v>
      </c>
      <c r="CJ103" t="e">
        <f>AND('UP133'!BE65,"AAAAAFZP51c=")</f>
        <v>#VALUE!</v>
      </c>
      <c r="CK103" t="e">
        <f>AND('UP133'!BF65,"AAAAAFZP51g=")</f>
        <v>#VALUE!</v>
      </c>
      <c r="CL103" t="e">
        <f>AND('UP133'!BG65,"AAAAAFZP51k=")</f>
        <v>#VALUE!</v>
      </c>
      <c r="CM103" t="e">
        <f>AND('UP133'!BH65,"AAAAAFZP51o=")</f>
        <v>#VALUE!</v>
      </c>
      <c r="CN103" t="e">
        <f>AND('UP133'!BI65,"AAAAAFZP51s=")</f>
        <v>#VALUE!</v>
      </c>
      <c r="CO103" t="e">
        <f>AND('UP133'!BJ65,"AAAAAFZP51w=")</f>
        <v>#VALUE!</v>
      </c>
      <c r="CP103" t="e">
        <f>AND('UP133'!BK65,"AAAAAFZP510=")</f>
        <v>#VALUE!</v>
      </c>
      <c r="CQ103" t="e">
        <f>AND('UP133'!BL65,"AAAAAFZP514=")</f>
        <v>#VALUE!</v>
      </c>
      <c r="CR103" t="e">
        <f>AND('UP133'!BM65,"AAAAAFZP518=")</f>
        <v>#VALUE!</v>
      </c>
      <c r="CS103" t="e">
        <f>AND('UP133'!BN65,"AAAAAFZP52A=")</f>
        <v>#VALUE!</v>
      </c>
      <c r="CT103" t="e">
        <f>AND('UP133'!BO65,"AAAAAFZP52E=")</f>
        <v>#VALUE!</v>
      </c>
      <c r="CU103" t="e">
        <f>AND('UP133'!BP65,"AAAAAFZP52I=")</f>
        <v>#VALUE!</v>
      </c>
      <c r="CV103" t="e">
        <f>AND('UP133'!BQ65,"AAAAAFZP52M=")</f>
        <v>#VALUE!</v>
      </c>
      <c r="CW103" t="e">
        <f>AND('UP133'!BR65,"AAAAAFZP52Q=")</f>
        <v>#VALUE!</v>
      </c>
      <c r="CX103" t="e">
        <f>AND('UP133'!BS65,"AAAAAFZP52U=")</f>
        <v>#VALUE!</v>
      </c>
      <c r="CY103" t="e">
        <f>AND('UP133'!BT65,"AAAAAFZP52Y=")</f>
        <v>#VALUE!</v>
      </c>
      <c r="CZ103" t="e">
        <f>AND('UP133'!BU65,"AAAAAFZP52c=")</f>
        <v>#VALUE!</v>
      </c>
      <c r="DA103" t="e">
        <f>AND('UP133'!BV65,"AAAAAFZP52g=")</f>
        <v>#VALUE!</v>
      </c>
      <c r="DB103" t="e">
        <f>AND('UP133'!BW65,"AAAAAFZP52k=")</f>
        <v>#VALUE!</v>
      </c>
      <c r="DC103" t="e">
        <f>AND('UP133'!BX65,"AAAAAFZP52o=")</f>
        <v>#VALUE!</v>
      </c>
      <c r="DD103" t="e">
        <f>AND('UP133'!BY65,"AAAAAFZP52s=")</f>
        <v>#VALUE!</v>
      </c>
      <c r="DE103" t="e">
        <f>AND('UP133'!BZ65,"AAAAAFZP52w=")</f>
        <v>#VALUE!</v>
      </c>
      <c r="DF103" t="e">
        <f>AND('UP133'!CA65,"AAAAAFZP520=")</f>
        <v>#VALUE!</v>
      </c>
      <c r="DG103" t="e">
        <f>AND('UP133'!CB65,"AAAAAFZP524=")</f>
        <v>#VALUE!</v>
      </c>
      <c r="DH103" t="e">
        <f>AND('UP133'!CC65,"AAAAAFZP528=")</f>
        <v>#VALUE!</v>
      </c>
      <c r="DI103" t="e">
        <f>AND('UP133'!CD65,"AAAAAFZP53A=")</f>
        <v>#VALUE!</v>
      </c>
      <c r="DJ103" t="e">
        <f>AND('UP133'!CE65,"AAAAAFZP53E=")</f>
        <v>#VALUE!</v>
      </c>
      <c r="DK103" t="e">
        <f>AND('UP133'!CF65,"AAAAAFZP53I=")</f>
        <v>#VALUE!</v>
      </c>
      <c r="DL103" t="e">
        <f>AND('UP133'!CG65,"AAAAAFZP53M=")</f>
        <v>#VALUE!</v>
      </c>
      <c r="DM103" t="e">
        <f>AND('UP133'!CH65,"AAAAAFZP53Q=")</f>
        <v>#VALUE!</v>
      </c>
      <c r="DN103" t="e">
        <f>AND('UP133'!CI65,"AAAAAFZP53U=")</f>
        <v>#VALUE!</v>
      </c>
      <c r="DO103" t="e">
        <f>AND('UP133'!CJ65,"AAAAAFZP53Y=")</f>
        <v>#VALUE!</v>
      </c>
      <c r="DP103" t="e">
        <f>AND('UP133'!CK65,"AAAAAFZP53c=")</f>
        <v>#VALUE!</v>
      </c>
      <c r="DQ103" t="e">
        <f>AND('UP133'!CL65,"AAAAAFZP53g=")</f>
        <v>#VALUE!</v>
      </c>
      <c r="DR103" t="e">
        <f>AND('UP133'!CM65,"AAAAAFZP53k=")</f>
        <v>#VALUE!</v>
      </c>
      <c r="DS103" t="e">
        <f>AND('UP133'!CN65,"AAAAAFZP53o=")</f>
        <v>#VALUE!</v>
      </c>
      <c r="DT103" t="e">
        <f>AND('UP133'!CO65,"AAAAAFZP53s=")</f>
        <v>#VALUE!</v>
      </c>
      <c r="DU103" t="e">
        <f>AND('UP133'!CP65,"AAAAAFZP53w=")</f>
        <v>#VALUE!</v>
      </c>
      <c r="DV103" t="e">
        <f>AND('UP133'!CQ65,"AAAAAFZP530=")</f>
        <v>#VALUE!</v>
      </c>
      <c r="DW103" t="e">
        <f>AND('UP133'!CR65,"AAAAAFZP534=")</f>
        <v>#VALUE!</v>
      </c>
      <c r="DX103" t="e">
        <f>AND('UP133'!CS65,"AAAAAFZP538=")</f>
        <v>#VALUE!</v>
      </c>
      <c r="DY103" t="e">
        <f>AND('UP133'!CT65,"AAAAAFZP54A=")</f>
        <v>#VALUE!</v>
      </c>
      <c r="DZ103" t="e">
        <f>AND('UP133'!CU65,"AAAAAFZP54E=")</f>
        <v>#VALUE!</v>
      </c>
      <c r="EA103" t="e">
        <f>AND('UP133'!CV65,"AAAAAFZP54I=")</f>
        <v>#VALUE!</v>
      </c>
      <c r="EB103" t="e">
        <f>AND('UP133'!CW65,"AAAAAFZP54M=")</f>
        <v>#VALUE!</v>
      </c>
      <c r="EC103" t="e">
        <f>AND('UP133'!CX65,"AAAAAFZP54Q=")</f>
        <v>#VALUE!</v>
      </c>
      <c r="ED103" t="e">
        <f>AND('UP133'!CY65,"AAAAAFZP54U=")</f>
        <v>#VALUE!</v>
      </c>
      <c r="EE103" t="e">
        <f>AND('UP133'!CZ65,"AAAAAFZP54Y=")</f>
        <v>#VALUE!</v>
      </c>
      <c r="EF103" t="e">
        <f>AND('UP133'!DA65,"AAAAAFZP54c=")</f>
        <v>#VALUE!</v>
      </c>
      <c r="EG103" t="e">
        <f>AND('UP133'!DB65,"AAAAAFZP54g=")</f>
        <v>#VALUE!</v>
      </c>
      <c r="EH103" t="e">
        <f>AND('UP133'!DC65,"AAAAAFZP54k=")</f>
        <v>#VALUE!</v>
      </c>
      <c r="EI103" t="e">
        <f>AND('UP133'!DD65,"AAAAAFZP54o=")</f>
        <v>#VALUE!</v>
      </c>
      <c r="EJ103" t="e">
        <f>AND('UP133'!DE65,"AAAAAFZP54s=")</f>
        <v>#VALUE!</v>
      </c>
      <c r="EK103" t="e">
        <f>AND('UP133'!DF65,"AAAAAFZP54w=")</f>
        <v>#VALUE!</v>
      </c>
      <c r="EL103" t="e">
        <f>AND('UP133'!DG65,"AAAAAFZP540=")</f>
        <v>#VALUE!</v>
      </c>
      <c r="EM103" t="e">
        <f>AND('UP133'!DH65,"AAAAAFZP544=")</f>
        <v>#VALUE!</v>
      </c>
      <c r="EN103" t="e">
        <f>AND('UP133'!DI65,"AAAAAFZP548=")</f>
        <v>#VALUE!</v>
      </c>
      <c r="EO103" t="e">
        <f>AND('UP133'!DJ65,"AAAAAFZP55A=")</f>
        <v>#VALUE!</v>
      </c>
      <c r="EP103" t="e">
        <f>AND('UP133'!DK65,"AAAAAFZP55E=")</f>
        <v>#VALUE!</v>
      </c>
      <c r="EQ103" t="e">
        <f>AND('UP133'!DL65,"AAAAAFZP55I=")</f>
        <v>#VALUE!</v>
      </c>
      <c r="ER103" t="e">
        <f>AND('UP133'!DM65,"AAAAAFZP55M=")</f>
        <v>#VALUE!</v>
      </c>
      <c r="ES103" t="e">
        <f>AND('UP133'!DN65,"AAAAAFZP55Q=")</f>
        <v>#VALUE!</v>
      </c>
      <c r="ET103" t="e">
        <f>AND('UP133'!DO65,"AAAAAFZP55U=")</f>
        <v>#VALUE!</v>
      </c>
      <c r="EU103" t="e">
        <f>AND('UP133'!DP65,"AAAAAFZP55Y=")</f>
        <v>#VALUE!</v>
      </c>
      <c r="EV103" t="e">
        <f>AND('UP133'!DQ65,"AAAAAFZP55c=")</f>
        <v>#VALUE!</v>
      </c>
      <c r="EW103" t="e">
        <f>AND('UP133'!DR65,"AAAAAFZP55g=")</f>
        <v>#VALUE!</v>
      </c>
      <c r="EX103" t="e">
        <f>AND('UP133'!DS65,"AAAAAFZP55k=")</f>
        <v>#VALUE!</v>
      </c>
      <c r="EY103" t="e">
        <f>AND('UP133'!DT65,"AAAAAFZP55o=")</f>
        <v>#VALUE!</v>
      </c>
      <c r="EZ103" t="e">
        <f>AND('UP133'!DU65,"AAAAAFZP55s=")</f>
        <v>#VALUE!</v>
      </c>
      <c r="FA103" t="e">
        <f>AND('UP133'!DV65,"AAAAAFZP55w=")</f>
        <v>#VALUE!</v>
      </c>
      <c r="FB103" t="e">
        <f>AND('UP133'!DW65,"AAAAAFZP550=")</f>
        <v>#VALUE!</v>
      </c>
      <c r="FC103" t="e">
        <f>AND('UP133'!DX65,"AAAAAFZP554=")</f>
        <v>#VALUE!</v>
      </c>
      <c r="FD103" t="e">
        <f>AND('UP133'!DY65,"AAAAAFZP558=")</f>
        <v>#VALUE!</v>
      </c>
      <c r="FE103" t="e">
        <f>AND('UP133'!DZ65,"AAAAAFZP56A=")</f>
        <v>#VALUE!</v>
      </c>
      <c r="FF103" t="e">
        <f>AND('UP133'!EA65,"AAAAAFZP56E=")</f>
        <v>#VALUE!</v>
      </c>
      <c r="FG103" t="e">
        <f>AND('UP133'!EB65,"AAAAAFZP56I=")</f>
        <v>#VALUE!</v>
      </c>
      <c r="FH103" t="e">
        <f>AND('UP133'!EC65,"AAAAAFZP56M=")</f>
        <v>#VALUE!</v>
      </c>
      <c r="FI103" t="e">
        <f>AND('UP133'!ED65,"AAAAAFZP56Q=")</f>
        <v>#VALUE!</v>
      </c>
      <c r="FJ103" t="e">
        <f>AND('UP133'!EE65,"AAAAAFZP56U=")</f>
        <v>#VALUE!</v>
      </c>
      <c r="FK103" t="e">
        <f>AND('UP133'!EF65,"AAAAAFZP56Y=")</f>
        <v>#VALUE!</v>
      </c>
      <c r="FL103" t="e">
        <f>AND('UP133'!EG65,"AAAAAFZP56c=")</f>
        <v>#VALUE!</v>
      </c>
      <c r="FM103" t="e">
        <f>AND('UP133'!EH65,"AAAAAFZP56g=")</f>
        <v>#VALUE!</v>
      </c>
      <c r="FN103" t="e">
        <f>AND('UP133'!EI65,"AAAAAFZP56k=")</f>
        <v>#VALUE!</v>
      </c>
      <c r="FO103" t="e">
        <f>AND('UP133'!EJ65,"AAAAAFZP56o=")</f>
        <v>#VALUE!</v>
      </c>
      <c r="FP103" t="e">
        <f>AND('UP133'!EK65,"AAAAAFZP56s=")</f>
        <v>#VALUE!</v>
      </c>
      <c r="FQ103" t="e">
        <f>AND('UP133'!EL65,"AAAAAFZP56w=")</f>
        <v>#VALUE!</v>
      </c>
      <c r="FR103" t="e">
        <f>AND('UP133'!EM65,"AAAAAFZP560=")</f>
        <v>#VALUE!</v>
      </c>
      <c r="FS103" t="e">
        <f>AND('UP133'!EN65,"AAAAAFZP564=")</f>
        <v>#VALUE!</v>
      </c>
      <c r="FT103" t="e">
        <f>AND('UP133'!EO65,"AAAAAFZP568=")</f>
        <v>#VALUE!</v>
      </c>
      <c r="FU103" t="e">
        <f>AND('UP133'!EP65,"AAAAAFZP57A=")</f>
        <v>#VALUE!</v>
      </c>
      <c r="FV103" t="e">
        <f>AND('UP133'!EQ65,"AAAAAFZP57E=")</f>
        <v>#VALUE!</v>
      </c>
      <c r="FW103" t="e">
        <f>AND('UP133'!ER65,"AAAAAFZP57I=")</f>
        <v>#VALUE!</v>
      </c>
      <c r="FX103" t="e">
        <f>AND('UP133'!ES65,"AAAAAFZP57M=")</f>
        <v>#VALUE!</v>
      </c>
      <c r="FY103" t="e">
        <f>AND('UP133'!ET65,"AAAAAFZP57Q=")</f>
        <v>#VALUE!</v>
      </c>
      <c r="FZ103" t="e">
        <f>AND('UP133'!EU65,"AAAAAFZP57U=")</f>
        <v>#VALUE!</v>
      </c>
      <c r="GA103" t="e">
        <f>AND('UP133'!EV65,"AAAAAFZP57Y=")</f>
        <v>#VALUE!</v>
      </c>
      <c r="GB103" t="e">
        <f>AND('UP133'!EW65,"AAAAAFZP57c=")</f>
        <v>#VALUE!</v>
      </c>
      <c r="GC103" t="e">
        <f>AND('UP133'!EX65,"AAAAAFZP57g=")</f>
        <v>#VALUE!</v>
      </c>
      <c r="GD103" t="e">
        <f>AND('UP133'!EY65,"AAAAAFZP57k=")</f>
        <v>#VALUE!</v>
      </c>
      <c r="GE103" t="e">
        <f>AND('UP133'!EZ65,"AAAAAFZP57o=")</f>
        <v>#VALUE!</v>
      </c>
      <c r="GF103" t="e">
        <f>AND('UP133'!FA65,"AAAAAFZP57s=")</f>
        <v>#VALUE!</v>
      </c>
      <c r="GG103" t="e">
        <f>AND('UP133'!FB65,"AAAAAFZP57w=")</f>
        <v>#VALUE!</v>
      </c>
      <c r="GH103" t="e">
        <f>AND('UP133'!FC65,"AAAAAFZP570=")</f>
        <v>#VALUE!</v>
      </c>
      <c r="GI103" t="e">
        <f>AND('UP133'!FD65,"AAAAAFZP574=")</f>
        <v>#VALUE!</v>
      </c>
      <c r="GJ103" t="e">
        <f>AND('UP133'!FE65,"AAAAAFZP578=")</f>
        <v>#VALUE!</v>
      </c>
      <c r="GK103" t="e">
        <f>AND('UP133'!FF65,"AAAAAFZP58A=")</f>
        <v>#VALUE!</v>
      </c>
      <c r="GL103" t="e">
        <f>AND('UP133'!FG65,"AAAAAFZP58E=")</f>
        <v>#VALUE!</v>
      </c>
      <c r="GM103" t="e">
        <f>AND('UP133'!FH65,"AAAAAFZP58I=")</f>
        <v>#VALUE!</v>
      </c>
      <c r="GN103" t="e">
        <f>AND('UP133'!FI65,"AAAAAFZP58M=")</f>
        <v>#VALUE!</v>
      </c>
      <c r="GO103" t="e">
        <f>AND('UP133'!FJ65,"AAAAAFZP58Q=")</f>
        <v>#VALUE!</v>
      </c>
      <c r="GP103" t="e">
        <f>AND('UP133'!FK65,"AAAAAFZP58U=")</f>
        <v>#VALUE!</v>
      </c>
      <c r="GQ103" t="e">
        <f>AND('UP133'!FL65,"AAAAAFZP58Y=")</f>
        <v>#VALUE!</v>
      </c>
      <c r="GR103" t="e">
        <f>AND('UP133'!FM65,"AAAAAFZP58c=")</f>
        <v>#VALUE!</v>
      </c>
      <c r="GS103" t="e">
        <f>AND('UP133'!FN65,"AAAAAFZP58g=")</f>
        <v>#VALUE!</v>
      </c>
      <c r="GT103" t="e">
        <f>AND('UP133'!FO65,"AAAAAFZP58k=")</f>
        <v>#VALUE!</v>
      </c>
      <c r="GU103" t="e">
        <f>AND('UP133'!FP65,"AAAAAFZP58o=")</f>
        <v>#VALUE!</v>
      </c>
      <c r="GV103" t="e">
        <f>AND('UP133'!FQ65,"AAAAAFZP58s=")</f>
        <v>#VALUE!</v>
      </c>
      <c r="GW103" t="e">
        <f>AND('UP133'!FR65,"AAAAAFZP58w=")</f>
        <v>#VALUE!</v>
      </c>
      <c r="GX103" t="e">
        <f>AND('UP133'!FS65,"AAAAAFZP580=")</f>
        <v>#VALUE!</v>
      </c>
      <c r="GY103" t="e">
        <f>AND('UP133'!FT65,"AAAAAFZP584=")</f>
        <v>#VALUE!</v>
      </c>
      <c r="GZ103" t="e">
        <f>AND('UP133'!FU65,"AAAAAFZP588=")</f>
        <v>#VALUE!</v>
      </c>
      <c r="HA103" t="e">
        <f>AND('UP133'!FV65,"AAAAAFZP59A=")</f>
        <v>#VALUE!</v>
      </c>
      <c r="HB103" t="e">
        <f>AND('UP133'!FW65,"AAAAAFZP59E=")</f>
        <v>#VALUE!</v>
      </c>
      <c r="HC103" t="e">
        <f>AND('UP133'!FX65,"AAAAAFZP59I=")</f>
        <v>#VALUE!</v>
      </c>
      <c r="HD103" t="e">
        <f>AND('UP133'!FY65,"AAAAAFZP59M=")</f>
        <v>#VALUE!</v>
      </c>
      <c r="HE103" t="e">
        <f>AND('UP133'!FZ65,"AAAAAFZP59Q=")</f>
        <v>#VALUE!</v>
      </c>
      <c r="HF103" t="e">
        <f>AND('UP133'!GA65,"AAAAAFZP59U=")</f>
        <v>#VALUE!</v>
      </c>
      <c r="HG103" t="e">
        <f>AND('UP133'!GB65,"AAAAAFZP59Y=")</f>
        <v>#VALUE!</v>
      </c>
      <c r="HH103" t="e">
        <f>AND('UP133'!GC65,"AAAAAFZP59c=")</f>
        <v>#VALUE!</v>
      </c>
      <c r="HI103" t="e">
        <f>AND('UP133'!GD65,"AAAAAFZP59g=")</f>
        <v>#VALUE!</v>
      </c>
      <c r="HJ103" t="e">
        <f>AND('UP133'!GE65,"AAAAAFZP59k=")</f>
        <v>#VALUE!</v>
      </c>
      <c r="HK103" t="e">
        <f>AND('UP133'!GF65,"AAAAAFZP59o=")</f>
        <v>#VALUE!</v>
      </c>
      <c r="HL103" t="e">
        <f>AND('UP133'!GG65,"AAAAAFZP59s=")</f>
        <v>#VALUE!</v>
      </c>
      <c r="HM103" t="e">
        <f>AND('UP133'!GH65,"AAAAAFZP59w=")</f>
        <v>#VALUE!</v>
      </c>
      <c r="HN103" t="e">
        <f>AND('UP133'!GI65,"AAAAAFZP590=")</f>
        <v>#VALUE!</v>
      </c>
      <c r="HO103" t="e">
        <f>AND('UP133'!GJ65,"AAAAAFZP594=")</f>
        <v>#VALUE!</v>
      </c>
      <c r="HP103" t="e">
        <f>AND('UP133'!GK65,"AAAAAFZP598=")</f>
        <v>#VALUE!</v>
      </c>
      <c r="HQ103" t="e">
        <f>AND('UP133'!GL65,"AAAAAFZP5+A=")</f>
        <v>#VALUE!</v>
      </c>
      <c r="HR103" t="e">
        <f>AND('UP133'!GM65,"AAAAAFZP5+E=")</f>
        <v>#VALUE!</v>
      </c>
      <c r="HS103" t="e">
        <f>AND('UP133'!GN65,"AAAAAFZP5+I=")</f>
        <v>#VALUE!</v>
      </c>
      <c r="HT103" t="e">
        <f>AND('UP133'!GO65,"AAAAAFZP5+M=")</f>
        <v>#VALUE!</v>
      </c>
      <c r="HU103" t="e">
        <f>AND('UP133'!GP65,"AAAAAFZP5+Q=")</f>
        <v>#VALUE!</v>
      </c>
      <c r="HV103" t="e">
        <f>AND('UP133'!GQ65,"AAAAAFZP5+U=")</f>
        <v>#VALUE!</v>
      </c>
      <c r="HW103" t="e">
        <f>AND('UP133'!GR65,"AAAAAFZP5+Y=")</f>
        <v>#VALUE!</v>
      </c>
      <c r="HX103" t="e">
        <f>AND('UP133'!GS65,"AAAAAFZP5+c=")</f>
        <v>#VALUE!</v>
      </c>
      <c r="HY103" t="e">
        <f>AND('UP133'!GT65,"AAAAAFZP5+g=")</f>
        <v>#VALUE!</v>
      </c>
      <c r="HZ103" t="e">
        <f>AND('UP133'!GU65,"AAAAAFZP5+k=")</f>
        <v>#VALUE!</v>
      </c>
      <c r="IA103" t="e">
        <f>AND('UP133'!GV65,"AAAAAFZP5+o=")</f>
        <v>#VALUE!</v>
      </c>
      <c r="IB103" t="e">
        <f>AND('UP133'!GW65,"AAAAAFZP5+s=")</f>
        <v>#VALUE!</v>
      </c>
      <c r="IC103" t="e">
        <f>AND('UP133'!GX65,"AAAAAFZP5+w=")</f>
        <v>#VALUE!</v>
      </c>
      <c r="ID103" t="e">
        <f>AND('UP133'!GY65,"AAAAAFZP5+0=")</f>
        <v>#VALUE!</v>
      </c>
      <c r="IE103" t="e">
        <f>AND('UP133'!GZ65,"AAAAAFZP5+4=")</f>
        <v>#VALUE!</v>
      </c>
      <c r="IF103" t="e">
        <f>AND('UP133'!HA65,"AAAAAFZP5+8=")</f>
        <v>#VALUE!</v>
      </c>
      <c r="IG103" t="e">
        <f>AND('UP133'!HB65,"AAAAAFZP5/A=")</f>
        <v>#VALUE!</v>
      </c>
      <c r="IH103" t="e">
        <f>AND('UP133'!HC65,"AAAAAFZP5/E=")</f>
        <v>#VALUE!</v>
      </c>
      <c r="II103" t="e">
        <f>AND('UP133'!HD65,"AAAAAFZP5/I=")</f>
        <v>#VALUE!</v>
      </c>
      <c r="IJ103" t="e">
        <f>AND('UP133'!HE65,"AAAAAFZP5/M=")</f>
        <v>#VALUE!</v>
      </c>
      <c r="IK103" t="e">
        <f>AND('UP133'!HF65,"AAAAAFZP5/Q=")</f>
        <v>#VALUE!</v>
      </c>
      <c r="IL103" t="e">
        <f>AND('UP133'!HG65,"AAAAAFZP5/U=")</f>
        <v>#VALUE!</v>
      </c>
      <c r="IM103" t="e">
        <f>AND('UP133'!HH65,"AAAAAFZP5/Y=")</f>
        <v>#VALUE!</v>
      </c>
      <c r="IN103" t="e">
        <f>AND('UP133'!HI65,"AAAAAFZP5/c=")</f>
        <v>#VALUE!</v>
      </c>
      <c r="IO103" t="e">
        <f>AND('UP133'!HJ65,"AAAAAFZP5/g=")</f>
        <v>#VALUE!</v>
      </c>
      <c r="IP103" t="e">
        <f>AND('UP133'!HK65,"AAAAAFZP5/k=")</f>
        <v>#VALUE!</v>
      </c>
      <c r="IQ103" t="e">
        <f>AND('UP133'!HL65,"AAAAAFZP5/o=")</f>
        <v>#VALUE!</v>
      </c>
      <c r="IR103" t="e">
        <f>AND('UP133'!HM65,"AAAAAFZP5/s=")</f>
        <v>#VALUE!</v>
      </c>
      <c r="IS103" t="e">
        <f>AND('UP133'!HN65,"AAAAAFZP5/w=")</f>
        <v>#VALUE!</v>
      </c>
      <c r="IT103" t="e">
        <f>AND('UP133'!HO65,"AAAAAFZP5/0=")</f>
        <v>#VALUE!</v>
      </c>
      <c r="IU103" t="e">
        <f>AND('UP133'!HP65,"AAAAAFZP5/4=")</f>
        <v>#VALUE!</v>
      </c>
      <c r="IV103" t="e">
        <f>AND('UP133'!HQ65,"AAAAAFZP5/8=")</f>
        <v>#VALUE!</v>
      </c>
    </row>
    <row r="104" spans="1:256">
      <c r="A104" t="e">
        <f>AND('UP133'!HR65,"AAAAAH37+wA=")</f>
        <v>#VALUE!</v>
      </c>
      <c r="B104" t="e">
        <f>AND('UP133'!HS65,"AAAAAH37+wE=")</f>
        <v>#VALUE!</v>
      </c>
      <c r="C104" t="e">
        <f>AND('UP133'!HT65,"AAAAAH37+wI=")</f>
        <v>#VALUE!</v>
      </c>
      <c r="D104" t="e">
        <f>AND('UP133'!HU65,"AAAAAH37+wM=")</f>
        <v>#VALUE!</v>
      </c>
      <c r="E104" t="e">
        <f>AND('UP133'!HV65,"AAAAAH37+wQ=")</f>
        <v>#VALUE!</v>
      </c>
      <c r="F104" t="e">
        <f>AND('UP133'!HW65,"AAAAAH37+wU=")</f>
        <v>#VALUE!</v>
      </c>
      <c r="G104" t="e">
        <f>AND('UP133'!HX65,"AAAAAH37+wY=")</f>
        <v>#VALUE!</v>
      </c>
      <c r="H104" t="e">
        <f>AND('UP133'!HY65,"AAAAAH37+wc=")</f>
        <v>#VALUE!</v>
      </c>
      <c r="I104" t="e">
        <f>AND('UP133'!HZ65,"AAAAAH37+wg=")</f>
        <v>#VALUE!</v>
      </c>
      <c r="J104" t="e">
        <f>AND('UP133'!IA65,"AAAAAH37+wk=")</f>
        <v>#VALUE!</v>
      </c>
      <c r="K104" t="e">
        <f>AND('UP133'!IB65,"AAAAAH37+wo=")</f>
        <v>#VALUE!</v>
      </c>
      <c r="L104" t="e">
        <f>AND('UP133'!IC65,"AAAAAH37+ws=")</f>
        <v>#VALUE!</v>
      </c>
      <c r="M104" t="e">
        <f>AND('UP133'!ID65,"AAAAAH37+ww=")</f>
        <v>#VALUE!</v>
      </c>
      <c r="N104" t="e">
        <f>AND('UP133'!IE65,"AAAAAH37+w0=")</f>
        <v>#VALUE!</v>
      </c>
      <c r="O104" t="e">
        <f>AND('UP133'!IF65,"AAAAAH37+w4=")</f>
        <v>#VALUE!</v>
      </c>
      <c r="P104" t="e">
        <f>AND('UP133'!IG65,"AAAAAH37+w8=")</f>
        <v>#VALUE!</v>
      </c>
      <c r="Q104" t="e">
        <f>AND('UP133'!IH65,"AAAAAH37+xA=")</f>
        <v>#VALUE!</v>
      </c>
      <c r="R104" t="e">
        <f>AND('UP133'!II65,"AAAAAH37+xE=")</f>
        <v>#VALUE!</v>
      </c>
      <c r="S104" t="e">
        <f>AND('UP133'!IJ65,"AAAAAH37+xI=")</f>
        <v>#VALUE!</v>
      </c>
      <c r="T104" t="e">
        <f>AND('UP133'!IK65,"AAAAAH37+xM=")</f>
        <v>#VALUE!</v>
      </c>
      <c r="U104" t="e">
        <f>AND('UP133'!IL65,"AAAAAH37+xQ=")</f>
        <v>#VALUE!</v>
      </c>
      <c r="V104" t="e">
        <f>AND('UP133'!IM65,"AAAAAH37+xU=")</f>
        <v>#VALUE!</v>
      </c>
      <c r="W104" t="e">
        <f>AND('UP133'!IN65,"AAAAAH37+xY=")</f>
        <v>#VALUE!</v>
      </c>
      <c r="X104" t="e">
        <f>AND('UP133'!IO65,"AAAAAH37+xc=")</f>
        <v>#VALUE!</v>
      </c>
      <c r="Y104" t="e">
        <f>AND('UP133'!IP65,"AAAAAH37+xg=")</f>
        <v>#VALUE!</v>
      </c>
      <c r="Z104" t="e">
        <f>AND('UP133'!IQ65,"AAAAAH37+xk=")</f>
        <v>#VALUE!</v>
      </c>
      <c r="AA104">
        <f>IF('UP133'!66:66,"AAAAAH37+xo=",0)</f>
        <v>0</v>
      </c>
      <c r="AB104" t="e">
        <f>AND('UP133'!A66,"AAAAAH37+xs=")</f>
        <v>#VALUE!</v>
      </c>
      <c r="AC104" t="e">
        <f>AND('UP133'!B66,"AAAAAH37+xw=")</f>
        <v>#VALUE!</v>
      </c>
      <c r="AD104" t="e">
        <f>AND('UP133'!C66,"AAAAAH37+x0=")</f>
        <v>#VALUE!</v>
      </c>
      <c r="AE104" t="e">
        <f>AND('UP133'!D66,"AAAAAH37+x4=")</f>
        <v>#VALUE!</v>
      </c>
      <c r="AF104" t="e">
        <f>AND('UP133'!E66,"AAAAAH37+x8=")</f>
        <v>#VALUE!</v>
      </c>
      <c r="AG104" t="e">
        <f>AND('UP133'!F66,"AAAAAH37+yA=")</f>
        <v>#VALUE!</v>
      </c>
      <c r="AH104" t="e">
        <f>AND('UP133'!G66,"AAAAAH37+yE=")</f>
        <v>#VALUE!</v>
      </c>
      <c r="AI104" t="e">
        <f>AND('UP133'!H66,"AAAAAH37+yI=")</f>
        <v>#VALUE!</v>
      </c>
      <c r="AJ104" t="e">
        <f>AND('UP133'!I66,"AAAAAH37+yM=")</f>
        <v>#VALUE!</v>
      </c>
      <c r="AK104" t="e">
        <f>AND('UP133'!J66,"AAAAAH37+yQ=")</f>
        <v>#VALUE!</v>
      </c>
      <c r="AL104" t="e">
        <f>AND('UP133'!K66,"AAAAAH37+yU=")</f>
        <v>#VALUE!</v>
      </c>
      <c r="AM104" t="e">
        <f>AND('UP133'!L66,"AAAAAH37+yY=")</f>
        <v>#VALUE!</v>
      </c>
      <c r="AN104" t="e">
        <f>AND('UP133'!M66,"AAAAAH37+yc=")</f>
        <v>#VALUE!</v>
      </c>
      <c r="AO104" t="e">
        <f>AND('UP133'!N66,"AAAAAH37+yg=")</f>
        <v>#VALUE!</v>
      </c>
      <c r="AP104" t="e">
        <f>AND('UP133'!O66,"AAAAAH37+yk=")</f>
        <v>#VALUE!</v>
      </c>
      <c r="AQ104" t="e">
        <f>AND('UP133'!P66,"AAAAAH37+yo=")</f>
        <v>#VALUE!</v>
      </c>
      <c r="AR104" t="e">
        <f>AND('UP133'!Q66,"AAAAAH37+ys=")</f>
        <v>#VALUE!</v>
      </c>
      <c r="AS104" t="e">
        <f>AND('UP133'!R66,"AAAAAH37+yw=")</f>
        <v>#VALUE!</v>
      </c>
      <c r="AT104" t="e">
        <f>AND('UP133'!S66,"AAAAAH37+y0=")</f>
        <v>#VALUE!</v>
      </c>
      <c r="AU104" t="e">
        <f>AND('UP133'!T66,"AAAAAH37+y4=")</f>
        <v>#VALUE!</v>
      </c>
      <c r="AV104" t="e">
        <f>AND('UP133'!U66,"AAAAAH37+y8=")</f>
        <v>#VALUE!</v>
      </c>
      <c r="AW104" t="e">
        <f>AND('UP133'!V66,"AAAAAH37+zA=")</f>
        <v>#VALUE!</v>
      </c>
      <c r="AX104" t="e">
        <f>AND('UP133'!W66,"AAAAAH37+zE=")</f>
        <v>#VALUE!</v>
      </c>
      <c r="AY104" t="e">
        <f>AND('UP133'!X66,"AAAAAH37+zI=")</f>
        <v>#VALUE!</v>
      </c>
      <c r="AZ104" t="e">
        <f>AND('UP133'!Y66,"AAAAAH37+zM=")</f>
        <v>#VALUE!</v>
      </c>
      <c r="BA104" t="e">
        <f>AND('UP133'!Z66,"AAAAAH37+zQ=")</f>
        <v>#VALUE!</v>
      </c>
      <c r="BB104" t="e">
        <f>AND('UP133'!AA66,"AAAAAH37+zU=")</f>
        <v>#VALUE!</v>
      </c>
      <c r="BC104" t="e">
        <f>AND('UP133'!AB66,"AAAAAH37+zY=")</f>
        <v>#VALUE!</v>
      </c>
      <c r="BD104" t="e">
        <f>AND('UP133'!AC66,"AAAAAH37+zc=")</f>
        <v>#VALUE!</v>
      </c>
      <c r="BE104" t="e">
        <f>AND('UP133'!AD66,"AAAAAH37+zg=")</f>
        <v>#VALUE!</v>
      </c>
      <c r="BF104" t="e">
        <f>AND('UP133'!AE66,"AAAAAH37+zk=")</f>
        <v>#VALUE!</v>
      </c>
      <c r="BG104" t="e">
        <f>AND('UP133'!AF66,"AAAAAH37+zo=")</f>
        <v>#VALUE!</v>
      </c>
      <c r="BH104" t="e">
        <f>AND('UP133'!AG66,"AAAAAH37+zs=")</f>
        <v>#VALUE!</v>
      </c>
      <c r="BI104" t="e">
        <f>AND('UP133'!AH66,"AAAAAH37+zw=")</f>
        <v>#VALUE!</v>
      </c>
      <c r="BJ104" t="e">
        <f>AND('UP133'!AI66,"AAAAAH37+z0=")</f>
        <v>#VALUE!</v>
      </c>
      <c r="BK104" t="e">
        <f>AND('UP133'!AJ66,"AAAAAH37+z4=")</f>
        <v>#VALUE!</v>
      </c>
      <c r="BL104" t="e">
        <f>AND('UP133'!AK66,"AAAAAH37+z8=")</f>
        <v>#VALUE!</v>
      </c>
      <c r="BM104" t="e">
        <f>AND('UP133'!AL66,"AAAAAH37+0A=")</f>
        <v>#VALUE!</v>
      </c>
      <c r="BN104" t="e">
        <f>AND('UP133'!AM66,"AAAAAH37+0E=")</f>
        <v>#VALUE!</v>
      </c>
      <c r="BO104" t="e">
        <f>AND('UP133'!AN66,"AAAAAH37+0I=")</f>
        <v>#VALUE!</v>
      </c>
      <c r="BP104" t="e">
        <f>AND('UP133'!AO66,"AAAAAH37+0M=")</f>
        <v>#VALUE!</v>
      </c>
      <c r="BQ104" t="e">
        <f>AND('UP133'!AP66,"AAAAAH37+0Q=")</f>
        <v>#VALUE!</v>
      </c>
      <c r="BR104" t="e">
        <f>AND('UP133'!AQ66,"AAAAAH37+0U=")</f>
        <v>#VALUE!</v>
      </c>
      <c r="BS104" t="e">
        <f>AND('UP133'!AR66,"AAAAAH37+0Y=")</f>
        <v>#VALUE!</v>
      </c>
      <c r="BT104" t="e">
        <f>AND('UP133'!AS66,"AAAAAH37+0c=")</f>
        <v>#VALUE!</v>
      </c>
      <c r="BU104" t="e">
        <f>AND('UP133'!AT66,"AAAAAH37+0g=")</f>
        <v>#VALUE!</v>
      </c>
      <c r="BV104" t="e">
        <f>AND('UP133'!AU66,"AAAAAH37+0k=")</f>
        <v>#VALUE!</v>
      </c>
      <c r="BW104" t="e">
        <f>AND('UP133'!AV66,"AAAAAH37+0o=")</f>
        <v>#VALUE!</v>
      </c>
      <c r="BX104" t="e">
        <f>AND('UP133'!AW66,"AAAAAH37+0s=")</f>
        <v>#VALUE!</v>
      </c>
      <c r="BY104" t="e">
        <f>AND('UP133'!AX66,"AAAAAH37+0w=")</f>
        <v>#VALUE!</v>
      </c>
      <c r="BZ104" t="e">
        <f>AND('UP133'!AY66,"AAAAAH37+00=")</f>
        <v>#VALUE!</v>
      </c>
      <c r="CA104" t="e">
        <f>AND('UP133'!AZ66,"AAAAAH37+04=")</f>
        <v>#VALUE!</v>
      </c>
      <c r="CB104" t="e">
        <f>AND('UP133'!BA66,"AAAAAH37+08=")</f>
        <v>#VALUE!</v>
      </c>
      <c r="CC104" t="e">
        <f>AND('UP133'!BB66,"AAAAAH37+1A=")</f>
        <v>#VALUE!</v>
      </c>
      <c r="CD104" t="e">
        <f>AND('UP133'!BC66,"AAAAAH37+1E=")</f>
        <v>#VALUE!</v>
      </c>
      <c r="CE104" t="e">
        <f>AND('UP133'!BD66,"AAAAAH37+1I=")</f>
        <v>#VALUE!</v>
      </c>
      <c r="CF104" t="e">
        <f>AND('UP133'!BE66,"AAAAAH37+1M=")</f>
        <v>#VALUE!</v>
      </c>
      <c r="CG104" t="e">
        <f>AND('UP133'!BF66,"AAAAAH37+1Q=")</f>
        <v>#VALUE!</v>
      </c>
      <c r="CH104" t="e">
        <f>AND('UP133'!BG66,"AAAAAH37+1U=")</f>
        <v>#VALUE!</v>
      </c>
      <c r="CI104" t="e">
        <f>AND('UP133'!BH66,"AAAAAH37+1Y=")</f>
        <v>#VALUE!</v>
      </c>
      <c r="CJ104" t="e">
        <f>AND('UP133'!BI66,"AAAAAH37+1c=")</f>
        <v>#VALUE!</v>
      </c>
      <c r="CK104" t="e">
        <f>AND('UP133'!BJ66,"AAAAAH37+1g=")</f>
        <v>#VALUE!</v>
      </c>
      <c r="CL104" t="e">
        <f>AND('UP133'!BK66,"AAAAAH37+1k=")</f>
        <v>#VALUE!</v>
      </c>
      <c r="CM104" t="e">
        <f>AND('UP133'!BL66,"AAAAAH37+1o=")</f>
        <v>#VALUE!</v>
      </c>
      <c r="CN104" t="e">
        <f>AND('UP133'!BM66,"AAAAAH37+1s=")</f>
        <v>#VALUE!</v>
      </c>
      <c r="CO104" t="e">
        <f>AND('UP133'!BN66,"AAAAAH37+1w=")</f>
        <v>#VALUE!</v>
      </c>
      <c r="CP104" t="e">
        <f>AND('UP133'!BO66,"AAAAAH37+10=")</f>
        <v>#VALUE!</v>
      </c>
      <c r="CQ104" t="e">
        <f>AND('UP133'!BP66,"AAAAAH37+14=")</f>
        <v>#VALUE!</v>
      </c>
      <c r="CR104" t="e">
        <f>AND('UP133'!BQ66,"AAAAAH37+18=")</f>
        <v>#VALUE!</v>
      </c>
      <c r="CS104" t="e">
        <f>AND('UP133'!BR66,"AAAAAH37+2A=")</f>
        <v>#VALUE!</v>
      </c>
      <c r="CT104" t="e">
        <f>AND('UP133'!BS66,"AAAAAH37+2E=")</f>
        <v>#VALUE!</v>
      </c>
      <c r="CU104" t="e">
        <f>AND('UP133'!BT66,"AAAAAH37+2I=")</f>
        <v>#VALUE!</v>
      </c>
      <c r="CV104" t="e">
        <f>AND('UP133'!BU66,"AAAAAH37+2M=")</f>
        <v>#VALUE!</v>
      </c>
      <c r="CW104" t="e">
        <f>AND('UP133'!BV66,"AAAAAH37+2Q=")</f>
        <v>#VALUE!</v>
      </c>
      <c r="CX104" t="e">
        <f>AND('UP133'!BW66,"AAAAAH37+2U=")</f>
        <v>#VALUE!</v>
      </c>
      <c r="CY104" t="e">
        <f>AND('UP133'!BX66,"AAAAAH37+2Y=")</f>
        <v>#VALUE!</v>
      </c>
      <c r="CZ104" t="e">
        <f>AND('UP133'!BY66,"AAAAAH37+2c=")</f>
        <v>#VALUE!</v>
      </c>
      <c r="DA104" t="e">
        <f>AND('UP133'!BZ66,"AAAAAH37+2g=")</f>
        <v>#VALUE!</v>
      </c>
      <c r="DB104" t="e">
        <f>AND('UP133'!CA66,"AAAAAH37+2k=")</f>
        <v>#VALUE!</v>
      </c>
      <c r="DC104" t="e">
        <f>AND('UP133'!CB66,"AAAAAH37+2o=")</f>
        <v>#VALUE!</v>
      </c>
      <c r="DD104" t="e">
        <f>AND('UP133'!CC66,"AAAAAH37+2s=")</f>
        <v>#VALUE!</v>
      </c>
      <c r="DE104" t="e">
        <f>AND('UP133'!CD66,"AAAAAH37+2w=")</f>
        <v>#VALUE!</v>
      </c>
      <c r="DF104" t="e">
        <f>AND('UP133'!CE66,"AAAAAH37+20=")</f>
        <v>#VALUE!</v>
      </c>
      <c r="DG104" t="e">
        <f>AND('UP133'!CF66,"AAAAAH37+24=")</f>
        <v>#VALUE!</v>
      </c>
      <c r="DH104" t="e">
        <f>AND('UP133'!CG66,"AAAAAH37+28=")</f>
        <v>#VALUE!</v>
      </c>
      <c r="DI104" t="e">
        <f>AND('UP133'!CH66,"AAAAAH37+3A=")</f>
        <v>#VALUE!</v>
      </c>
      <c r="DJ104" t="e">
        <f>AND('UP133'!CI66,"AAAAAH37+3E=")</f>
        <v>#VALUE!</v>
      </c>
      <c r="DK104" t="e">
        <f>AND('UP133'!CJ66,"AAAAAH37+3I=")</f>
        <v>#VALUE!</v>
      </c>
      <c r="DL104" t="e">
        <f>AND('UP133'!CK66,"AAAAAH37+3M=")</f>
        <v>#VALUE!</v>
      </c>
      <c r="DM104" t="e">
        <f>AND('UP133'!CL66,"AAAAAH37+3Q=")</f>
        <v>#VALUE!</v>
      </c>
      <c r="DN104" t="e">
        <f>AND('UP133'!CM66,"AAAAAH37+3U=")</f>
        <v>#VALUE!</v>
      </c>
      <c r="DO104" t="e">
        <f>AND('UP133'!CN66,"AAAAAH37+3Y=")</f>
        <v>#VALUE!</v>
      </c>
      <c r="DP104" t="e">
        <f>AND('UP133'!CO66,"AAAAAH37+3c=")</f>
        <v>#VALUE!</v>
      </c>
      <c r="DQ104" t="e">
        <f>AND('UP133'!CP66,"AAAAAH37+3g=")</f>
        <v>#VALUE!</v>
      </c>
      <c r="DR104" t="e">
        <f>AND('UP133'!CQ66,"AAAAAH37+3k=")</f>
        <v>#VALUE!</v>
      </c>
      <c r="DS104" t="e">
        <f>AND('UP133'!CR66,"AAAAAH37+3o=")</f>
        <v>#VALUE!</v>
      </c>
      <c r="DT104" t="e">
        <f>AND('UP133'!CS66,"AAAAAH37+3s=")</f>
        <v>#VALUE!</v>
      </c>
      <c r="DU104" t="e">
        <f>AND('UP133'!CT66,"AAAAAH37+3w=")</f>
        <v>#VALUE!</v>
      </c>
      <c r="DV104" t="e">
        <f>AND('UP133'!CU66,"AAAAAH37+30=")</f>
        <v>#VALUE!</v>
      </c>
      <c r="DW104" t="e">
        <f>AND('UP133'!CV66,"AAAAAH37+34=")</f>
        <v>#VALUE!</v>
      </c>
      <c r="DX104" t="e">
        <f>AND('UP133'!CW66,"AAAAAH37+38=")</f>
        <v>#VALUE!</v>
      </c>
      <c r="DY104" t="e">
        <f>AND('UP133'!CX66,"AAAAAH37+4A=")</f>
        <v>#VALUE!</v>
      </c>
      <c r="DZ104" t="e">
        <f>AND('UP133'!CY66,"AAAAAH37+4E=")</f>
        <v>#VALUE!</v>
      </c>
      <c r="EA104" t="e">
        <f>AND('UP133'!CZ66,"AAAAAH37+4I=")</f>
        <v>#VALUE!</v>
      </c>
      <c r="EB104" t="e">
        <f>AND('UP133'!DA66,"AAAAAH37+4M=")</f>
        <v>#VALUE!</v>
      </c>
      <c r="EC104" t="e">
        <f>AND('UP133'!DB66,"AAAAAH37+4Q=")</f>
        <v>#VALUE!</v>
      </c>
      <c r="ED104" t="e">
        <f>AND('UP133'!DC66,"AAAAAH37+4U=")</f>
        <v>#VALUE!</v>
      </c>
      <c r="EE104" t="e">
        <f>AND('UP133'!DD66,"AAAAAH37+4Y=")</f>
        <v>#VALUE!</v>
      </c>
      <c r="EF104" t="e">
        <f>AND('UP133'!DE66,"AAAAAH37+4c=")</f>
        <v>#VALUE!</v>
      </c>
      <c r="EG104" t="e">
        <f>AND('UP133'!DF66,"AAAAAH37+4g=")</f>
        <v>#VALUE!</v>
      </c>
      <c r="EH104" t="e">
        <f>AND('UP133'!DG66,"AAAAAH37+4k=")</f>
        <v>#VALUE!</v>
      </c>
      <c r="EI104" t="e">
        <f>AND('UP133'!DH66,"AAAAAH37+4o=")</f>
        <v>#VALUE!</v>
      </c>
      <c r="EJ104" t="e">
        <f>AND('UP133'!DI66,"AAAAAH37+4s=")</f>
        <v>#VALUE!</v>
      </c>
      <c r="EK104" t="e">
        <f>AND('UP133'!DJ66,"AAAAAH37+4w=")</f>
        <v>#VALUE!</v>
      </c>
      <c r="EL104" t="e">
        <f>AND('UP133'!DK66,"AAAAAH37+40=")</f>
        <v>#VALUE!</v>
      </c>
      <c r="EM104" t="e">
        <f>AND('UP133'!DL66,"AAAAAH37+44=")</f>
        <v>#VALUE!</v>
      </c>
      <c r="EN104" t="e">
        <f>AND('UP133'!DM66,"AAAAAH37+48=")</f>
        <v>#VALUE!</v>
      </c>
      <c r="EO104" t="e">
        <f>AND('UP133'!DN66,"AAAAAH37+5A=")</f>
        <v>#VALUE!</v>
      </c>
      <c r="EP104" t="e">
        <f>AND('UP133'!DO66,"AAAAAH37+5E=")</f>
        <v>#VALUE!</v>
      </c>
      <c r="EQ104" t="e">
        <f>AND('UP133'!DP66,"AAAAAH37+5I=")</f>
        <v>#VALUE!</v>
      </c>
      <c r="ER104" t="e">
        <f>AND('UP133'!DQ66,"AAAAAH37+5M=")</f>
        <v>#VALUE!</v>
      </c>
      <c r="ES104" t="e">
        <f>AND('UP133'!DR66,"AAAAAH37+5Q=")</f>
        <v>#VALUE!</v>
      </c>
      <c r="ET104" t="e">
        <f>AND('UP133'!DS66,"AAAAAH37+5U=")</f>
        <v>#VALUE!</v>
      </c>
      <c r="EU104" t="e">
        <f>AND('UP133'!DT66,"AAAAAH37+5Y=")</f>
        <v>#VALUE!</v>
      </c>
      <c r="EV104" t="e">
        <f>AND('UP133'!DU66,"AAAAAH37+5c=")</f>
        <v>#VALUE!</v>
      </c>
      <c r="EW104" t="e">
        <f>AND('UP133'!DV66,"AAAAAH37+5g=")</f>
        <v>#VALUE!</v>
      </c>
      <c r="EX104" t="e">
        <f>AND('UP133'!DW66,"AAAAAH37+5k=")</f>
        <v>#VALUE!</v>
      </c>
      <c r="EY104" t="e">
        <f>AND('UP133'!DX66,"AAAAAH37+5o=")</f>
        <v>#VALUE!</v>
      </c>
      <c r="EZ104" t="e">
        <f>AND('UP133'!DY66,"AAAAAH37+5s=")</f>
        <v>#VALUE!</v>
      </c>
      <c r="FA104" t="e">
        <f>AND('UP133'!DZ66,"AAAAAH37+5w=")</f>
        <v>#VALUE!</v>
      </c>
      <c r="FB104" t="e">
        <f>AND('UP133'!EA66,"AAAAAH37+50=")</f>
        <v>#VALUE!</v>
      </c>
      <c r="FC104" t="e">
        <f>AND('UP133'!EB66,"AAAAAH37+54=")</f>
        <v>#VALUE!</v>
      </c>
      <c r="FD104" t="e">
        <f>AND('UP133'!EC66,"AAAAAH37+58=")</f>
        <v>#VALUE!</v>
      </c>
      <c r="FE104" t="e">
        <f>AND('UP133'!ED66,"AAAAAH37+6A=")</f>
        <v>#VALUE!</v>
      </c>
      <c r="FF104" t="e">
        <f>AND('UP133'!EE66,"AAAAAH37+6E=")</f>
        <v>#VALUE!</v>
      </c>
      <c r="FG104" t="e">
        <f>AND('UP133'!EF66,"AAAAAH37+6I=")</f>
        <v>#VALUE!</v>
      </c>
      <c r="FH104" t="e">
        <f>AND('UP133'!EG66,"AAAAAH37+6M=")</f>
        <v>#VALUE!</v>
      </c>
      <c r="FI104" t="e">
        <f>AND('UP133'!EH66,"AAAAAH37+6Q=")</f>
        <v>#VALUE!</v>
      </c>
      <c r="FJ104" t="e">
        <f>AND('UP133'!EI66,"AAAAAH37+6U=")</f>
        <v>#VALUE!</v>
      </c>
      <c r="FK104" t="e">
        <f>AND('UP133'!EJ66,"AAAAAH37+6Y=")</f>
        <v>#VALUE!</v>
      </c>
      <c r="FL104" t="e">
        <f>AND('UP133'!EK66,"AAAAAH37+6c=")</f>
        <v>#VALUE!</v>
      </c>
      <c r="FM104" t="e">
        <f>AND('UP133'!EL66,"AAAAAH37+6g=")</f>
        <v>#VALUE!</v>
      </c>
      <c r="FN104" t="e">
        <f>AND('UP133'!EM66,"AAAAAH37+6k=")</f>
        <v>#VALUE!</v>
      </c>
      <c r="FO104" t="e">
        <f>AND('UP133'!EN66,"AAAAAH37+6o=")</f>
        <v>#VALUE!</v>
      </c>
      <c r="FP104" t="e">
        <f>AND('UP133'!EO66,"AAAAAH37+6s=")</f>
        <v>#VALUE!</v>
      </c>
      <c r="FQ104" t="e">
        <f>AND('UP133'!EP66,"AAAAAH37+6w=")</f>
        <v>#VALUE!</v>
      </c>
      <c r="FR104" t="e">
        <f>AND('UP133'!EQ66,"AAAAAH37+60=")</f>
        <v>#VALUE!</v>
      </c>
      <c r="FS104" t="e">
        <f>AND('UP133'!ER66,"AAAAAH37+64=")</f>
        <v>#VALUE!</v>
      </c>
      <c r="FT104" t="e">
        <f>AND('UP133'!ES66,"AAAAAH37+68=")</f>
        <v>#VALUE!</v>
      </c>
      <c r="FU104" t="e">
        <f>AND('UP133'!ET66,"AAAAAH37+7A=")</f>
        <v>#VALUE!</v>
      </c>
      <c r="FV104" t="e">
        <f>AND('UP133'!EU66,"AAAAAH37+7E=")</f>
        <v>#VALUE!</v>
      </c>
      <c r="FW104" t="e">
        <f>AND('UP133'!EV66,"AAAAAH37+7I=")</f>
        <v>#VALUE!</v>
      </c>
      <c r="FX104" t="e">
        <f>AND('UP133'!EW66,"AAAAAH37+7M=")</f>
        <v>#VALUE!</v>
      </c>
      <c r="FY104" t="e">
        <f>AND('UP133'!EX66,"AAAAAH37+7Q=")</f>
        <v>#VALUE!</v>
      </c>
      <c r="FZ104" t="e">
        <f>AND('UP133'!EY66,"AAAAAH37+7U=")</f>
        <v>#VALUE!</v>
      </c>
      <c r="GA104" t="e">
        <f>AND('UP133'!EZ66,"AAAAAH37+7Y=")</f>
        <v>#VALUE!</v>
      </c>
      <c r="GB104" t="e">
        <f>AND('UP133'!FA66,"AAAAAH37+7c=")</f>
        <v>#VALUE!</v>
      </c>
      <c r="GC104" t="e">
        <f>AND('UP133'!FB66,"AAAAAH37+7g=")</f>
        <v>#VALUE!</v>
      </c>
      <c r="GD104" t="e">
        <f>AND('UP133'!FC66,"AAAAAH37+7k=")</f>
        <v>#VALUE!</v>
      </c>
      <c r="GE104" t="e">
        <f>AND('UP133'!FD66,"AAAAAH37+7o=")</f>
        <v>#VALUE!</v>
      </c>
      <c r="GF104" t="e">
        <f>AND('UP133'!FE66,"AAAAAH37+7s=")</f>
        <v>#VALUE!</v>
      </c>
      <c r="GG104" t="e">
        <f>AND('UP133'!FF66,"AAAAAH37+7w=")</f>
        <v>#VALUE!</v>
      </c>
      <c r="GH104" t="e">
        <f>AND('UP133'!FG66,"AAAAAH37+70=")</f>
        <v>#VALUE!</v>
      </c>
      <c r="GI104" t="e">
        <f>AND('UP133'!FH66,"AAAAAH37+74=")</f>
        <v>#VALUE!</v>
      </c>
      <c r="GJ104" t="e">
        <f>AND('UP133'!FI66,"AAAAAH37+78=")</f>
        <v>#VALUE!</v>
      </c>
      <c r="GK104" t="e">
        <f>AND('UP133'!FJ66,"AAAAAH37+8A=")</f>
        <v>#VALUE!</v>
      </c>
      <c r="GL104" t="e">
        <f>AND('UP133'!FK66,"AAAAAH37+8E=")</f>
        <v>#VALUE!</v>
      </c>
      <c r="GM104" t="e">
        <f>AND('UP133'!FL66,"AAAAAH37+8I=")</f>
        <v>#VALUE!</v>
      </c>
      <c r="GN104" t="e">
        <f>AND('UP133'!FM66,"AAAAAH37+8M=")</f>
        <v>#VALUE!</v>
      </c>
      <c r="GO104" t="e">
        <f>AND('UP133'!FN66,"AAAAAH37+8Q=")</f>
        <v>#VALUE!</v>
      </c>
      <c r="GP104" t="e">
        <f>AND('UP133'!FO66,"AAAAAH37+8U=")</f>
        <v>#VALUE!</v>
      </c>
      <c r="GQ104" t="e">
        <f>AND('UP133'!FP66,"AAAAAH37+8Y=")</f>
        <v>#VALUE!</v>
      </c>
      <c r="GR104" t="e">
        <f>AND('UP133'!FQ66,"AAAAAH37+8c=")</f>
        <v>#VALUE!</v>
      </c>
      <c r="GS104" t="e">
        <f>AND('UP133'!FR66,"AAAAAH37+8g=")</f>
        <v>#VALUE!</v>
      </c>
      <c r="GT104" t="e">
        <f>AND('UP133'!FS66,"AAAAAH37+8k=")</f>
        <v>#VALUE!</v>
      </c>
      <c r="GU104" t="e">
        <f>AND('UP133'!FT66,"AAAAAH37+8o=")</f>
        <v>#VALUE!</v>
      </c>
      <c r="GV104" t="e">
        <f>AND('UP133'!FU66,"AAAAAH37+8s=")</f>
        <v>#VALUE!</v>
      </c>
      <c r="GW104" t="e">
        <f>AND('UP133'!FV66,"AAAAAH37+8w=")</f>
        <v>#VALUE!</v>
      </c>
      <c r="GX104" t="e">
        <f>AND('UP133'!FW66,"AAAAAH37+80=")</f>
        <v>#VALUE!</v>
      </c>
      <c r="GY104" t="e">
        <f>AND('UP133'!FX66,"AAAAAH37+84=")</f>
        <v>#VALUE!</v>
      </c>
      <c r="GZ104" t="e">
        <f>AND('UP133'!FY66,"AAAAAH37+88=")</f>
        <v>#VALUE!</v>
      </c>
      <c r="HA104" t="e">
        <f>AND('UP133'!FZ66,"AAAAAH37+9A=")</f>
        <v>#VALUE!</v>
      </c>
      <c r="HB104" t="e">
        <f>AND('UP133'!GA66,"AAAAAH37+9E=")</f>
        <v>#VALUE!</v>
      </c>
      <c r="HC104" t="e">
        <f>AND('UP133'!GB66,"AAAAAH37+9I=")</f>
        <v>#VALUE!</v>
      </c>
      <c r="HD104" t="e">
        <f>AND('UP133'!GC66,"AAAAAH37+9M=")</f>
        <v>#VALUE!</v>
      </c>
      <c r="HE104" t="e">
        <f>AND('UP133'!GD66,"AAAAAH37+9Q=")</f>
        <v>#VALUE!</v>
      </c>
      <c r="HF104" t="e">
        <f>AND('UP133'!GE66,"AAAAAH37+9U=")</f>
        <v>#VALUE!</v>
      </c>
      <c r="HG104" t="e">
        <f>AND('UP133'!GF66,"AAAAAH37+9Y=")</f>
        <v>#VALUE!</v>
      </c>
      <c r="HH104" t="e">
        <f>AND('UP133'!GG66,"AAAAAH37+9c=")</f>
        <v>#VALUE!</v>
      </c>
      <c r="HI104" t="e">
        <f>AND('UP133'!GH66,"AAAAAH37+9g=")</f>
        <v>#VALUE!</v>
      </c>
      <c r="HJ104" t="e">
        <f>AND('UP133'!GI66,"AAAAAH37+9k=")</f>
        <v>#VALUE!</v>
      </c>
      <c r="HK104" t="e">
        <f>AND('UP133'!GJ66,"AAAAAH37+9o=")</f>
        <v>#VALUE!</v>
      </c>
      <c r="HL104" t="e">
        <f>AND('UP133'!GK66,"AAAAAH37+9s=")</f>
        <v>#VALUE!</v>
      </c>
      <c r="HM104" t="e">
        <f>AND('UP133'!GL66,"AAAAAH37+9w=")</f>
        <v>#VALUE!</v>
      </c>
      <c r="HN104" t="e">
        <f>AND('UP133'!GM66,"AAAAAH37+90=")</f>
        <v>#VALUE!</v>
      </c>
      <c r="HO104" t="e">
        <f>AND('UP133'!GN66,"AAAAAH37+94=")</f>
        <v>#VALUE!</v>
      </c>
      <c r="HP104" t="e">
        <f>AND('UP133'!GO66,"AAAAAH37+98=")</f>
        <v>#VALUE!</v>
      </c>
      <c r="HQ104" t="e">
        <f>AND('UP133'!GP66,"AAAAAH37++A=")</f>
        <v>#VALUE!</v>
      </c>
      <c r="HR104" t="e">
        <f>AND('UP133'!GQ66,"AAAAAH37++E=")</f>
        <v>#VALUE!</v>
      </c>
      <c r="HS104" t="e">
        <f>AND('UP133'!GR66,"AAAAAH37++I=")</f>
        <v>#VALUE!</v>
      </c>
      <c r="HT104" t="e">
        <f>AND('UP133'!GS66,"AAAAAH37++M=")</f>
        <v>#VALUE!</v>
      </c>
      <c r="HU104" t="e">
        <f>AND('UP133'!GT66,"AAAAAH37++Q=")</f>
        <v>#VALUE!</v>
      </c>
      <c r="HV104" t="e">
        <f>AND('UP133'!GU66,"AAAAAH37++U=")</f>
        <v>#VALUE!</v>
      </c>
      <c r="HW104" t="e">
        <f>AND('UP133'!GV66,"AAAAAH37++Y=")</f>
        <v>#VALUE!</v>
      </c>
      <c r="HX104" t="e">
        <f>AND('UP133'!GW66,"AAAAAH37++c=")</f>
        <v>#VALUE!</v>
      </c>
      <c r="HY104" t="e">
        <f>AND('UP133'!GX66,"AAAAAH37++g=")</f>
        <v>#VALUE!</v>
      </c>
      <c r="HZ104" t="e">
        <f>AND('UP133'!GY66,"AAAAAH37++k=")</f>
        <v>#VALUE!</v>
      </c>
      <c r="IA104" t="e">
        <f>AND('UP133'!GZ66,"AAAAAH37++o=")</f>
        <v>#VALUE!</v>
      </c>
      <c r="IB104" t="e">
        <f>AND('UP133'!HA66,"AAAAAH37++s=")</f>
        <v>#VALUE!</v>
      </c>
      <c r="IC104" t="e">
        <f>AND('UP133'!HB66,"AAAAAH37++w=")</f>
        <v>#VALUE!</v>
      </c>
      <c r="ID104" t="e">
        <f>AND('UP133'!HC66,"AAAAAH37++0=")</f>
        <v>#VALUE!</v>
      </c>
      <c r="IE104" t="e">
        <f>AND('UP133'!HD66,"AAAAAH37++4=")</f>
        <v>#VALUE!</v>
      </c>
      <c r="IF104" t="e">
        <f>AND('UP133'!HE66,"AAAAAH37++8=")</f>
        <v>#VALUE!</v>
      </c>
      <c r="IG104" t="e">
        <f>AND('UP133'!HF66,"AAAAAH37+/A=")</f>
        <v>#VALUE!</v>
      </c>
      <c r="IH104" t="e">
        <f>AND('UP133'!HG66,"AAAAAH37+/E=")</f>
        <v>#VALUE!</v>
      </c>
      <c r="II104" t="e">
        <f>AND('UP133'!HH66,"AAAAAH37+/I=")</f>
        <v>#VALUE!</v>
      </c>
      <c r="IJ104" t="e">
        <f>AND('UP133'!HI66,"AAAAAH37+/M=")</f>
        <v>#VALUE!</v>
      </c>
      <c r="IK104" t="e">
        <f>AND('UP133'!HJ66,"AAAAAH37+/Q=")</f>
        <v>#VALUE!</v>
      </c>
      <c r="IL104" t="e">
        <f>AND('UP133'!HK66,"AAAAAH37+/U=")</f>
        <v>#VALUE!</v>
      </c>
      <c r="IM104" t="e">
        <f>AND('UP133'!HL66,"AAAAAH37+/Y=")</f>
        <v>#VALUE!</v>
      </c>
      <c r="IN104" t="e">
        <f>AND('UP133'!HM66,"AAAAAH37+/c=")</f>
        <v>#VALUE!</v>
      </c>
      <c r="IO104" t="e">
        <f>AND('UP133'!HN66,"AAAAAH37+/g=")</f>
        <v>#VALUE!</v>
      </c>
      <c r="IP104" t="e">
        <f>AND('UP133'!HO66,"AAAAAH37+/k=")</f>
        <v>#VALUE!</v>
      </c>
      <c r="IQ104" t="e">
        <f>AND('UP133'!HP66,"AAAAAH37+/o=")</f>
        <v>#VALUE!</v>
      </c>
      <c r="IR104" t="e">
        <f>AND('UP133'!HQ66,"AAAAAH37+/s=")</f>
        <v>#VALUE!</v>
      </c>
      <c r="IS104" t="e">
        <f>AND('UP133'!HR66,"AAAAAH37+/w=")</f>
        <v>#VALUE!</v>
      </c>
      <c r="IT104" t="e">
        <f>AND('UP133'!HS66,"AAAAAH37+/0=")</f>
        <v>#VALUE!</v>
      </c>
      <c r="IU104" t="e">
        <f>AND('UP133'!HT66,"AAAAAH37+/4=")</f>
        <v>#VALUE!</v>
      </c>
      <c r="IV104" t="e">
        <f>AND('UP133'!HU66,"AAAAAH37+/8=")</f>
        <v>#VALUE!</v>
      </c>
    </row>
    <row r="105" spans="1:256">
      <c r="A105" t="e">
        <f>AND('UP133'!HV66,"AAAAAHNl5AA=")</f>
        <v>#VALUE!</v>
      </c>
      <c r="B105" t="e">
        <f>AND('UP133'!HW66,"AAAAAHNl5AE=")</f>
        <v>#VALUE!</v>
      </c>
      <c r="C105" t="e">
        <f>AND('UP133'!HX66,"AAAAAHNl5AI=")</f>
        <v>#VALUE!</v>
      </c>
      <c r="D105" t="e">
        <f>AND('UP133'!HY66,"AAAAAHNl5AM=")</f>
        <v>#VALUE!</v>
      </c>
      <c r="E105" t="e">
        <f>AND('UP133'!HZ66,"AAAAAHNl5AQ=")</f>
        <v>#VALUE!</v>
      </c>
      <c r="F105" t="e">
        <f>AND('UP133'!IA66,"AAAAAHNl5AU=")</f>
        <v>#VALUE!</v>
      </c>
      <c r="G105" t="e">
        <f>AND('UP133'!IB66,"AAAAAHNl5AY=")</f>
        <v>#VALUE!</v>
      </c>
      <c r="H105" t="e">
        <f>AND('UP133'!IC66,"AAAAAHNl5Ac=")</f>
        <v>#VALUE!</v>
      </c>
      <c r="I105" t="e">
        <f>AND('UP133'!ID66,"AAAAAHNl5Ag=")</f>
        <v>#VALUE!</v>
      </c>
      <c r="J105" t="e">
        <f>AND('UP133'!IE66,"AAAAAHNl5Ak=")</f>
        <v>#VALUE!</v>
      </c>
      <c r="K105" t="e">
        <f>AND('UP133'!IF66,"AAAAAHNl5Ao=")</f>
        <v>#VALUE!</v>
      </c>
      <c r="L105" t="e">
        <f>AND('UP133'!IG66,"AAAAAHNl5As=")</f>
        <v>#VALUE!</v>
      </c>
      <c r="M105" t="e">
        <f>AND('UP133'!IH66,"AAAAAHNl5Aw=")</f>
        <v>#VALUE!</v>
      </c>
      <c r="N105" t="e">
        <f>AND('UP133'!II66,"AAAAAHNl5A0=")</f>
        <v>#VALUE!</v>
      </c>
      <c r="O105" t="e">
        <f>AND('UP133'!IJ66,"AAAAAHNl5A4=")</f>
        <v>#VALUE!</v>
      </c>
      <c r="P105" t="e">
        <f>AND('UP133'!IK66,"AAAAAHNl5A8=")</f>
        <v>#VALUE!</v>
      </c>
      <c r="Q105" t="e">
        <f>AND('UP133'!IL66,"AAAAAHNl5BA=")</f>
        <v>#VALUE!</v>
      </c>
      <c r="R105" t="e">
        <f>AND('UP133'!IM66,"AAAAAHNl5BE=")</f>
        <v>#VALUE!</v>
      </c>
      <c r="S105" t="e">
        <f>AND('UP133'!IN66,"AAAAAHNl5BI=")</f>
        <v>#VALUE!</v>
      </c>
      <c r="T105" t="e">
        <f>AND('UP133'!IO66,"AAAAAHNl5BM=")</f>
        <v>#VALUE!</v>
      </c>
      <c r="U105" t="e">
        <f>AND('UP133'!IP66,"AAAAAHNl5BQ=")</f>
        <v>#VALUE!</v>
      </c>
      <c r="V105" t="e">
        <f>AND('UP133'!IQ66,"AAAAAHNl5BU=")</f>
        <v>#VALUE!</v>
      </c>
      <c r="W105">
        <f>IF('UP133'!67:67,"AAAAAHNl5BY=",0)</f>
        <v>0</v>
      </c>
      <c r="X105" t="e">
        <f>AND('UP133'!A67,"AAAAAHNl5Bc=")</f>
        <v>#VALUE!</v>
      </c>
      <c r="Y105" t="e">
        <f>AND('UP133'!B67,"AAAAAHNl5Bg=")</f>
        <v>#VALUE!</v>
      </c>
      <c r="Z105" t="e">
        <f>AND('UP133'!C67,"AAAAAHNl5Bk=")</f>
        <v>#VALUE!</v>
      </c>
      <c r="AA105" t="e">
        <f>AND('UP133'!D67,"AAAAAHNl5Bo=")</f>
        <v>#VALUE!</v>
      </c>
      <c r="AB105" t="e">
        <f>AND('UP133'!E67,"AAAAAHNl5Bs=")</f>
        <v>#VALUE!</v>
      </c>
      <c r="AC105" t="e">
        <f>AND('UP133'!F67,"AAAAAHNl5Bw=")</f>
        <v>#VALUE!</v>
      </c>
      <c r="AD105" t="e">
        <f>AND('UP133'!G67,"AAAAAHNl5B0=")</f>
        <v>#VALUE!</v>
      </c>
      <c r="AE105" t="e">
        <f>AND('UP133'!H67,"AAAAAHNl5B4=")</f>
        <v>#VALUE!</v>
      </c>
      <c r="AF105" t="e">
        <f>AND('UP133'!I67,"AAAAAHNl5B8=")</f>
        <v>#VALUE!</v>
      </c>
      <c r="AG105" t="e">
        <f>AND('UP133'!J67,"AAAAAHNl5CA=")</f>
        <v>#VALUE!</v>
      </c>
      <c r="AH105" t="e">
        <f>AND('UP133'!K67,"AAAAAHNl5CE=")</f>
        <v>#VALUE!</v>
      </c>
      <c r="AI105" t="e">
        <f>AND('UP133'!L67,"AAAAAHNl5CI=")</f>
        <v>#VALUE!</v>
      </c>
      <c r="AJ105" t="e">
        <f>AND('UP133'!M67,"AAAAAHNl5CM=")</f>
        <v>#VALUE!</v>
      </c>
      <c r="AK105" t="e">
        <f>AND('UP133'!N67,"AAAAAHNl5CQ=")</f>
        <v>#VALUE!</v>
      </c>
      <c r="AL105" t="e">
        <f>AND('UP133'!O67,"AAAAAHNl5CU=")</f>
        <v>#VALUE!</v>
      </c>
      <c r="AM105" t="e">
        <f>AND('UP133'!P67,"AAAAAHNl5CY=")</f>
        <v>#VALUE!</v>
      </c>
      <c r="AN105" t="e">
        <f>AND('UP133'!Q67,"AAAAAHNl5Cc=")</f>
        <v>#VALUE!</v>
      </c>
      <c r="AO105" t="e">
        <f>AND('UP133'!R67,"AAAAAHNl5Cg=")</f>
        <v>#VALUE!</v>
      </c>
      <c r="AP105" t="e">
        <f>AND('UP133'!S67,"AAAAAHNl5Ck=")</f>
        <v>#VALUE!</v>
      </c>
      <c r="AQ105" t="e">
        <f>AND('UP133'!T67,"AAAAAHNl5Co=")</f>
        <v>#VALUE!</v>
      </c>
      <c r="AR105" t="e">
        <f>AND('UP133'!U67,"AAAAAHNl5Cs=")</f>
        <v>#VALUE!</v>
      </c>
      <c r="AS105" t="e">
        <f>AND('UP133'!V67,"AAAAAHNl5Cw=")</f>
        <v>#VALUE!</v>
      </c>
      <c r="AT105" t="e">
        <f>AND('UP133'!W67,"AAAAAHNl5C0=")</f>
        <v>#VALUE!</v>
      </c>
      <c r="AU105" t="e">
        <f>AND('UP133'!X67,"AAAAAHNl5C4=")</f>
        <v>#VALUE!</v>
      </c>
      <c r="AV105" t="e">
        <f>AND('UP133'!Y67,"AAAAAHNl5C8=")</f>
        <v>#VALUE!</v>
      </c>
      <c r="AW105" t="e">
        <f>AND('UP133'!Z67,"AAAAAHNl5DA=")</f>
        <v>#VALUE!</v>
      </c>
      <c r="AX105" t="e">
        <f>AND('UP133'!AA67,"AAAAAHNl5DE=")</f>
        <v>#VALUE!</v>
      </c>
      <c r="AY105" t="e">
        <f>AND('UP133'!AB67,"AAAAAHNl5DI=")</f>
        <v>#VALUE!</v>
      </c>
      <c r="AZ105" t="e">
        <f>AND('UP133'!AC67,"AAAAAHNl5DM=")</f>
        <v>#VALUE!</v>
      </c>
      <c r="BA105" t="e">
        <f>AND('UP133'!AD67,"AAAAAHNl5DQ=")</f>
        <v>#VALUE!</v>
      </c>
      <c r="BB105" t="e">
        <f>AND('UP133'!AE67,"AAAAAHNl5DU=")</f>
        <v>#VALUE!</v>
      </c>
      <c r="BC105" t="e">
        <f>AND('UP133'!AF67,"AAAAAHNl5DY=")</f>
        <v>#VALUE!</v>
      </c>
      <c r="BD105" t="e">
        <f>AND('UP133'!AG67,"AAAAAHNl5Dc=")</f>
        <v>#VALUE!</v>
      </c>
      <c r="BE105" t="e">
        <f>AND('UP133'!AH67,"AAAAAHNl5Dg=")</f>
        <v>#VALUE!</v>
      </c>
      <c r="BF105" t="e">
        <f>AND('UP133'!AI67,"AAAAAHNl5Dk=")</f>
        <v>#VALUE!</v>
      </c>
      <c r="BG105" t="e">
        <f>AND('UP133'!AJ67,"AAAAAHNl5Do=")</f>
        <v>#VALUE!</v>
      </c>
      <c r="BH105" t="e">
        <f>AND('UP133'!AK67,"AAAAAHNl5Ds=")</f>
        <v>#VALUE!</v>
      </c>
      <c r="BI105" t="e">
        <f>AND('UP133'!AL67,"AAAAAHNl5Dw=")</f>
        <v>#VALUE!</v>
      </c>
      <c r="BJ105" t="e">
        <f>AND('UP133'!AM67,"AAAAAHNl5D0=")</f>
        <v>#VALUE!</v>
      </c>
      <c r="BK105" t="e">
        <f>AND('UP133'!AN67,"AAAAAHNl5D4=")</f>
        <v>#VALUE!</v>
      </c>
      <c r="BL105" t="e">
        <f>AND('UP133'!AO67,"AAAAAHNl5D8=")</f>
        <v>#VALUE!</v>
      </c>
      <c r="BM105" t="e">
        <f>AND('UP133'!AP67,"AAAAAHNl5EA=")</f>
        <v>#VALUE!</v>
      </c>
      <c r="BN105" t="e">
        <f>AND('UP133'!AQ67,"AAAAAHNl5EE=")</f>
        <v>#VALUE!</v>
      </c>
      <c r="BO105" t="e">
        <f>AND('UP133'!AR67,"AAAAAHNl5EI=")</f>
        <v>#VALUE!</v>
      </c>
      <c r="BP105" t="e">
        <f>AND('UP133'!AS67,"AAAAAHNl5EM=")</f>
        <v>#VALUE!</v>
      </c>
      <c r="BQ105" t="e">
        <f>AND('UP133'!AT67,"AAAAAHNl5EQ=")</f>
        <v>#VALUE!</v>
      </c>
      <c r="BR105" t="e">
        <f>AND('UP133'!AU67,"AAAAAHNl5EU=")</f>
        <v>#VALUE!</v>
      </c>
      <c r="BS105" t="e">
        <f>AND('UP133'!AV67,"AAAAAHNl5EY=")</f>
        <v>#VALUE!</v>
      </c>
      <c r="BT105" t="e">
        <f>AND('UP133'!AW67,"AAAAAHNl5Ec=")</f>
        <v>#VALUE!</v>
      </c>
      <c r="BU105" t="e">
        <f>AND('UP133'!AX67,"AAAAAHNl5Eg=")</f>
        <v>#VALUE!</v>
      </c>
      <c r="BV105" t="e">
        <f>AND('UP133'!AY67,"AAAAAHNl5Ek=")</f>
        <v>#VALUE!</v>
      </c>
      <c r="BW105" t="e">
        <f>AND('UP133'!AZ67,"AAAAAHNl5Eo=")</f>
        <v>#VALUE!</v>
      </c>
      <c r="BX105" t="e">
        <f>AND('UP133'!BA67,"AAAAAHNl5Es=")</f>
        <v>#VALUE!</v>
      </c>
      <c r="BY105" t="e">
        <f>AND('UP133'!BB67,"AAAAAHNl5Ew=")</f>
        <v>#VALUE!</v>
      </c>
      <c r="BZ105" t="e">
        <f>AND('UP133'!BC67,"AAAAAHNl5E0=")</f>
        <v>#VALUE!</v>
      </c>
      <c r="CA105" t="e">
        <f>AND('UP133'!BD67,"AAAAAHNl5E4=")</f>
        <v>#VALUE!</v>
      </c>
      <c r="CB105" t="e">
        <f>AND('UP133'!BE67,"AAAAAHNl5E8=")</f>
        <v>#VALUE!</v>
      </c>
      <c r="CC105" t="e">
        <f>AND('UP133'!BF67,"AAAAAHNl5FA=")</f>
        <v>#VALUE!</v>
      </c>
      <c r="CD105" t="e">
        <f>AND('UP133'!BG67,"AAAAAHNl5FE=")</f>
        <v>#VALUE!</v>
      </c>
      <c r="CE105" t="e">
        <f>AND('UP133'!BH67,"AAAAAHNl5FI=")</f>
        <v>#VALUE!</v>
      </c>
      <c r="CF105" t="e">
        <f>AND('UP133'!BI67,"AAAAAHNl5FM=")</f>
        <v>#VALUE!</v>
      </c>
      <c r="CG105" t="e">
        <f>AND('UP133'!BJ67,"AAAAAHNl5FQ=")</f>
        <v>#VALUE!</v>
      </c>
      <c r="CH105" t="e">
        <f>AND('UP133'!BK67,"AAAAAHNl5FU=")</f>
        <v>#VALUE!</v>
      </c>
      <c r="CI105" t="e">
        <f>AND('UP133'!BL67,"AAAAAHNl5FY=")</f>
        <v>#VALUE!</v>
      </c>
      <c r="CJ105" t="e">
        <f>AND('UP133'!BM67,"AAAAAHNl5Fc=")</f>
        <v>#VALUE!</v>
      </c>
      <c r="CK105" t="e">
        <f>AND('UP133'!BN67,"AAAAAHNl5Fg=")</f>
        <v>#VALUE!</v>
      </c>
      <c r="CL105" t="e">
        <f>AND('UP133'!BO67,"AAAAAHNl5Fk=")</f>
        <v>#VALUE!</v>
      </c>
      <c r="CM105" t="e">
        <f>AND('UP133'!BP67,"AAAAAHNl5Fo=")</f>
        <v>#VALUE!</v>
      </c>
      <c r="CN105" t="e">
        <f>AND('UP133'!BQ67,"AAAAAHNl5Fs=")</f>
        <v>#VALUE!</v>
      </c>
      <c r="CO105" t="e">
        <f>AND('UP133'!BR67,"AAAAAHNl5Fw=")</f>
        <v>#VALUE!</v>
      </c>
      <c r="CP105" t="e">
        <f>AND('UP133'!BS67,"AAAAAHNl5F0=")</f>
        <v>#VALUE!</v>
      </c>
      <c r="CQ105" t="e">
        <f>AND('UP133'!BT67,"AAAAAHNl5F4=")</f>
        <v>#VALUE!</v>
      </c>
      <c r="CR105" t="e">
        <f>AND('UP133'!BU67,"AAAAAHNl5F8=")</f>
        <v>#VALUE!</v>
      </c>
      <c r="CS105" t="e">
        <f>AND('UP133'!BV67,"AAAAAHNl5GA=")</f>
        <v>#VALUE!</v>
      </c>
      <c r="CT105" t="e">
        <f>AND('UP133'!BW67,"AAAAAHNl5GE=")</f>
        <v>#VALUE!</v>
      </c>
      <c r="CU105" t="e">
        <f>AND('UP133'!BX67,"AAAAAHNl5GI=")</f>
        <v>#VALUE!</v>
      </c>
      <c r="CV105" t="e">
        <f>AND('UP133'!BY67,"AAAAAHNl5GM=")</f>
        <v>#VALUE!</v>
      </c>
      <c r="CW105" t="e">
        <f>AND('UP133'!BZ67,"AAAAAHNl5GQ=")</f>
        <v>#VALUE!</v>
      </c>
      <c r="CX105" t="e">
        <f>AND('UP133'!CA67,"AAAAAHNl5GU=")</f>
        <v>#VALUE!</v>
      </c>
      <c r="CY105" t="e">
        <f>AND('UP133'!CB67,"AAAAAHNl5GY=")</f>
        <v>#VALUE!</v>
      </c>
      <c r="CZ105" t="e">
        <f>AND('UP133'!CC67,"AAAAAHNl5Gc=")</f>
        <v>#VALUE!</v>
      </c>
      <c r="DA105" t="e">
        <f>AND('UP133'!CD67,"AAAAAHNl5Gg=")</f>
        <v>#VALUE!</v>
      </c>
      <c r="DB105" t="e">
        <f>AND('UP133'!CE67,"AAAAAHNl5Gk=")</f>
        <v>#VALUE!</v>
      </c>
      <c r="DC105" t="e">
        <f>AND('UP133'!CF67,"AAAAAHNl5Go=")</f>
        <v>#VALUE!</v>
      </c>
      <c r="DD105" t="e">
        <f>AND('UP133'!CG67,"AAAAAHNl5Gs=")</f>
        <v>#VALUE!</v>
      </c>
      <c r="DE105" t="e">
        <f>AND('UP133'!CH67,"AAAAAHNl5Gw=")</f>
        <v>#VALUE!</v>
      </c>
      <c r="DF105" t="e">
        <f>AND('UP133'!CI67,"AAAAAHNl5G0=")</f>
        <v>#VALUE!</v>
      </c>
      <c r="DG105" t="e">
        <f>AND('UP133'!CJ67,"AAAAAHNl5G4=")</f>
        <v>#VALUE!</v>
      </c>
      <c r="DH105" t="e">
        <f>AND('UP133'!CK67,"AAAAAHNl5G8=")</f>
        <v>#VALUE!</v>
      </c>
      <c r="DI105" t="e">
        <f>AND('UP133'!CL67,"AAAAAHNl5HA=")</f>
        <v>#VALUE!</v>
      </c>
      <c r="DJ105" t="e">
        <f>AND('UP133'!CM67,"AAAAAHNl5HE=")</f>
        <v>#VALUE!</v>
      </c>
      <c r="DK105" t="e">
        <f>AND('UP133'!CN67,"AAAAAHNl5HI=")</f>
        <v>#VALUE!</v>
      </c>
      <c r="DL105" t="e">
        <f>AND('UP133'!CO67,"AAAAAHNl5HM=")</f>
        <v>#VALUE!</v>
      </c>
      <c r="DM105" t="e">
        <f>AND('UP133'!CP67,"AAAAAHNl5HQ=")</f>
        <v>#VALUE!</v>
      </c>
      <c r="DN105" t="e">
        <f>AND('UP133'!CQ67,"AAAAAHNl5HU=")</f>
        <v>#VALUE!</v>
      </c>
      <c r="DO105" t="e">
        <f>AND('UP133'!CR67,"AAAAAHNl5HY=")</f>
        <v>#VALUE!</v>
      </c>
      <c r="DP105" t="e">
        <f>AND('UP133'!CS67,"AAAAAHNl5Hc=")</f>
        <v>#VALUE!</v>
      </c>
      <c r="DQ105" t="e">
        <f>AND('UP133'!CT67,"AAAAAHNl5Hg=")</f>
        <v>#VALUE!</v>
      </c>
      <c r="DR105" t="e">
        <f>AND('UP133'!CU67,"AAAAAHNl5Hk=")</f>
        <v>#VALUE!</v>
      </c>
      <c r="DS105" t="e">
        <f>AND('UP133'!CV67,"AAAAAHNl5Ho=")</f>
        <v>#VALUE!</v>
      </c>
      <c r="DT105" t="e">
        <f>AND('UP133'!CW67,"AAAAAHNl5Hs=")</f>
        <v>#VALUE!</v>
      </c>
      <c r="DU105" t="e">
        <f>AND('UP133'!CX67,"AAAAAHNl5Hw=")</f>
        <v>#VALUE!</v>
      </c>
      <c r="DV105" t="e">
        <f>AND('UP133'!CY67,"AAAAAHNl5H0=")</f>
        <v>#VALUE!</v>
      </c>
      <c r="DW105" t="e">
        <f>AND('UP133'!CZ67,"AAAAAHNl5H4=")</f>
        <v>#VALUE!</v>
      </c>
      <c r="DX105" t="e">
        <f>AND('UP133'!DA67,"AAAAAHNl5H8=")</f>
        <v>#VALUE!</v>
      </c>
      <c r="DY105" t="e">
        <f>AND('UP133'!DB67,"AAAAAHNl5IA=")</f>
        <v>#VALUE!</v>
      </c>
      <c r="DZ105" t="e">
        <f>AND('UP133'!DC67,"AAAAAHNl5IE=")</f>
        <v>#VALUE!</v>
      </c>
      <c r="EA105" t="e">
        <f>AND('UP133'!DD67,"AAAAAHNl5II=")</f>
        <v>#VALUE!</v>
      </c>
      <c r="EB105" t="e">
        <f>AND('UP133'!DE67,"AAAAAHNl5IM=")</f>
        <v>#VALUE!</v>
      </c>
      <c r="EC105" t="e">
        <f>AND('UP133'!DF67,"AAAAAHNl5IQ=")</f>
        <v>#VALUE!</v>
      </c>
      <c r="ED105" t="e">
        <f>AND('UP133'!DG67,"AAAAAHNl5IU=")</f>
        <v>#VALUE!</v>
      </c>
      <c r="EE105" t="e">
        <f>AND('UP133'!DH67,"AAAAAHNl5IY=")</f>
        <v>#VALUE!</v>
      </c>
      <c r="EF105" t="e">
        <f>AND('UP133'!DI67,"AAAAAHNl5Ic=")</f>
        <v>#VALUE!</v>
      </c>
      <c r="EG105" t="e">
        <f>AND('UP133'!DJ67,"AAAAAHNl5Ig=")</f>
        <v>#VALUE!</v>
      </c>
      <c r="EH105" t="e">
        <f>AND('UP133'!DK67,"AAAAAHNl5Ik=")</f>
        <v>#VALUE!</v>
      </c>
      <c r="EI105" t="e">
        <f>AND('UP133'!DL67,"AAAAAHNl5Io=")</f>
        <v>#VALUE!</v>
      </c>
      <c r="EJ105" t="e">
        <f>AND('UP133'!DM67,"AAAAAHNl5Is=")</f>
        <v>#VALUE!</v>
      </c>
      <c r="EK105" t="e">
        <f>AND('UP133'!DN67,"AAAAAHNl5Iw=")</f>
        <v>#VALUE!</v>
      </c>
      <c r="EL105" t="e">
        <f>AND('UP133'!DO67,"AAAAAHNl5I0=")</f>
        <v>#VALUE!</v>
      </c>
      <c r="EM105" t="e">
        <f>AND('UP133'!DP67,"AAAAAHNl5I4=")</f>
        <v>#VALUE!</v>
      </c>
      <c r="EN105" t="e">
        <f>AND('UP133'!DQ67,"AAAAAHNl5I8=")</f>
        <v>#VALUE!</v>
      </c>
      <c r="EO105" t="e">
        <f>AND('UP133'!DR67,"AAAAAHNl5JA=")</f>
        <v>#VALUE!</v>
      </c>
      <c r="EP105" t="e">
        <f>AND('UP133'!DS67,"AAAAAHNl5JE=")</f>
        <v>#VALUE!</v>
      </c>
      <c r="EQ105" t="e">
        <f>AND('UP133'!DT67,"AAAAAHNl5JI=")</f>
        <v>#VALUE!</v>
      </c>
      <c r="ER105" t="e">
        <f>AND('UP133'!DU67,"AAAAAHNl5JM=")</f>
        <v>#VALUE!</v>
      </c>
      <c r="ES105" t="e">
        <f>AND('UP133'!DV67,"AAAAAHNl5JQ=")</f>
        <v>#VALUE!</v>
      </c>
      <c r="ET105" t="e">
        <f>AND('UP133'!DW67,"AAAAAHNl5JU=")</f>
        <v>#VALUE!</v>
      </c>
      <c r="EU105" t="e">
        <f>AND('UP133'!DX67,"AAAAAHNl5JY=")</f>
        <v>#VALUE!</v>
      </c>
      <c r="EV105" t="e">
        <f>AND('UP133'!DY67,"AAAAAHNl5Jc=")</f>
        <v>#VALUE!</v>
      </c>
      <c r="EW105" t="e">
        <f>AND('UP133'!DZ67,"AAAAAHNl5Jg=")</f>
        <v>#VALUE!</v>
      </c>
      <c r="EX105" t="e">
        <f>AND('UP133'!EA67,"AAAAAHNl5Jk=")</f>
        <v>#VALUE!</v>
      </c>
      <c r="EY105" t="e">
        <f>AND('UP133'!EB67,"AAAAAHNl5Jo=")</f>
        <v>#VALUE!</v>
      </c>
      <c r="EZ105" t="e">
        <f>AND('UP133'!EC67,"AAAAAHNl5Js=")</f>
        <v>#VALUE!</v>
      </c>
      <c r="FA105" t="e">
        <f>AND('UP133'!ED67,"AAAAAHNl5Jw=")</f>
        <v>#VALUE!</v>
      </c>
      <c r="FB105" t="e">
        <f>AND('UP133'!EE67,"AAAAAHNl5J0=")</f>
        <v>#VALUE!</v>
      </c>
      <c r="FC105" t="e">
        <f>AND('UP133'!EF67,"AAAAAHNl5J4=")</f>
        <v>#VALUE!</v>
      </c>
      <c r="FD105" t="e">
        <f>AND('UP133'!EG67,"AAAAAHNl5J8=")</f>
        <v>#VALUE!</v>
      </c>
      <c r="FE105" t="e">
        <f>AND('UP133'!EH67,"AAAAAHNl5KA=")</f>
        <v>#VALUE!</v>
      </c>
      <c r="FF105" t="e">
        <f>AND('UP133'!EI67,"AAAAAHNl5KE=")</f>
        <v>#VALUE!</v>
      </c>
      <c r="FG105" t="e">
        <f>AND('UP133'!EJ67,"AAAAAHNl5KI=")</f>
        <v>#VALUE!</v>
      </c>
      <c r="FH105" t="e">
        <f>AND('UP133'!EK67,"AAAAAHNl5KM=")</f>
        <v>#VALUE!</v>
      </c>
      <c r="FI105" t="e">
        <f>AND('UP133'!EL67,"AAAAAHNl5KQ=")</f>
        <v>#VALUE!</v>
      </c>
      <c r="FJ105" t="e">
        <f>AND('UP133'!EM67,"AAAAAHNl5KU=")</f>
        <v>#VALUE!</v>
      </c>
      <c r="FK105" t="e">
        <f>AND('UP133'!EN67,"AAAAAHNl5KY=")</f>
        <v>#VALUE!</v>
      </c>
      <c r="FL105" t="e">
        <f>AND('UP133'!EO67,"AAAAAHNl5Kc=")</f>
        <v>#VALUE!</v>
      </c>
      <c r="FM105" t="e">
        <f>AND('UP133'!EP67,"AAAAAHNl5Kg=")</f>
        <v>#VALUE!</v>
      </c>
      <c r="FN105" t="e">
        <f>AND('UP133'!EQ67,"AAAAAHNl5Kk=")</f>
        <v>#VALUE!</v>
      </c>
      <c r="FO105" t="e">
        <f>AND('UP133'!ER67,"AAAAAHNl5Ko=")</f>
        <v>#VALUE!</v>
      </c>
      <c r="FP105" t="e">
        <f>AND('UP133'!ES67,"AAAAAHNl5Ks=")</f>
        <v>#VALUE!</v>
      </c>
      <c r="FQ105" t="e">
        <f>AND('UP133'!ET67,"AAAAAHNl5Kw=")</f>
        <v>#VALUE!</v>
      </c>
      <c r="FR105" t="e">
        <f>AND('UP133'!EU67,"AAAAAHNl5K0=")</f>
        <v>#VALUE!</v>
      </c>
      <c r="FS105" t="e">
        <f>AND('UP133'!EV67,"AAAAAHNl5K4=")</f>
        <v>#VALUE!</v>
      </c>
      <c r="FT105" t="e">
        <f>AND('UP133'!EW67,"AAAAAHNl5K8=")</f>
        <v>#VALUE!</v>
      </c>
      <c r="FU105" t="e">
        <f>AND('UP133'!EX67,"AAAAAHNl5LA=")</f>
        <v>#VALUE!</v>
      </c>
      <c r="FV105" t="e">
        <f>AND('UP133'!EY67,"AAAAAHNl5LE=")</f>
        <v>#VALUE!</v>
      </c>
      <c r="FW105" t="e">
        <f>AND('UP133'!EZ67,"AAAAAHNl5LI=")</f>
        <v>#VALUE!</v>
      </c>
      <c r="FX105" t="e">
        <f>AND('UP133'!FA67,"AAAAAHNl5LM=")</f>
        <v>#VALUE!</v>
      </c>
      <c r="FY105" t="e">
        <f>AND('UP133'!FB67,"AAAAAHNl5LQ=")</f>
        <v>#VALUE!</v>
      </c>
      <c r="FZ105" t="e">
        <f>AND('UP133'!FC67,"AAAAAHNl5LU=")</f>
        <v>#VALUE!</v>
      </c>
      <c r="GA105" t="e">
        <f>AND('UP133'!FD67,"AAAAAHNl5LY=")</f>
        <v>#VALUE!</v>
      </c>
      <c r="GB105" t="e">
        <f>AND('UP133'!FE67,"AAAAAHNl5Lc=")</f>
        <v>#VALUE!</v>
      </c>
      <c r="GC105" t="e">
        <f>AND('UP133'!FF67,"AAAAAHNl5Lg=")</f>
        <v>#VALUE!</v>
      </c>
      <c r="GD105" t="e">
        <f>AND('UP133'!FG67,"AAAAAHNl5Lk=")</f>
        <v>#VALUE!</v>
      </c>
      <c r="GE105" t="e">
        <f>AND('UP133'!FH67,"AAAAAHNl5Lo=")</f>
        <v>#VALUE!</v>
      </c>
      <c r="GF105" t="e">
        <f>AND('UP133'!FI67,"AAAAAHNl5Ls=")</f>
        <v>#VALUE!</v>
      </c>
      <c r="GG105" t="e">
        <f>AND('UP133'!FJ67,"AAAAAHNl5Lw=")</f>
        <v>#VALUE!</v>
      </c>
      <c r="GH105" t="e">
        <f>AND('UP133'!FK67,"AAAAAHNl5L0=")</f>
        <v>#VALUE!</v>
      </c>
      <c r="GI105" t="e">
        <f>AND('UP133'!FL67,"AAAAAHNl5L4=")</f>
        <v>#VALUE!</v>
      </c>
      <c r="GJ105" t="e">
        <f>AND('UP133'!FM67,"AAAAAHNl5L8=")</f>
        <v>#VALUE!</v>
      </c>
      <c r="GK105" t="e">
        <f>AND('UP133'!FN67,"AAAAAHNl5MA=")</f>
        <v>#VALUE!</v>
      </c>
      <c r="GL105" t="e">
        <f>AND('UP133'!FO67,"AAAAAHNl5ME=")</f>
        <v>#VALUE!</v>
      </c>
      <c r="GM105" t="e">
        <f>AND('UP133'!FP67,"AAAAAHNl5MI=")</f>
        <v>#VALUE!</v>
      </c>
      <c r="GN105" t="e">
        <f>AND('UP133'!FQ67,"AAAAAHNl5MM=")</f>
        <v>#VALUE!</v>
      </c>
      <c r="GO105" t="e">
        <f>AND('UP133'!FR67,"AAAAAHNl5MQ=")</f>
        <v>#VALUE!</v>
      </c>
      <c r="GP105" t="e">
        <f>AND('UP133'!FS67,"AAAAAHNl5MU=")</f>
        <v>#VALUE!</v>
      </c>
      <c r="GQ105" t="e">
        <f>AND('UP133'!FT67,"AAAAAHNl5MY=")</f>
        <v>#VALUE!</v>
      </c>
      <c r="GR105" t="e">
        <f>AND('UP133'!FU67,"AAAAAHNl5Mc=")</f>
        <v>#VALUE!</v>
      </c>
      <c r="GS105" t="e">
        <f>AND('UP133'!FV67,"AAAAAHNl5Mg=")</f>
        <v>#VALUE!</v>
      </c>
      <c r="GT105" t="e">
        <f>AND('UP133'!FW67,"AAAAAHNl5Mk=")</f>
        <v>#VALUE!</v>
      </c>
      <c r="GU105" t="e">
        <f>AND('UP133'!FX67,"AAAAAHNl5Mo=")</f>
        <v>#VALUE!</v>
      </c>
      <c r="GV105" t="e">
        <f>AND('UP133'!FY67,"AAAAAHNl5Ms=")</f>
        <v>#VALUE!</v>
      </c>
      <c r="GW105" t="e">
        <f>AND('UP133'!FZ67,"AAAAAHNl5Mw=")</f>
        <v>#VALUE!</v>
      </c>
      <c r="GX105" t="e">
        <f>AND('UP133'!GA67,"AAAAAHNl5M0=")</f>
        <v>#VALUE!</v>
      </c>
      <c r="GY105" t="e">
        <f>AND('UP133'!GB67,"AAAAAHNl5M4=")</f>
        <v>#VALUE!</v>
      </c>
      <c r="GZ105" t="e">
        <f>AND('UP133'!GC67,"AAAAAHNl5M8=")</f>
        <v>#VALUE!</v>
      </c>
      <c r="HA105" t="e">
        <f>AND('UP133'!GD67,"AAAAAHNl5NA=")</f>
        <v>#VALUE!</v>
      </c>
      <c r="HB105" t="e">
        <f>AND('UP133'!GE67,"AAAAAHNl5NE=")</f>
        <v>#VALUE!</v>
      </c>
      <c r="HC105" t="e">
        <f>AND('UP133'!GF67,"AAAAAHNl5NI=")</f>
        <v>#VALUE!</v>
      </c>
      <c r="HD105" t="e">
        <f>AND('UP133'!GG67,"AAAAAHNl5NM=")</f>
        <v>#VALUE!</v>
      </c>
      <c r="HE105" t="e">
        <f>AND('UP133'!GH67,"AAAAAHNl5NQ=")</f>
        <v>#VALUE!</v>
      </c>
      <c r="HF105" t="e">
        <f>AND('UP133'!GI67,"AAAAAHNl5NU=")</f>
        <v>#VALUE!</v>
      </c>
      <c r="HG105" t="e">
        <f>AND('UP133'!GJ67,"AAAAAHNl5NY=")</f>
        <v>#VALUE!</v>
      </c>
      <c r="HH105" t="e">
        <f>AND('UP133'!GK67,"AAAAAHNl5Nc=")</f>
        <v>#VALUE!</v>
      </c>
      <c r="HI105" t="e">
        <f>AND('UP133'!GL67,"AAAAAHNl5Ng=")</f>
        <v>#VALUE!</v>
      </c>
      <c r="HJ105" t="e">
        <f>AND('UP133'!GM67,"AAAAAHNl5Nk=")</f>
        <v>#VALUE!</v>
      </c>
      <c r="HK105" t="e">
        <f>AND('UP133'!GN67,"AAAAAHNl5No=")</f>
        <v>#VALUE!</v>
      </c>
      <c r="HL105" t="e">
        <f>AND('UP133'!GO67,"AAAAAHNl5Ns=")</f>
        <v>#VALUE!</v>
      </c>
      <c r="HM105" t="e">
        <f>AND('UP133'!GP67,"AAAAAHNl5Nw=")</f>
        <v>#VALUE!</v>
      </c>
      <c r="HN105" t="e">
        <f>AND('UP133'!GQ67,"AAAAAHNl5N0=")</f>
        <v>#VALUE!</v>
      </c>
      <c r="HO105" t="e">
        <f>AND('UP133'!GR67,"AAAAAHNl5N4=")</f>
        <v>#VALUE!</v>
      </c>
      <c r="HP105" t="e">
        <f>AND('UP133'!GS67,"AAAAAHNl5N8=")</f>
        <v>#VALUE!</v>
      </c>
      <c r="HQ105" t="e">
        <f>AND('UP133'!GT67,"AAAAAHNl5OA=")</f>
        <v>#VALUE!</v>
      </c>
      <c r="HR105" t="e">
        <f>AND('UP133'!GU67,"AAAAAHNl5OE=")</f>
        <v>#VALUE!</v>
      </c>
      <c r="HS105" t="e">
        <f>AND('UP133'!GV67,"AAAAAHNl5OI=")</f>
        <v>#VALUE!</v>
      </c>
      <c r="HT105" t="e">
        <f>AND('UP133'!GW67,"AAAAAHNl5OM=")</f>
        <v>#VALUE!</v>
      </c>
      <c r="HU105" t="e">
        <f>AND('UP133'!GX67,"AAAAAHNl5OQ=")</f>
        <v>#VALUE!</v>
      </c>
      <c r="HV105" t="e">
        <f>AND('UP133'!GY67,"AAAAAHNl5OU=")</f>
        <v>#VALUE!</v>
      </c>
      <c r="HW105" t="e">
        <f>AND('UP133'!GZ67,"AAAAAHNl5OY=")</f>
        <v>#VALUE!</v>
      </c>
      <c r="HX105" t="e">
        <f>AND('UP133'!HA67,"AAAAAHNl5Oc=")</f>
        <v>#VALUE!</v>
      </c>
      <c r="HY105" t="e">
        <f>AND('UP133'!HB67,"AAAAAHNl5Og=")</f>
        <v>#VALUE!</v>
      </c>
      <c r="HZ105" t="e">
        <f>AND('UP133'!HC67,"AAAAAHNl5Ok=")</f>
        <v>#VALUE!</v>
      </c>
      <c r="IA105" t="e">
        <f>AND('UP133'!HD67,"AAAAAHNl5Oo=")</f>
        <v>#VALUE!</v>
      </c>
      <c r="IB105" t="e">
        <f>AND('UP133'!HE67,"AAAAAHNl5Os=")</f>
        <v>#VALUE!</v>
      </c>
      <c r="IC105" t="e">
        <f>AND('UP133'!HF67,"AAAAAHNl5Ow=")</f>
        <v>#VALUE!</v>
      </c>
      <c r="ID105" t="e">
        <f>AND('UP133'!HG67,"AAAAAHNl5O0=")</f>
        <v>#VALUE!</v>
      </c>
      <c r="IE105" t="e">
        <f>AND('UP133'!HH67,"AAAAAHNl5O4=")</f>
        <v>#VALUE!</v>
      </c>
      <c r="IF105" t="e">
        <f>AND('UP133'!HI67,"AAAAAHNl5O8=")</f>
        <v>#VALUE!</v>
      </c>
      <c r="IG105" t="e">
        <f>AND('UP133'!HJ67,"AAAAAHNl5PA=")</f>
        <v>#VALUE!</v>
      </c>
      <c r="IH105" t="e">
        <f>AND('UP133'!HK67,"AAAAAHNl5PE=")</f>
        <v>#VALUE!</v>
      </c>
      <c r="II105" t="e">
        <f>AND('UP133'!HL67,"AAAAAHNl5PI=")</f>
        <v>#VALUE!</v>
      </c>
      <c r="IJ105" t="e">
        <f>AND('UP133'!HM67,"AAAAAHNl5PM=")</f>
        <v>#VALUE!</v>
      </c>
      <c r="IK105" t="e">
        <f>AND('UP133'!HN67,"AAAAAHNl5PQ=")</f>
        <v>#VALUE!</v>
      </c>
      <c r="IL105" t="e">
        <f>AND('UP133'!HO67,"AAAAAHNl5PU=")</f>
        <v>#VALUE!</v>
      </c>
      <c r="IM105" t="e">
        <f>AND('UP133'!HP67,"AAAAAHNl5PY=")</f>
        <v>#VALUE!</v>
      </c>
      <c r="IN105" t="e">
        <f>AND('UP133'!HQ67,"AAAAAHNl5Pc=")</f>
        <v>#VALUE!</v>
      </c>
      <c r="IO105" t="e">
        <f>AND('UP133'!HR67,"AAAAAHNl5Pg=")</f>
        <v>#VALUE!</v>
      </c>
      <c r="IP105" t="e">
        <f>AND('UP133'!HS67,"AAAAAHNl5Pk=")</f>
        <v>#VALUE!</v>
      </c>
      <c r="IQ105" t="e">
        <f>AND('UP133'!HT67,"AAAAAHNl5Po=")</f>
        <v>#VALUE!</v>
      </c>
      <c r="IR105" t="e">
        <f>AND('UP133'!HU67,"AAAAAHNl5Ps=")</f>
        <v>#VALUE!</v>
      </c>
      <c r="IS105" t="e">
        <f>AND('UP133'!HV67,"AAAAAHNl5Pw=")</f>
        <v>#VALUE!</v>
      </c>
      <c r="IT105" t="e">
        <f>AND('UP133'!HW67,"AAAAAHNl5P0=")</f>
        <v>#VALUE!</v>
      </c>
      <c r="IU105" t="e">
        <f>AND('UP133'!HX67,"AAAAAHNl5P4=")</f>
        <v>#VALUE!</v>
      </c>
      <c r="IV105" t="e">
        <f>AND('UP133'!HY67,"AAAAAHNl5P8=")</f>
        <v>#VALUE!</v>
      </c>
    </row>
    <row r="106" spans="1:256">
      <c r="A106" t="e">
        <f>AND('UP133'!HZ67,"AAAAAHs/5wA=")</f>
        <v>#VALUE!</v>
      </c>
      <c r="B106" t="e">
        <f>AND('UP133'!IA67,"AAAAAHs/5wE=")</f>
        <v>#VALUE!</v>
      </c>
      <c r="C106" t="e">
        <f>AND('UP133'!IB67,"AAAAAHs/5wI=")</f>
        <v>#VALUE!</v>
      </c>
      <c r="D106" t="e">
        <f>AND('UP133'!IC67,"AAAAAHs/5wM=")</f>
        <v>#VALUE!</v>
      </c>
      <c r="E106" t="e">
        <f>AND('UP133'!ID67,"AAAAAHs/5wQ=")</f>
        <v>#VALUE!</v>
      </c>
      <c r="F106" t="e">
        <f>AND('UP133'!IE67,"AAAAAHs/5wU=")</f>
        <v>#VALUE!</v>
      </c>
      <c r="G106" t="e">
        <f>AND('UP133'!IF67,"AAAAAHs/5wY=")</f>
        <v>#VALUE!</v>
      </c>
      <c r="H106" t="e">
        <f>AND('UP133'!IG67,"AAAAAHs/5wc=")</f>
        <v>#VALUE!</v>
      </c>
      <c r="I106" t="e">
        <f>AND('UP133'!IH67,"AAAAAHs/5wg=")</f>
        <v>#VALUE!</v>
      </c>
      <c r="J106" t="e">
        <f>AND('UP133'!II67,"AAAAAHs/5wk=")</f>
        <v>#VALUE!</v>
      </c>
      <c r="K106" t="e">
        <f>AND('UP133'!IJ67,"AAAAAHs/5wo=")</f>
        <v>#VALUE!</v>
      </c>
      <c r="L106" t="e">
        <f>AND('UP133'!IK67,"AAAAAHs/5ws=")</f>
        <v>#VALUE!</v>
      </c>
      <c r="M106" t="e">
        <f>AND('UP133'!IL67,"AAAAAHs/5ww=")</f>
        <v>#VALUE!</v>
      </c>
      <c r="N106" t="e">
        <f>AND('UP133'!IM67,"AAAAAHs/5w0=")</f>
        <v>#VALUE!</v>
      </c>
      <c r="O106" t="e">
        <f>AND('UP133'!IN67,"AAAAAHs/5w4=")</f>
        <v>#VALUE!</v>
      </c>
      <c r="P106" t="e">
        <f>AND('UP133'!IO67,"AAAAAHs/5w8=")</f>
        <v>#VALUE!</v>
      </c>
      <c r="Q106" t="e">
        <f>AND('UP133'!IP67,"AAAAAHs/5xA=")</f>
        <v>#VALUE!</v>
      </c>
      <c r="R106" t="e">
        <f>AND('UP133'!IQ67,"AAAAAHs/5xE=")</f>
        <v>#VALUE!</v>
      </c>
      <c r="S106">
        <f>IF('UP133'!68:68,"AAAAAHs/5xI=",0)</f>
        <v>0</v>
      </c>
      <c r="T106" t="e">
        <f>AND('UP133'!A68,"AAAAAHs/5xM=")</f>
        <v>#VALUE!</v>
      </c>
      <c r="U106" t="e">
        <f>AND('UP133'!B68,"AAAAAHs/5xQ=")</f>
        <v>#VALUE!</v>
      </c>
      <c r="V106" t="e">
        <f>AND('UP133'!C68,"AAAAAHs/5xU=")</f>
        <v>#VALUE!</v>
      </c>
      <c r="W106" t="e">
        <f>AND('UP133'!D68,"AAAAAHs/5xY=")</f>
        <v>#VALUE!</v>
      </c>
      <c r="X106" t="e">
        <f>AND('UP133'!E68,"AAAAAHs/5xc=")</f>
        <v>#VALUE!</v>
      </c>
      <c r="Y106" t="e">
        <f>AND('UP133'!F68,"AAAAAHs/5xg=")</f>
        <v>#VALUE!</v>
      </c>
      <c r="Z106" t="e">
        <f>AND('UP133'!G68,"AAAAAHs/5xk=")</f>
        <v>#VALUE!</v>
      </c>
      <c r="AA106" t="e">
        <f>AND('UP133'!H68,"AAAAAHs/5xo=")</f>
        <v>#VALUE!</v>
      </c>
      <c r="AB106" t="e">
        <f>AND('UP133'!I68,"AAAAAHs/5xs=")</f>
        <v>#VALUE!</v>
      </c>
      <c r="AC106" t="e">
        <f>AND('UP133'!J68,"AAAAAHs/5xw=")</f>
        <v>#VALUE!</v>
      </c>
      <c r="AD106" t="e">
        <f>AND('UP133'!K68,"AAAAAHs/5x0=")</f>
        <v>#VALUE!</v>
      </c>
      <c r="AE106" t="e">
        <f>AND('UP133'!L68,"AAAAAHs/5x4=")</f>
        <v>#VALUE!</v>
      </c>
      <c r="AF106" t="e">
        <f>AND('UP133'!M68,"AAAAAHs/5x8=")</f>
        <v>#VALUE!</v>
      </c>
      <c r="AG106" t="e">
        <f>AND('UP133'!N68,"AAAAAHs/5yA=")</f>
        <v>#VALUE!</v>
      </c>
      <c r="AH106" t="e">
        <f>AND('UP133'!O68,"AAAAAHs/5yE=")</f>
        <v>#VALUE!</v>
      </c>
      <c r="AI106" t="e">
        <f>AND('UP133'!P68,"AAAAAHs/5yI=")</f>
        <v>#VALUE!</v>
      </c>
      <c r="AJ106" t="e">
        <f>AND('UP133'!Q68,"AAAAAHs/5yM=")</f>
        <v>#VALUE!</v>
      </c>
      <c r="AK106" t="e">
        <f>AND('UP133'!R68,"AAAAAHs/5yQ=")</f>
        <v>#VALUE!</v>
      </c>
      <c r="AL106" t="e">
        <f>AND('UP133'!S68,"AAAAAHs/5yU=")</f>
        <v>#VALUE!</v>
      </c>
      <c r="AM106" t="e">
        <f>AND('UP133'!T68,"AAAAAHs/5yY=")</f>
        <v>#VALUE!</v>
      </c>
      <c r="AN106" t="e">
        <f>AND('UP133'!U68,"AAAAAHs/5yc=")</f>
        <v>#VALUE!</v>
      </c>
      <c r="AO106" t="e">
        <f>AND('UP133'!V68,"AAAAAHs/5yg=")</f>
        <v>#VALUE!</v>
      </c>
      <c r="AP106" t="e">
        <f>AND('UP133'!W68,"AAAAAHs/5yk=")</f>
        <v>#VALUE!</v>
      </c>
      <c r="AQ106" t="e">
        <f>AND('UP133'!X68,"AAAAAHs/5yo=")</f>
        <v>#VALUE!</v>
      </c>
      <c r="AR106" t="e">
        <f>AND('UP133'!Y68,"AAAAAHs/5ys=")</f>
        <v>#VALUE!</v>
      </c>
      <c r="AS106" t="e">
        <f>AND('UP133'!Z68,"AAAAAHs/5yw=")</f>
        <v>#VALUE!</v>
      </c>
      <c r="AT106" t="e">
        <f>AND('UP133'!AA68,"AAAAAHs/5y0=")</f>
        <v>#VALUE!</v>
      </c>
      <c r="AU106" t="e">
        <f>AND('UP133'!AB68,"AAAAAHs/5y4=")</f>
        <v>#VALUE!</v>
      </c>
      <c r="AV106" t="e">
        <f>AND('UP133'!AC68,"AAAAAHs/5y8=")</f>
        <v>#VALUE!</v>
      </c>
      <c r="AW106" t="e">
        <f>AND('UP133'!AD68,"AAAAAHs/5zA=")</f>
        <v>#VALUE!</v>
      </c>
      <c r="AX106" t="e">
        <f>AND('UP133'!AE68,"AAAAAHs/5zE=")</f>
        <v>#VALUE!</v>
      </c>
      <c r="AY106" t="e">
        <f>AND('UP133'!AF68,"AAAAAHs/5zI=")</f>
        <v>#VALUE!</v>
      </c>
      <c r="AZ106" t="e">
        <f>AND('UP133'!AG68,"AAAAAHs/5zM=")</f>
        <v>#VALUE!</v>
      </c>
      <c r="BA106" t="e">
        <f>AND('UP133'!AH68,"AAAAAHs/5zQ=")</f>
        <v>#VALUE!</v>
      </c>
      <c r="BB106" t="e">
        <f>AND('UP133'!AI68,"AAAAAHs/5zU=")</f>
        <v>#VALUE!</v>
      </c>
      <c r="BC106" t="e">
        <f>AND('UP133'!AJ68,"AAAAAHs/5zY=")</f>
        <v>#VALUE!</v>
      </c>
      <c r="BD106" t="e">
        <f>AND('UP133'!AK68,"AAAAAHs/5zc=")</f>
        <v>#VALUE!</v>
      </c>
      <c r="BE106" t="e">
        <f>AND('UP133'!AL68,"AAAAAHs/5zg=")</f>
        <v>#VALUE!</v>
      </c>
      <c r="BF106" t="e">
        <f>AND('UP133'!AM68,"AAAAAHs/5zk=")</f>
        <v>#VALUE!</v>
      </c>
      <c r="BG106" t="e">
        <f>AND('UP133'!AN68,"AAAAAHs/5zo=")</f>
        <v>#VALUE!</v>
      </c>
      <c r="BH106" t="e">
        <f>AND('UP133'!AO68,"AAAAAHs/5zs=")</f>
        <v>#VALUE!</v>
      </c>
      <c r="BI106" t="e">
        <f>AND('UP133'!AP68,"AAAAAHs/5zw=")</f>
        <v>#VALUE!</v>
      </c>
      <c r="BJ106" t="e">
        <f>AND('UP133'!AQ68,"AAAAAHs/5z0=")</f>
        <v>#VALUE!</v>
      </c>
      <c r="BK106" t="e">
        <f>AND('UP133'!AR68,"AAAAAHs/5z4=")</f>
        <v>#VALUE!</v>
      </c>
      <c r="BL106" t="e">
        <f>AND('UP133'!AS68,"AAAAAHs/5z8=")</f>
        <v>#VALUE!</v>
      </c>
      <c r="BM106" t="e">
        <f>AND('UP133'!AT68,"AAAAAHs/50A=")</f>
        <v>#VALUE!</v>
      </c>
      <c r="BN106" t="e">
        <f>AND('UP133'!AU68,"AAAAAHs/50E=")</f>
        <v>#VALUE!</v>
      </c>
      <c r="BO106" t="e">
        <f>AND('UP133'!AV68,"AAAAAHs/50I=")</f>
        <v>#VALUE!</v>
      </c>
      <c r="BP106" t="e">
        <f>AND('UP133'!AW68,"AAAAAHs/50M=")</f>
        <v>#VALUE!</v>
      </c>
      <c r="BQ106" t="e">
        <f>AND('UP133'!AX68,"AAAAAHs/50Q=")</f>
        <v>#VALUE!</v>
      </c>
      <c r="BR106" t="e">
        <f>AND('UP133'!AY68,"AAAAAHs/50U=")</f>
        <v>#VALUE!</v>
      </c>
      <c r="BS106" t="e">
        <f>AND('UP133'!AZ68,"AAAAAHs/50Y=")</f>
        <v>#VALUE!</v>
      </c>
      <c r="BT106" t="e">
        <f>AND('UP133'!BA68,"AAAAAHs/50c=")</f>
        <v>#VALUE!</v>
      </c>
      <c r="BU106" t="e">
        <f>AND('UP133'!BB68,"AAAAAHs/50g=")</f>
        <v>#VALUE!</v>
      </c>
      <c r="BV106" t="e">
        <f>AND('UP133'!BC68,"AAAAAHs/50k=")</f>
        <v>#VALUE!</v>
      </c>
      <c r="BW106" t="e">
        <f>AND('UP133'!BD68,"AAAAAHs/50o=")</f>
        <v>#VALUE!</v>
      </c>
      <c r="BX106" t="e">
        <f>AND('UP133'!BE68,"AAAAAHs/50s=")</f>
        <v>#VALUE!</v>
      </c>
      <c r="BY106" t="e">
        <f>AND('UP133'!BF68,"AAAAAHs/50w=")</f>
        <v>#VALUE!</v>
      </c>
      <c r="BZ106" t="e">
        <f>AND('UP133'!BG68,"AAAAAHs/500=")</f>
        <v>#VALUE!</v>
      </c>
      <c r="CA106" t="e">
        <f>AND('UP133'!BH68,"AAAAAHs/504=")</f>
        <v>#VALUE!</v>
      </c>
      <c r="CB106" t="e">
        <f>AND('UP133'!BI68,"AAAAAHs/508=")</f>
        <v>#VALUE!</v>
      </c>
      <c r="CC106" t="e">
        <f>AND('UP133'!BJ68,"AAAAAHs/51A=")</f>
        <v>#VALUE!</v>
      </c>
      <c r="CD106" t="e">
        <f>AND('UP133'!BK68,"AAAAAHs/51E=")</f>
        <v>#VALUE!</v>
      </c>
      <c r="CE106" t="e">
        <f>AND('UP133'!BL68,"AAAAAHs/51I=")</f>
        <v>#VALUE!</v>
      </c>
      <c r="CF106" t="e">
        <f>AND('UP133'!BM68,"AAAAAHs/51M=")</f>
        <v>#VALUE!</v>
      </c>
      <c r="CG106" t="e">
        <f>AND('UP133'!BN68,"AAAAAHs/51Q=")</f>
        <v>#VALUE!</v>
      </c>
      <c r="CH106" t="e">
        <f>AND('UP133'!BO68,"AAAAAHs/51U=")</f>
        <v>#VALUE!</v>
      </c>
      <c r="CI106" t="e">
        <f>AND('UP133'!BP68,"AAAAAHs/51Y=")</f>
        <v>#VALUE!</v>
      </c>
      <c r="CJ106" t="e">
        <f>AND('UP133'!BQ68,"AAAAAHs/51c=")</f>
        <v>#VALUE!</v>
      </c>
      <c r="CK106" t="e">
        <f>AND('UP133'!BR68,"AAAAAHs/51g=")</f>
        <v>#VALUE!</v>
      </c>
      <c r="CL106" t="e">
        <f>AND('UP133'!BS68,"AAAAAHs/51k=")</f>
        <v>#VALUE!</v>
      </c>
      <c r="CM106" t="e">
        <f>AND('UP133'!BT68,"AAAAAHs/51o=")</f>
        <v>#VALUE!</v>
      </c>
      <c r="CN106" t="e">
        <f>AND('UP133'!BU68,"AAAAAHs/51s=")</f>
        <v>#VALUE!</v>
      </c>
      <c r="CO106" t="e">
        <f>AND('UP133'!BV68,"AAAAAHs/51w=")</f>
        <v>#VALUE!</v>
      </c>
      <c r="CP106" t="e">
        <f>AND('UP133'!BW68,"AAAAAHs/510=")</f>
        <v>#VALUE!</v>
      </c>
      <c r="CQ106" t="e">
        <f>AND('UP133'!BX68,"AAAAAHs/514=")</f>
        <v>#VALUE!</v>
      </c>
      <c r="CR106" t="e">
        <f>AND('UP133'!BY68,"AAAAAHs/518=")</f>
        <v>#VALUE!</v>
      </c>
      <c r="CS106" t="e">
        <f>AND('UP133'!BZ68,"AAAAAHs/52A=")</f>
        <v>#VALUE!</v>
      </c>
      <c r="CT106" t="e">
        <f>AND('UP133'!CA68,"AAAAAHs/52E=")</f>
        <v>#VALUE!</v>
      </c>
      <c r="CU106" t="e">
        <f>AND('UP133'!CB68,"AAAAAHs/52I=")</f>
        <v>#VALUE!</v>
      </c>
      <c r="CV106" t="e">
        <f>AND('UP133'!CC68,"AAAAAHs/52M=")</f>
        <v>#VALUE!</v>
      </c>
      <c r="CW106" t="e">
        <f>AND('UP133'!CD68,"AAAAAHs/52Q=")</f>
        <v>#VALUE!</v>
      </c>
      <c r="CX106" t="e">
        <f>AND('UP133'!CE68,"AAAAAHs/52U=")</f>
        <v>#VALUE!</v>
      </c>
      <c r="CY106" t="e">
        <f>AND('UP133'!CF68,"AAAAAHs/52Y=")</f>
        <v>#VALUE!</v>
      </c>
      <c r="CZ106" t="e">
        <f>AND('UP133'!CG68,"AAAAAHs/52c=")</f>
        <v>#VALUE!</v>
      </c>
      <c r="DA106" t="e">
        <f>AND('UP133'!CH68,"AAAAAHs/52g=")</f>
        <v>#VALUE!</v>
      </c>
      <c r="DB106" t="e">
        <f>AND('UP133'!CI68,"AAAAAHs/52k=")</f>
        <v>#VALUE!</v>
      </c>
      <c r="DC106" t="e">
        <f>AND('UP133'!CJ68,"AAAAAHs/52o=")</f>
        <v>#VALUE!</v>
      </c>
      <c r="DD106" t="e">
        <f>AND('UP133'!CK68,"AAAAAHs/52s=")</f>
        <v>#VALUE!</v>
      </c>
      <c r="DE106" t="e">
        <f>AND('UP133'!CL68,"AAAAAHs/52w=")</f>
        <v>#VALUE!</v>
      </c>
      <c r="DF106" t="e">
        <f>AND('UP133'!CM68,"AAAAAHs/520=")</f>
        <v>#VALUE!</v>
      </c>
      <c r="DG106" t="e">
        <f>AND('UP133'!CN68,"AAAAAHs/524=")</f>
        <v>#VALUE!</v>
      </c>
      <c r="DH106" t="e">
        <f>AND('UP133'!CO68,"AAAAAHs/528=")</f>
        <v>#VALUE!</v>
      </c>
      <c r="DI106" t="e">
        <f>AND('UP133'!CP68,"AAAAAHs/53A=")</f>
        <v>#VALUE!</v>
      </c>
      <c r="DJ106" t="e">
        <f>AND('UP133'!CQ68,"AAAAAHs/53E=")</f>
        <v>#VALUE!</v>
      </c>
      <c r="DK106" t="e">
        <f>AND('UP133'!CR68,"AAAAAHs/53I=")</f>
        <v>#VALUE!</v>
      </c>
      <c r="DL106" t="e">
        <f>AND('UP133'!CS68,"AAAAAHs/53M=")</f>
        <v>#VALUE!</v>
      </c>
      <c r="DM106" t="e">
        <f>AND('UP133'!CT68,"AAAAAHs/53Q=")</f>
        <v>#VALUE!</v>
      </c>
      <c r="DN106" t="e">
        <f>AND('UP133'!CU68,"AAAAAHs/53U=")</f>
        <v>#VALUE!</v>
      </c>
      <c r="DO106" t="e">
        <f>AND('UP133'!CV68,"AAAAAHs/53Y=")</f>
        <v>#VALUE!</v>
      </c>
      <c r="DP106" t="e">
        <f>AND('UP133'!CW68,"AAAAAHs/53c=")</f>
        <v>#VALUE!</v>
      </c>
      <c r="DQ106" t="e">
        <f>AND('UP133'!CX68,"AAAAAHs/53g=")</f>
        <v>#VALUE!</v>
      </c>
      <c r="DR106" t="e">
        <f>AND('UP133'!CY68,"AAAAAHs/53k=")</f>
        <v>#VALUE!</v>
      </c>
      <c r="DS106" t="e">
        <f>AND('UP133'!CZ68,"AAAAAHs/53o=")</f>
        <v>#VALUE!</v>
      </c>
      <c r="DT106" t="e">
        <f>AND('UP133'!DA68,"AAAAAHs/53s=")</f>
        <v>#VALUE!</v>
      </c>
      <c r="DU106" t="e">
        <f>AND('UP133'!DB68,"AAAAAHs/53w=")</f>
        <v>#VALUE!</v>
      </c>
      <c r="DV106" t="e">
        <f>AND('UP133'!DC68,"AAAAAHs/530=")</f>
        <v>#VALUE!</v>
      </c>
      <c r="DW106" t="e">
        <f>AND('UP133'!DD68,"AAAAAHs/534=")</f>
        <v>#VALUE!</v>
      </c>
      <c r="DX106" t="e">
        <f>AND('UP133'!DE68,"AAAAAHs/538=")</f>
        <v>#VALUE!</v>
      </c>
      <c r="DY106" t="e">
        <f>AND('UP133'!DF68,"AAAAAHs/54A=")</f>
        <v>#VALUE!</v>
      </c>
      <c r="DZ106" t="e">
        <f>AND('UP133'!DG68,"AAAAAHs/54E=")</f>
        <v>#VALUE!</v>
      </c>
      <c r="EA106" t="e">
        <f>AND('UP133'!DH68,"AAAAAHs/54I=")</f>
        <v>#VALUE!</v>
      </c>
      <c r="EB106" t="e">
        <f>AND('UP133'!DI68,"AAAAAHs/54M=")</f>
        <v>#VALUE!</v>
      </c>
      <c r="EC106" t="e">
        <f>AND('UP133'!DJ68,"AAAAAHs/54Q=")</f>
        <v>#VALUE!</v>
      </c>
      <c r="ED106" t="e">
        <f>AND('UP133'!DK68,"AAAAAHs/54U=")</f>
        <v>#VALUE!</v>
      </c>
      <c r="EE106" t="e">
        <f>AND('UP133'!DL68,"AAAAAHs/54Y=")</f>
        <v>#VALUE!</v>
      </c>
      <c r="EF106" t="e">
        <f>AND('UP133'!DM68,"AAAAAHs/54c=")</f>
        <v>#VALUE!</v>
      </c>
      <c r="EG106" t="e">
        <f>AND('UP133'!DN68,"AAAAAHs/54g=")</f>
        <v>#VALUE!</v>
      </c>
      <c r="EH106" t="e">
        <f>AND('UP133'!DO68,"AAAAAHs/54k=")</f>
        <v>#VALUE!</v>
      </c>
      <c r="EI106" t="e">
        <f>AND('UP133'!DP68,"AAAAAHs/54o=")</f>
        <v>#VALUE!</v>
      </c>
      <c r="EJ106" t="e">
        <f>AND('UP133'!DQ68,"AAAAAHs/54s=")</f>
        <v>#VALUE!</v>
      </c>
      <c r="EK106" t="e">
        <f>AND('UP133'!DR68,"AAAAAHs/54w=")</f>
        <v>#VALUE!</v>
      </c>
      <c r="EL106" t="e">
        <f>AND('UP133'!DS68,"AAAAAHs/540=")</f>
        <v>#VALUE!</v>
      </c>
      <c r="EM106" t="e">
        <f>AND('UP133'!DT68,"AAAAAHs/544=")</f>
        <v>#VALUE!</v>
      </c>
      <c r="EN106" t="e">
        <f>AND('UP133'!DU68,"AAAAAHs/548=")</f>
        <v>#VALUE!</v>
      </c>
      <c r="EO106" t="e">
        <f>AND('UP133'!DV68,"AAAAAHs/55A=")</f>
        <v>#VALUE!</v>
      </c>
      <c r="EP106" t="e">
        <f>AND('UP133'!DW68,"AAAAAHs/55E=")</f>
        <v>#VALUE!</v>
      </c>
      <c r="EQ106" t="e">
        <f>AND('UP133'!DX68,"AAAAAHs/55I=")</f>
        <v>#VALUE!</v>
      </c>
      <c r="ER106" t="e">
        <f>AND('UP133'!DY68,"AAAAAHs/55M=")</f>
        <v>#VALUE!</v>
      </c>
      <c r="ES106" t="e">
        <f>AND('UP133'!DZ68,"AAAAAHs/55Q=")</f>
        <v>#VALUE!</v>
      </c>
      <c r="ET106" t="e">
        <f>AND('UP133'!EA68,"AAAAAHs/55U=")</f>
        <v>#VALUE!</v>
      </c>
      <c r="EU106" t="e">
        <f>AND('UP133'!EB68,"AAAAAHs/55Y=")</f>
        <v>#VALUE!</v>
      </c>
      <c r="EV106" t="e">
        <f>AND('UP133'!EC68,"AAAAAHs/55c=")</f>
        <v>#VALUE!</v>
      </c>
      <c r="EW106" t="e">
        <f>AND('UP133'!ED68,"AAAAAHs/55g=")</f>
        <v>#VALUE!</v>
      </c>
      <c r="EX106" t="e">
        <f>AND('UP133'!EE68,"AAAAAHs/55k=")</f>
        <v>#VALUE!</v>
      </c>
      <c r="EY106" t="e">
        <f>AND('UP133'!EF68,"AAAAAHs/55o=")</f>
        <v>#VALUE!</v>
      </c>
      <c r="EZ106" t="e">
        <f>AND('UP133'!EG68,"AAAAAHs/55s=")</f>
        <v>#VALUE!</v>
      </c>
      <c r="FA106" t="e">
        <f>AND('UP133'!EH68,"AAAAAHs/55w=")</f>
        <v>#VALUE!</v>
      </c>
      <c r="FB106" t="e">
        <f>AND('UP133'!EI68,"AAAAAHs/550=")</f>
        <v>#VALUE!</v>
      </c>
      <c r="FC106" t="e">
        <f>AND('UP133'!EJ68,"AAAAAHs/554=")</f>
        <v>#VALUE!</v>
      </c>
      <c r="FD106" t="e">
        <f>AND('UP133'!EK68,"AAAAAHs/558=")</f>
        <v>#VALUE!</v>
      </c>
      <c r="FE106" t="e">
        <f>AND('UP133'!EL68,"AAAAAHs/56A=")</f>
        <v>#VALUE!</v>
      </c>
      <c r="FF106" t="e">
        <f>AND('UP133'!EM68,"AAAAAHs/56E=")</f>
        <v>#VALUE!</v>
      </c>
      <c r="FG106" t="e">
        <f>AND('UP133'!EN68,"AAAAAHs/56I=")</f>
        <v>#VALUE!</v>
      </c>
      <c r="FH106" t="e">
        <f>AND('UP133'!EO68,"AAAAAHs/56M=")</f>
        <v>#VALUE!</v>
      </c>
      <c r="FI106" t="e">
        <f>AND('UP133'!EP68,"AAAAAHs/56Q=")</f>
        <v>#VALUE!</v>
      </c>
      <c r="FJ106" t="e">
        <f>AND('UP133'!EQ68,"AAAAAHs/56U=")</f>
        <v>#VALUE!</v>
      </c>
      <c r="FK106" t="e">
        <f>AND('UP133'!ER68,"AAAAAHs/56Y=")</f>
        <v>#VALUE!</v>
      </c>
      <c r="FL106" t="e">
        <f>AND('UP133'!ES68,"AAAAAHs/56c=")</f>
        <v>#VALUE!</v>
      </c>
      <c r="FM106" t="e">
        <f>AND('UP133'!ET68,"AAAAAHs/56g=")</f>
        <v>#VALUE!</v>
      </c>
      <c r="FN106" t="e">
        <f>AND('UP133'!EU68,"AAAAAHs/56k=")</f>
        <v>#VALUE!</v>
      </c>
      <c r="FO106" t="e">
        <f>AND('UP133'!EV68,"AAAAAHs/56o=")</f>
        <v>#VALUE!</v>
      </c>
      <c r="FP106" t="e">
        <f>AND('UP133'!EW68,"AAAAAHs/56s=")</f>
        <v>#VALUE!</v>
      </c>
      <c r="FQ106" t="e">
        <f>AND('UP133'!EX68,"AAAAAHs/56w=")</f>
        <v>#VALUE!</v>
      </c>
      <c r="FR106" t="e">
        <f>AND('UP133'!EY68,"AAAAAHs/560=")</f>
        <v>#VALUE!</v>
      </c>
      <c r="FS106" t="e">
        <f>AND('UP133'!EZ68,"AAAAAHs/564=")</f>
        <v>#VALUE!</v>
      </c>
      <c r="FT106" t="e">
        <f>AND('UP133'!FA68,"AAAAAHs/568=")</f>
        <v>#VALUE!</v>
      </c>
      <c r="FU106" t="e">
        <f>AND('UP133'!FB68,"AAAAAHs/57A=")</f>
        <v>#VALUE!</v>
      </c>
      <c r="FV106" t="e">
        <f>AND('UP133'!FC68,"AAAAAHs/57E=")</f>
        <v>#VALUE!</v>
      </c>
      <c r="FW106" t="e">
        <f>AND('UP133'!FD68,"AAAAAHs/57I=")</f>
        <v>#VALUE!</v>
      </c>
      <c r="FX106" t="e">
        <f>AND('UP133'!FE68,"AAAAAHs/57M=")</f>
        <v>#VALUE!</v>
      </c>
      <c r="FY106" t="e">
        <f>AND('UP133'!FF68,"AAAAAHs/57Q=")</f>
        <v>#VALUE!</v>
      </c>
      <c r="FZ106" t="e">
        <f>AND('UP133'!FG68,"AAAAAHs/57U=")</f>
        <v>#VALUE!</v>
      </c>
      <c r="GA106" t="e">
        <f>AND('UP133'!FH68,"AAAAAHs/57Y=")</f>
        <v>#VALUE!</v>
      </c>
      <c r="GB106" t="e">
        <f>AND('UP133'!FI68,"AAAAAHs/57c=")</f>
        <v>#VALUE!</v>
      </c>
      <c r="GC106" t="e">
        <f>AND('UP133'!FJ68,"AAAAAHs/57g=")</f>
        <v>#VALUE!</v>
      </c>
      <c r="GD106" t="e">
        <f>AND('UP133'!FK68,"AAAAAHs/57k=")</f>
        <v>#VALUE!</v>
      </c>
      <c r="GE106" t="e">
        <f>AND('UP133'!FL68,"AAAAAHs/57o=")</f>
        <v>#VALUE!</v>
      </c>
      <c r="GF106" t="e">
        <f>AND('UP133'!FM68,"AAAAAHs/57s=")</f>
        <v>#VALUE!</v>
      </c>
      <c r="GG106" t="e">
        <f>AND('UP133'!FN68,"AAAAAHs/57w=")</f>
        <v>#VALUE!</v>
      </c>
      <c r="GH106" t="e">
        <f>AND('UP133'!FO68,"AAAAAHs/570=")</f>
        <v>#VALUE!</v>
      </c>
      <c r="GI106" t="e">
        <f>AND('UP133'!FP68,"AAAAAHs/574=")</f>
        <v>#VALUE!</v>
      </c>
      <c r="GJ106" t="e">
        <f>AND('UP133'!FQ68,"AAAAAHs/578=")</f>
        <v>#VALUE!</v>
      </c>
      <c r="GK106" t="e">
        <f>AND('UP133'!FR68,"AAAAAHs/58A=")</f>
        <v>#VALUE!</v>
      </c>
      <c r="GL106" t="e">
        <f>AND('UP133'!FS68,"AAAAAHs/58E=")</f>
        <v>#VALUE!</v>
      </c>
      <c r="GM106" t="e">
        <f>AND('UP133'!FT68,"AAAAAHs/58I=")</f>
        <v>#VALUE!</v>
      </c>
      <c r="GN106" t="e">
        <f>AND('UP133'!FU68,"AAAAAHs/58M=")</f>
        <v>#VALUE!</v>
      </c>
      <c r="GO106" t="e">
        <f>AND('UP133'!FV68,"AAAAAHs/58Q=")</f>
        <v>#VALUE!</v>
      </c>
      <c r="GP106" t="e">
        <f>AND('UP133'!FW68,"AAAAAHs/58U=")</f>
        <v>#VALUE!</v>
      </c>
      <c r="GQ106" t="e">
        <f>AND('UP133'!FX68,"AAAAAHs/58Y=")</f>
        <v>#VALUE!</v>
      </c>
      <c r="GR106" t="e">
        <f>AND('UP133'!FY68,"AAAAAHs/58c=")</f>
        <v>#VALUE!</v>
      </c>
      <c r="GS106" t="e">
        <f>AND('UP133'!FZ68,"AAAAAHs/58g=")</f>
        <v>#VALUE!</v>
      </c>
      <c r="GT106" t="e">
        <f>AND('UP133'!GA68,"AAAAAHs/58k=")</f>
        <v>#VALUE!</v>
      </c>
      <c r="GU106" t="e">
        <f>AND('UP133'!GB68,"AAAAAHs/58o=")</f>
        <v>#VALUE!</v>
      </c>
      <c r="GV106" t="e">
        <f>AND('UP133'!GC68,"AAAAAHs/58s=")</f>
        <v>#VALUE!</v>
      </c>
      <c r="GW106" t="e">
        <f>AND('UP133'!GD68,"AAAAAHs/58w=")</f>
        <v>#VALUE!</v>
      </c>
      <c r="GX106" t="e">
        <f>AND('UP133'!GE68,"AAAAAHs/580=")</f>
        <v>#VALUE!</v>
      </c>
      <c r="GY106" t="e">
        <f>AND('UP133'!GF68,"AAAAAHs/584=")</f>
        <v>#VALUE!</v>
      </c>
      <c r="GZ106" t="e">
        <f>AND('UP133'!GG68,"AAAAAHs/588=")</f>
        <v>#VALUE!</v>
      </c>
      <c r="HA106" t="e">
        <f>AND('UP133'!GH68,"AAAAAHs/59A=")</f>
        <v>#VALUE!</v>
      </c>
      <c r="HB106" t="e">
        <f>AND('UP133'!GI68,"AAAAAHs/59E=")</f>
        <v>#VALUE!</v>
      </c>
      <c r="HC106" t="e">
        <f>AND('UP133'!GJ68,"AAAAAHs/59I=")</f>
        <v>#VALUE!</v>
      </c>
      <c r="HD106" t="e">
        <f>AND('UP133'!GK68,"AAAAAHs/59M=")</f>
        <v>#VALUE!</v>
      </c>
      <c r="HE106" t="e">
        <f>AND('UP133'!GL68,"AAAAAHs/59Q=")</f>
        <v>#VALUE!</v>
      </c>
      <c r="HF106" t="e">
        <f>AND('UP133'!GM68,"AAAAAHs/59U=")</f>
        <v>#VALUE!</v>
      </c>
      <c r="HG106" t="e">
        <f>AND('UP133'!GN68,"AAAAAHs/59Y=")</f>
        <v>#VALUE!</v>
      </c>
      <c r="HH106" t="e">
        <f>AND('UP133'!GO68,"AAAAAHs/59c=")</f>
        <v>#VALUE!</v>
      </c>
      <c r="HI106" t="e">
        <f>AND('UP133'!GP68,"AAAAAHs/59g=")</f>
        <v>#VALUE!</v>
      </c>
      <c r="HJ106" t="e">
        <f>AND('UP133'!GQ68,"AAAAAHs/59k=")</f>
        <v>#VALUE!</v>
      </c>
      <c r="HK106" t="e">
        <f>AND('UP133'!GR68,"AAAAAHs/59o=")</f>
        <v>#VALUE!</v>
      </c>
      <c r="HL106" t="e">
        <f>AND('UP133'!GS68,"AAAAAHs/59s=")</f>
        <v>#VALUE!</v>
      </c>
      <c r="HM106" t="e">
        <f>AND('UP133'!GT68,"AAAAAHs/59w=")</f>
        <v>#VALUE!</v>
      </c>
      <c r="HN106" t="e">
        <f>AND('UP133'!GU68,"AAAAAHs/590=")</f>
        <v>#VALUE!</v>
      </c>
      <c r="HO106" t="e">
        <f>AND('UP133'!GV68,"AAAAAHs/594=")</f>
        <v>#VALUE!</v>
      </c>
      <c r="HP106" t="e">
        <f>AND('UP133'!GW68,"AAAAAHs/598=")</f>
        <v>#VALUE!</v>
      </c>
      <c r="HQ106" t="e">
        <f>AND('UP133'!GX68,"AAAAAHs/5+A=")</f>
        <v>#VALUE!</v>
      </c>
      <c r="HR106" t="e">
        <f>AND('UP133'!GY68,"AAAAAHs/5+E=")</f>
        <v>#VALUE!</v>
      </c>
      <c r="HS106" t="e">
        <f>AND('UP133'!GZ68,"AAAAAHs/5+I=")</f>
        <v>#VALUE!</v>
      </c>
      <c r="HT106" t="e">
        <f>AND('UP133'!HA68,"AAAAAHs/5+M=")</f>
        <v>#VALUE!</v>
      </c>
      <c r="HU106" t="e">
        <f>AND('UP133'!HB68,"AAAAAHs/5+Q=")</f>
        <v>#VALUE!</v>
      </c>
      <c r="HV106" t="e">
        <f>AND('UP133'!HC68,"AAAAAHs/5+U=")</f>
        <v>#VALUE!</v>
      </c>
      <c r="HW106" t="e">
        <f>AND('UP133'!HD68,"AAAAAHs/5+Y=")</f>
        <v>#VALUE!</v>
      </c>
      <c r="HX106" t="e">
        <f>AND('UP133'!HE68,"AAAAAHs/5+c=")</f>
        <v>#VALUE!</v>
      </c>
      <c r="HY106" t="e">
        <f>AND('UP133'!HF68,"AAAAAHs/5+g=")</f>
        <v>#VALUE!</v>
      </c>
      <c r="HZ106" t="e">
        <f>AND('UP133'!HG68,"AAAAAHs/5+k=")</f>
        <v>#VALUE!</v>
      </c>
      <c r="IA106" t="e">
        <f>AND('UP133'!HH68,"AAAAAHs/5+o=")</f>
        <v>#VALUE!</v>
      </c>
      <c r="IB106" t="e">
        <f>AND('UP133'!HI68,"AAAAAHs/5+s=")</f>
        <v>#VALUE!</v>
      </c>
      <c r="IC106" t="e">
        <f>AND('UP133'!HJ68,"AAAAAHs/5+w=")</f>
        <v>#VALUE!</v>
      </c>
      <c r="ID106" t="e">
        <f>AND('UP133'!HK68,"AAAAAHs/5+0=")</f>
        <v>#VALUE!</v>
      </c>
      <c r="IE106" t="e">
        <f>AND('UP133'!HL68,"AAAAAHs/5+4=")</f>
        <v>#VALUE!</v>
      </c>
      <c r="IF106" t="e">
        <f>AND('UP133'!HM68,"AAAAAHs/5+8=")</f>
        <v>#VALUE!</v>
      </c>
      <c r="IG106" t="e">
        <f>AND('UP133'!HN68,"AAAAAHs/5/A=")</f>
        <v>#VALUE!</v>
      </c>
      <c r="IH106" t="e">
        <f>AND('UP133'!HO68,"AAAAAHs/5/E=")</f>
        <v>#VALUE!</v>
      </c>
      <c r="II106" t="e">
        <f>AND('UP133'!HP68,"AAAAAHs/5/I=")</f>
        <v>#VALUE!</v>
      </c>
      <c r="IJ106" t="e">
        <f>AND('UP133'!HQ68,"AAAAAHs/5/M=")</f>
        <v>#VALUE!</v>
      </c>
      <c r="IK106" t="e">
        <f>AND('UP133'!HR68,"AAAAAHs/5/Q=")</f>
        <v>#VALUE!</v>
      </c>
      <c r="IL106" t="e">
        <f>AND('UP133'!HS68,"AAAAAHs/5/U=")</f>
        <v>#VALUE!</v>
      </c>
      <c r="IM106" t="e">
        <f>AND('UP133'!HT68,"AAAAAHs/5/Y=")</f>
        <v>#VALUE!</v>
      </c>
      <c r="IN106" t="e">
        <f>AND('UP133'!HU68,"AAAAAHs/5/c=")</f>
        <v>#VALUE!</v>
      </c>
      <c r="IO106" t="e">
        <f>AND('UP133'!HV68,"AAAAAHs/5/g=")</f>
        <v>#VALUE!</v>
      </c>
      <c r="IP106" t="e">
        <f>AND('UP133'!HW68,"AAAAAHs/5/k=")</f>
        <v>#VALUE!</v>
      </c>
      <c r="IQ106" t="e">
        <f>AND('UP133'!HX68,"AAAAAHs/5/o=")</f>
        <v>#VALUE!</v>
      </c>
      <c r="IR106" t="e">
        <f>AND('UP133'!HY68,"AAAAAHs/5/s=")</f>
        <v>#VALUE!</v>
      </c>
      <c r="IS106" t="e">
        <f>AND('UP133'!HZ68,"AAAAAHs/5/w=")</f>
        <v>#VALUE!</v>
      </c>
      <c r="IT106" t="e">
        <f>AND('UP133'!IA68,"AAAAAHs/5/0=")</f>
        <v>#VALUE!</v>
      </c>
      <c r="IU106" t="e">
        <f>AND('UP133'!IB68,"AAAAAHs/5/4=")</f>
        <v>#VALUE!</v>
      </c>
      <c r="IV106" t="e">
        <f>AND('UP133'!IC68,"AAAAAHs/5/8=")</f>
        <v>#VALUE!</v>
      </c>
    </row>
    <row r="107" spans="1:256">
      <c r="A107" t="e">
        <f>AND('UP133'!ID68,"AAAAAF/V5wA=")</f>
        <v>#VALUE!</v>
      </c>
      <c r="B107" t="e">
        <f>AND('UP133'!IE68,"AAAAAF/V5wE=")</f>
        <v>#VALUE!</v>
      </c>
      <c r="C107" t="e">
        <f>AND('UP133'!IF68,"AAAAAF/V5wI=")</f>
        <v>#VALUE!</v>
      </c>
      <c r="D107" t="e">
        <f>AND('UP133'!IG68,"AAAAAF/V5wM=")</f>
        <v>#VALUE!</v>
      </c>
      <c r="E107" t="e">
        <f>AND('UP133'!IH68,"AAAAAF/V5wQ=")</f>
        <v>#VALUE!</v>
      </c>
      <c r="F107" t="e">
        <f>AND('UP133'!II68,"AAAAAF/V5wU=")</f>
        <v>#VALUE!</v>
      </c>
      <c r="G107" t="e">
        <f>AND('UP133'!IJ68,"AAAAAF/V5wY=")</f>
        <v>#VALUE!</v>
      </c>
      <c r="H107" t="e">
        <f>AND('UP133'!IK68,"AAAAAF/V5wc=")</f>
        <v>#VALUE!</v>
      </c>
      <c r="I107" t="e">
        <f>AND('UP133'!IL68,"AAAAAF/V5wg=")</f>
        <v>#VALUE!</v>
      </c>
      <c r="J107" t="e">
        <f>AND('UP133'!IM68,"AAAAAF/V5wk=")</f>
        <v>#VALUE!</v>
      </c>
      <c r="K107" t="e">
        <f>AND('UP133'!IN68,"AAAAAF/V5wo=")</f>
        <v>#VALUE!</v>
      </c>
      <c r="L107" t="e">
        <f>AND('UP133'!IO68,"AAAAAF/V5ws=")</f>
        <v>#VALUE!</v>
      </c>
      <c r="M107" t="e">
        <f>AND('UP133'!IP68,"AAAAAF/V5ww=")</f>
        <v>#VALUE!</v>
      </c>
      <c r="N107" t="e">
        <f>AND('UP133'!IQ68,"AAAAAF/V5w0=")</f>
        <v>#VALUE!</v>
      </c>
      <c r="O107">
        <f>IF('UP133'!69:69,"AAAAAF/V5w4=",0)</f>
        <v>0</v>
      </c>
      <c r="P107" t="e">
        <f>AND('UP133'!A69,"AAAAAF/V5w8=")</f>
        <v>#VALUE!</v>
      </c>
      <c r="Q107" t="e">
        <f>AND('UP133'!B69,"AAAAAF/V5xA=")</f>
        <v>#VALUE!</v>
      </c>
      <c r="R107" t="e">
        <f>AND('UP133'!C69,"AAAAAF/V5xE=")</f>
        <v>#VALUE!</v>
      </c>
      <c r="S107" t="e">
        <f>AND('UP133'!D69,"AAAAAF/V5xI=")</f>
        <v>#VALUE!</v>
      </c>
      <c r="T107" t="e">
        <f>AND('UP133'!E69,"AAAAAF/V5xM=")</f>
        <v>#VALUE!</v>
      </c>
      <c r="U107" t="e">
        <f>AND('UP133'!F69,"AAAAAF/V5xQ=")</f>
        <v>#VALUE!</v>
      </c>
      <c r="V107" t="e">
        <f>AND('UP133'!G69,"AAAAAF/V5xU=")</f>
        <v>#VALUE!</v>
      </c>
      <c r="W107" t="e">
        <f>AND('UP133'!H69,"AAAAAF/V5xY=")</f>
        <v>#VALUE!</v>
      </c>
      <c r="X107" t="e">
        <f>AND('UP133'!I69,"AAAAAF/V5xc=")</f>
        <v>#VALUE!</v>
      </c>
      <c r="Y107" t="e">
        <f>AND('UP133'!J69,"AAAAAF/V5xg=")</f>
        <v>#VALUE!</v>
      </c>
      <c r="Z107" t="e">
        <f>AND('UP133'!K69,"AAAAAF/V5xk=")</f>
        <v>#VALUE!</v>
      </c>
      <c r="AA107" t="e">
        <f>AND('UP133'!L69,"AAAAAF/V5xo=")</f>
        <v>#VALUE!</v>
      </c>
      <c r="AB107" t="e">
        <f>AND('UP133'!M69,"AAAAAF/V5xs=")</f>
        <v>#VALUE!</v>
      </c>
      <c r="AC107" t="e">
        <f>AND('UP133'!N69,"AAAAAF/V5xw=")</f>
        <v>#VALUE!</v>
      </c>
      <c r="AD107" t="e">
        <f>AND('UP133'!O69,"AAAAAF/V5x0=")</f>
        <v>#VALUE!</v>
      </c>
      <c r="AE107" t="e">
        <f>AND('UP133'!P69,"AAAAAF/V5x4=")</f>
        <v>#VALUE!</v>
      </c>
      <c r="AF107" t="e">
        <f>AND('UP133'!Q69,"AAAAAF/V5x8=")</f>
        <v>#VALUE!</v>
      </c>
      <c r="AG107" t="e">
        <f>AND('UP133'!R69,"AAAAAF/V5yA=")</f>
        <v>#VALUE!</v>
      </c>
      <c r="AH107" t="e">
        <f>AND('UP133'!S69,"AAAAAF/V5yE=")</f>
        <v>#VALUE!</v>
      </c>
      <c r="AI107" t="e">
        <f>AND('UP133'!T69,"AAAAAF/V5yI=")</f>
        <v>#VALUE!</v>
      </c>
      <c r="AJ107" t="e">
        <f>AND('UP133'!U69,"AAAAAF/V5yM=")</f>
        <v>#VALUE!</v>
      </c>
      <c r="AK107" t="e">
        <f>AND('UP133'!V69,"AAAAAF/V5yQ=")</f>
        <v>#VALUE!</v>
      </c>
      <c r="AL107" t="e">
        <f>AND('UP133'!W69,"AAAAAF/V5yU=")</f>
        <v>#VALUE!</v>
      </c>
      <c r="AM107" t="e">
        <f>AND('UP133'!X69,"AAAAAF/V5yY=")</f>
        <v>#VALUE!</v>
      </c>
      <c r="AN107" t="e">
        <f>AND('UP133'!Y69,"AAAAAF/V5yc=")</f>
        <v>#VALUE!</v>
      </c>
      <c r="AO107" t="e">
        <f>AND('UP133'!Z69,"AAAAAF/V5yg=")</f>
        <v>#VALUE!</v>
      </c>
      <c r="AP107" t="e">
        <f>AND('UP133'!AA69,"AAAAAF/V5yk=")</f>
        <v>#VALUE!</v>
      </c>
      <c r="AQ107" t="e">
        <f>AND('UP133'!AB69,"AAAAAF/V5yo=")</f>
        <v>#VALUE!</v>
      </c>
      <c r="AR107" t="e">
        <f>AND('UP133'!AC69,"AAAAAF/V5ys=")</f>
        <v>#VALUE!</v>
      </c>
      <c r="AS107" t="e">
        <f>AND('UP133'!AD69,"AAAAAF/V5yw=")</f>
        <v>#VALUE!</v>
      </c>
      <c r="AT107" t="e">
        <f>AND('UP133'!AE69,"AAAAAF/V5y0=")</f>
        <v>#VALUE!</v>
      </c>
      <c r="AU107" t="e">
        <f>AND('UP133'!AF69,"AAAAAF/V5y4=")</f>
        <v>#VALUE!</v>
      </c>
      <c r="AV107" t="e">
        <f>AND('UP133'!AG69,"AAAAAF/V5y8=")</f>
        <v>#VALUE!</v>
      </c>
      <c r="AW107" t="e">
        <f>AND('UP133'!AH69,"AAAAAF/V5zA=")</f>
        <v>#VALUE!</v>
      </c>
      <c r="AX107" t="e">
        <f>AND('UP133'!AI69,"AAAAAF/V5zE=")</f>
        <v>#VALUE!</v>
      </c>
      <c r="AY107" t="e">
        <f>AND('UP133'!AJ69,"AAAAAF/V5zI=")</f>
        <v>#VALUE!</v>
      </c>
      <c r="AZ107" t="e">
        <f>AND('UP133'!AK69,"AAAAAF/V5zM=")</f>
        <v>#VALUE!</v>
      </c>
      <c r="BA107" t="e">
        <f>AND('UP133'!AL69,"AAAAAF/V5zQ=")</f>
        <v>#VALUE!</v>
      </c>
      <c r="BB107" t="e">
        <f>AND('UP133'!AM69,"AAAAAF/V5zU=")</f>
        <v>#VALUE!</v>
      </c>
      <c r="BC107" t="e">
        <f>AND('UP133'!AN69,"AAAAAF/V5zY=")</f>
        <v>#VALUE!</v>
      </c>
      <c r="BD107" t="e">
        <f>AND('UP133'!AO69,"AAAAAF/V5zc=")</f>
        <v>#VALUE!</v>
      </c>
      <c r="BE107" t="e">
        <f>AND('UP133'!AP69,"AAAAAF/V5zg=")</f>
        <v>#VALUE!</v>
      </c>
      <c r="BF107" t="e">
        <f>AND('UP133'!AQ69,"AAAAAF/V5zk=")</f>
        <v>#VALUE!</v>
      </c>
      <c r="BG107" t="e">
        <f>AND('UP133'!AR69,"AAAAAF/V5zo=")</f>
        <v>#VALUE!</v>
      </c>
      <c r="BH107" t="e">
        <f>AND('UP133'!AS69,"AAAAAF/V5zs=")</f>
        <v>#VALUE!</v>
      </c>
      <c r="BI107" t="e">
        <f>AND('UP133'!AT69,"AAAAAF/V5zw=")</f>
        <v>#VALUE!</v>
      </c>
      <c r="BJ107" t="e">
        <f>AND('UP133'!AU69,"AAAAAF/V5z0=")</f>
        <v>#VALUE!</v>
      </c>
      <c r="BK107" t="e">
        <f>AND('UP133'!AV69,"AAAAAF/V5z4=")</f>
        <v>#VALUE!</v>
      </c>
      <c r="BL107" t="e">
        <f>AND('UP133'!AW69,"AAAAAF/V5z8=")</f>
        <v>#VALUE!</v>
      </c>
      <c r="BM107" t="e">
        <f>AND('UP133'!AX69,"AAAAAF/V50A=")</f>
        <v>#VALUE!</v>
      </c>
      <c r="BN107" t="e">
        <f>AND('UP133'!AY69,"AAAAAF/V50E=")</f>
        <v>#VALUE!</v>
      </c>
      <c r="BO107" t="e">
        <f>AND('UP133'!AZ69,"AAAAAF/V50I=")</f>
        <v>#VALUE!</v>
      </c>
      <c r="BP107" t="e">
        <f>AND('UP133'!BA69,"AAAAAF/V50M=")</f>
        <v>#VALUE!</v>
      </c>
      <c r="BQ107" t="e">
        <f>AND('UP133'!BB69,"AAAAAF/V50Q=")</f>
        <v>#VALUE!</v>
      </c>
      <c r="BR107" t="e">
        <f>AND('UP133'!BC69,"AAAAAF/V50U=")</f>
        <v>#VALUE!</v>
      </c>
      <c r="BS107" t="e">
        <f>AND('UP133'!BD69,"AAAAAF/V50Y=")</f>
        <v>#VALUE!</v>
      </c>
      <c r="BT107" t="e">
        <f>AND('UP133'!BE69,"AAAAAF/V50c=")</f>
        <v>#VALUE!</v>
      </c>
      <c r="BU107" t="e">
        <f>AND('UP133'!BF69,"AAAAAF/V50g=")</f>
        <v>#VALUE!</v>
      </c>
      <c r="BV107" t="e">
        <f>AND('UP133'!BG69,"AAAAAF/V50k=")</f>
        <v>#VALUE!</v>
      </c>
      <c r="BW107" t="e">
        <f>AND('UP133'!BH69,"AAAAAF/V50o=")</f>
        <v>#VALUE!</v>
      </c>
      <c r="BX107" t="e">
        <f>AND('UP133'!BI69,"AAAAAF/V50s=")</f>
        <v>#VALUE!</v>
      </c>
      <c r="BY107" t="e">
        <f>AND('UP133'!BJ69,"AAAAAF/V50w=")</f>
        <v>#VALUE!</v>
      </c>
      <c r="BZ107" t="e">
        <f>AND('UP133'!BK69,"AAAAAF/V500=")</f>
        <v>#VALUE!</v>
      </c>
      <c r="CA107" t="e">
        <f>AND('UP133'!BL69,"AAAAAF/V504=")</f>
        <v>#VALUE!</v>
      </c>
      <c r="CB107" t="e">
        <f>AND('UP133'!BM69,"AAAAAF/V508=")</f>
        <v>#VALUE!</v>
      </c>
      <c r="CC107" t="e">
        <f>AND('UP133'!BN69,"AAAAAF/V51A=")</f>
        <v>#VALUE!</v>
      </c>
      <c r="CD107" t="e">
        <f>AND('UP133'!BO69,"AAAAAF/V51E=")</f>
        <v>#VALUE!</v>
      </c>
      <c r="CE107" t="e">
        <f>AND('UP133'!BP69,"AAAAAF/V51I=")</f>
        <v>#VALUE!</v>
      </c>
      <c r="CF107" t="e">
        <f>AND('UP133'!BQ69,"AAAAAF/V51M=")</f>
        <v>#VALUE!</v>
      </c>
      <c r="CG107" t="e">
        <f>AND('UP133'!BR69,"AAAAAF/V51Q=")</f>
        <v>#VALUE!</v>
      </c>
      <c r="CH107" t="e">
        <f>AND('UP133'!BS69,"AAAAAF/V51U=")</f>
        <v>#VALUE!</v>
      </c>
      <c r="CI107" t="e">
        <f>AND('UP133'!BT69,"AAAAAF/V51Y=")</f>
        <v>#VALUE!</v>
      </c>
      <c r="CJ107" t="e">
        <f>AND('UP133'!BU69,"AAAAAF/V51c=")</f>
        <v>#VALUE!</v>
      </c>
      <c r="CK107" t="e">
        <f>AND('UP133'!BV69,"AAAAAF/V51g=")</f>
        <v>#VALUE!</v>
      </c>
      <c r="CL107" t="e">
        <f>AND('UP133'!BW69,"AAAAAF/V51k=")</f>
        <v>#VALUE!</v>
      </c>
      <c r="CM107" t="e">
        <f>AND('UP133'!BX69,"AAAAAF/V51o=")</f>
        <v>#VALUE!</v>
      </c>
      <c r="CN107" t="e">
        <f>AND('UP133'!BY69,"AAAAAF/V51s=")</f>
        <v>#VALUE!</v>
      </c>
      <c r="CO107" t="e">
        <f>AND('UP133'!BZ69,"AAAAAF/V51w=")</f>
        <v>#VALUE!</v>
      </c>
      <c r="CP107" t="e">
        <f>AND('UP133'!CA69,"AAAAAF/V510=")</f>
        <v>#VALUE!</v>
      </c>
      <c r="CQ107" t="e">
        <f>AND('UP133'!CB69,"AAAAAF/V514=")</f>
        <v>#VALUE!</v>
      </c>
      <c r="CR107" t="e">
        <f>AND('UP133'!CC69,"AAAAAF/V518=")</f>
        <v>#VALUE!</v>
      </c>
      <c r="CS107" t="e">
        <f>AND('UP133'!CD69,"AAAAAF/V52A=")</f>
        <v>#VALUE!</v>
      </c>
      <c r="CT107" t="e">
        <f>AND('UP133'!CE69,"AAAAAF/V52E=")</f>
        <v>#VALUE!</v>
      </c>
      <c r="CU107" t="e">
        <f>AND('UP133'!CF69,"AAAAAF/V52I=")</f>
        <v>#VALUE!</v>
      </c>
      <c r="CV107" t="e">
        <f>AND('UP133'!CG69,"AAAAAF/V52M=")</f>
        <v>#VALUE!</v>
      </c>
      <c r="CW107" t="e">
        <f>AND('UP133'!CH69,"AAAAAF/V52Q=")</f>
        <v>#VALUE!</v>
      </c>
      <c r="CX107" t="e">
        <f>AND('UP133'!CI69,"AAAAAF/V52U=")</f>
        <v>#VALUE!</v>
      </c>
      <c r="CY107" t="e">
        <f>AND('UP133'!CJ69,"AAAAAF/V52Y=")</f>
        <v>#VALUE!</v>
      </c>
      <c r="CZ107" t="e">
        <f>AND('UP133'!CK69,"AAAAAF/V52c=")</f>
        <v>#VALUE!</v>
      </c>
      <c r="DA107" t="e">
        <f>AND('UP133'!CL69,"AAAAAF/V52g=")</f>
        <v>#VALUE!</v>
      </c>
      <c r="DB107" t="e">
        <f>AND('UP133'!CM69,"AAAAAF/V52k=")</f>
        <v>#VALUE!</v>
      </c>
      <c r="DC107" t="e">
        <f>AND('UP133'!CN69,"AAAAAF/V52o=")</f>
        <v>#VALUE!</v>
      </c>
      <c r="DD107" t="e">
        <f>AND('UP133'!CO69,"AAAAAF/V52s=")</f>
        <v>#VALUE!</v>
      </c>
      <c r="DE107" t="e">
        <f>AND('UP133'!CP69,"AAAAAF/V52w=")</f>
        <v>#VALUE!</v>
      </c>
      <c r="DF107" t="e">
        <f>AND('UP133'!CQ69,"AAAAAF/V520=")</f>
        <v>#VALUE!</v>
      </c>
      <c r="DG107" t="e">
        <f>AND('UP133'!CR69,"AAAAAF/V524=")</f>
        <v>#VALUE!</v>
      </c>
      <c r="DH107" t="e">
        <f>AND('UP133'!CS69,"AAAAAF/V528=")</f>
        <v>#VALUE!</v>
      </c>
      <c r="DI107" t="e">
        <f>AND('UP133'!CT69,"AAAAAF/V53A=")</f>
        <v>#VALUE!</v>
      </c>
      <c r="DJ107" t="e">
        <f>AND('UP133'!CU69,"AAAAAF/V53E=")</f>
        <v>#VALUE!</v>
      </c>
      <c r="DK107" t="e">
        <f>AND('UP133'!CV69,"AAAAAF/V53I=")</f>
        <v>#VALUE!</v>
      </c>
      <c r="DL107" t="e">
        <f>AND('UP133'!CW69,"AAAAAF/V53M=")</f>
        <v>#VALUE!</v>
      </c>
      <c r="DM107" t="e">
        <f>AND('UP133'!CX69,"AAAAAF/V53Q=")</f>
        <v>#VALUE!</v>
      </c>
      <c r="DN107" t="e">
        <f>AND('UP133'!CY69,"AAAAAF/V53U=")</f>
        <v>#VALUE!</v>
      </c>
      <c r="DO107" t="e">
        <f>AND('UP133'!CZ69,"AAAAAF/V53Y=")</f>
        <v>#VALUE!</v>
      </c>
      <c r="DP107" t="e">
        <f>AND('UP133'!DA69,"AAAAAF/V53c=")</f>
        <v>#VALUE!</v>
      </c>
      <c r="DQ107" t="e">
        <f>AND('UP133'!DB69,"AAAAAF/V53g=")</f>
        <v>#VALUE!</v>
      </c>
      <c r="DR107" t="e">
        <f>AND('UP133'!DC69,"AAAAAF/V53k=")</f>
        <v>#VALUE!</v>
      </c>
      <c r="DS107" t="e">
        <f>AND('UP133'!DD69,"AAAAAF/V53o=")</f>
        <v>#VALUE!</v>
      </c>
      <c r="DT107" t="e">
        <f>AND('UP133'!DE69,"AAAAAF/V53s=")</f>
        <v>#VALUE!</v>
      </c>
      <c r="DU107" t="e">
        <f>AND('UP133'!DF69,"AAAAAF/V53w=")</f>
        <v>#VALUE!</v>
      </c>
      <c r="DV107" t="e">
        <f>AND('UP133'!DG69,"AAAAAF/V530=")</f>
        <v>#VALUE!</v>
      </c>
      <c r="DW107" t="e">
        <f>AND('UP133'!DH69,"AAAAAF/V534=")</f>
        <v>#VALUE!</v>
      </c>
      <c r="DX107" t="e">
        <f>AND('UP133'!DI69,"AAAAAF/V538=")</f>
        <v>#VALUE!</v>
      </c>
      <c r="DY107" t="e">
        <f>AND('UP133'!DJ69,"AAAAAF/V54A=")</f>
        <v>#VALUE!</v>
      </c>
      <c r="DZ107" t="e">
        <f>AND('UP133'!DK69,"AAAAAF/V54E=")</f>
        <v>#VALUE!</v>
      </c>
      <c r="EA107" t="e">
        <f>AND('UP133'!DL69,"AAAAAF/V54I=")</f>
        <v>#VALUE!</v>
      </c>
      <c r="EB107" t="e">
        <f>AND('UP133'!DM69,"AAAAAF/V54M=")</f>
        <v>#VALUE!</v>
      </c>
      <c r="EC107" t="e">
        <f>AND('UP133'!DN69,"AAAAAF/V54Q=")</f>
        <v>#VALUE!</v>
      </c>
      <c r="ED107" t="e">
        <f>AND('UP133'!DO69,"AAAAAF/V54U=")</f>
        <v>#VALUE!</v>
      </c>
      <c r="EE107" t="e">
        <f>AND('UP133'!DP69,"AAAAAF/V54Y=")</f>
        <v>#VALUE!</v>
      </c>
      <c r="EF107" t="e">
        <f>AND('UP133'!DQ69,"AAAAAF/V54c=")</f>
        <v>#VALUE!</v>
      </c>
      <c r="EG107" t="e">
        <f>AND('UP133'!DR69,"AAAAAF/V54g=")</f>
        <v>#VALUE!</v>
      </c>
      <c r="EH107" t="e">
        <f>AND('UP133'!DS69,"AAAAAF/V54k=")</f>
        <v>#VALUE!</v>
      </c>
      <c r="EI107" t="e">
        <f>AND('UP133'!DT69,"AAAAAF/V54o=")</f>
        <v>#VALUE!</v>
      </c>
      <c r="EJ107" t="e">
        <f>AND('UP133'!DU69,"AAAAAF/V54s=")</f>
        <v>#VALUE!</v>
      </c>
      <c r="EK107" t="e">
        <f>AND('UP133'!DV69,"AAAAAF/V54w=")</f>
        <v>#VALUE!</v>
      </c>
      <c r="EL107" t="e">
        <f>AND('UP133'!DW69,"AAAAAF/V540=")</f>
        <v>#VALUE!</v>
      </c>
      <c r="EM107" t="e">
        <f>AND('UP133'!DX69,"AAAAAF/V544=")</f>
        <v>#VALUE!</v>
      </c>
      <c r="EN107" t="e">
        <f>AND('UP133'!DY69,"AAAAAF/V548=")</f>
        <v>#VALUE!</v>
      </c>
      <c r="EO107" t="e">
        <f>AND('UP133'!DZ69,"AAAAAF/V55A=")</f>
        <v>#VALUE!</v>
      </c>
      <c r="EP107" t="e">
        <f>AND('UP133'!EA69,"AAAAAF/V55E=")</f>
        <v>#VALUE!</v>
      </c>
      <c r="EQ107" t="e">
        <f>AND('UP133'!EB69,"AAAAAF/V55I=")</f>
        <v>#VALUE!</v>
      </c>
      <c r="ER107" t="e">
        <f>AND('UP133'!EC69,"AAAAAF/V55M=")</f>
        <v>#VALUE!</v>
      </c>
      <c r="ES107" t="e">
        <f>AND('UP133'!ED69,"AAAAAF/V55Q=")</f>
        <v>#VALUE!</v>
      </c>
      <c r="ET107" t="e">
        <f>AND('UP133'!EE69,"AAAAAF/V55U=")</f>
        <v>#VALUE!</v>
      </c>
      <c r="EU107" t="e">
        <f>AND('UP133'!EF69,"AAAAAF/V55Y=")</f>
        <v>#VALUE!</v>
      </c>
      <c r="EV107" t="e">
        <f>AND('UP133'!EG69,"AAAAAF/V55c=")</f>
        <v>#VALUE!</v>
      </c>
      <c r="EW107" t="e">
        <f>AND('UP133'!EH69,"AAAAAF/V55g=")</f>
        <v>#VALUE!</v>
      </c>
      <c r="EX107" t="e">
        <f>AND('UP133'!EI69,"AAAAAF/V55k=")</f>
        <v>#VALUE!</v>
      </c>
      <c r="EY107" t="e">
        <f>AND('UP133'!EJ69,"AAAAAF/V55o=")</f>
        <v>#VALUE!</v>
      </c>
      <c r="EZ107" t="e">
        <f>AND('UP133'!EK69,"AAAAAF/V55s=")</f>
        <v>#VALUE!</v>
      </c>
      <c r="FA107" t="e">
        <f>AND('UP133'!EL69,"AAAAAF/V55w=")</f>
        <v>#VALUE!</v>
      </c>
      <c r="FB107" t="e">
        <f>AND('UP133'!EM69,"AAAAAF/V550=")</f>
        <v>#VALUE!</v>
      </c>
      <c r="FC107" t="e">
        <f>AND('UP133'!EN69,"AAAAAF/V554=")</f>
        <v>#VALUE!</v>
      </c>
      <c r="FD107" t="e">
        <f>AND('UP133'!EO69,"AAAAAF/V558=")</f>
        <v>#VALUE!</v>
      </c>
      <c r="FE107" t="e">
        <f>AND('UP133'!EP69,"AAAAAF/V56A=")</f>
        <v>#VALUE!</v>
      </c>
      <c r="FF107" t="e">
        <f>AND('UP133'!EQ69,"AAAAAF/V56E=")</f>
        <v>#VALUE!</v>
      </c>
      <c r="FG107" t="e">
        <f>AND('UP133'!ER69,"AAAAAF/V56I=")</f>
        <v>#VALUE!</v>
      </c>
      <c r="FH107" t="e">
        <f>AND('UP133'!ES69,"AAAAAF/V56M=")</f>
        <v>#VALUE!</v>
      </c>
      <c r="FI107" t="e">
        <f>AND('UP133'!ET69,"AAAAAF/V56Q=")</f>
        <v>#VALUE!</v>
      </c>
      <c r="FJ107" t="e">
        <f>AND('UP133'!EU69,"AAAAAF/V56U=")</f>
        <v>#VALUE!</v>
      </c>
      <c r="FK107" t="e">
        <f>AND('UP133'!EV69,"AAAAAF/V56Y=")</f>
        <v>#VALUE!</v>
      </c>
      <c r="FL107" t="e">
        <f>AND('UP133'!EW69,"AAAAAF/V56c=")</f>
        <v>#VALUE!</v>
      </c>
      <c r="FM107" t="e">
        <f>AND('UP133'!EX69,"AAAAAF/V56g=")</f>
        <v>#VALUE!</v>
      </c>
      <c r="FN107" t="e">
        <f>AND('UP133'!EY69,"AAAAAF/V56k=")</f>
        <v>#VALUE!</v>
      </c>
      <c r="FO107" t="e">
        <f>AND('UP133'!EZ69,"AAAAAF/V56o=")</f>
        <v>#VALUE!</v>
      </c>
      <c r="FP107" t="e">
        <f>AND('UP133'!FA69,"AAAAAF/V56s=")</f>
        <v>#VALUE!</v>
      </c>
      <c r="FQ107" t="e">
        <f>AND('UP133'!FB69,"AAAAAF/V56w=")</f>
        <v>#VALUE!</v>
      </c>
      <c r="FR107" t="e">
        <f>AND('UP133'!FC69,"AAAAAF/V560=")</f>
        <v>#VALUE!</v>
      </c>
      <c r="FS107" t="e">
        <f>AND('UP133'!FD69,"AAAAAF/V564=")</f>
        <v>#VALUE!</v>
      </c>
      <c r="FT107" t="e">
        <f>AND('UP133'!FE69,"AAAAAF/V568=")</f>
        <v>#VALUE!</v>
      </c>
      <c r="FU107" t="e">
        <f>AND('UP133'!FF69,"AAAAAF/V57A=")</f>
        <v>#VALUE!</v>
      </c>
      <c r="FV107" t="e">
        <f>AND('UP133'!FG69,"AAAAAF/V57E=")</f>
        <v>#VALUE!</v>
      </c>
      <c r="FW107" t="e">
        <f>AND('UP133'!FH69,"AAAAAF/V57I=")</f>
        <v>#VALUE!</v>
      </c>
      <c r="FX107" t="e">
        <f>AND('UP133'!FI69,"AAAAAF/V57M=")</f>
        <v>#VALUE!</v>
      </c>
      <c r="FY107" t="e">
        <f>AND('UP133'!FJ69,"AAAAAF/V57Q=")</f>
        <v>#VALUE!</v>
      </c>
      <c r="FZ107" t="e">
        <f>AND('UP133'!FK69,"AAAAAF/V57U=")</f>
        <v>#VALUE!</v>
      </c>
      <c r="GA107" t="e">
        <f>AND('UP133'!FL69,"AAAAAF/V57Y=")</f>
        <v>#VALUE!</v>
      </c>
      <c r="GB107" t="e">
        <f>AND('UP133'!FM69,"AAAAAF/V57c=")</f>
        <v>#VALUE!</v>
      </c>
      <c r="GC107" t="e">
        <f>AND('UP133'!FN69,"AAAAAF/V57g=")</f>
        <v>#VALUE!</v>
      </c>
      <c r="GD107" t="e">
        <f>AND('UP133'!FO69,"AAAAAF/V57k=")</f>
        <v>#VALUE!</v>
      </c>
      <c r="GE107" t="e">
        <f>AND('UP133'!FP69,"AAAAAF/V57o=")</f>
        <v>#VALUE!</v>
      </c>
      <c r="GF107" t="e">
        <f>AND('UP133'!FQ69,"AAAAAF/V57s=")</f>
        <v>#VALUE!</v>
      </c>
      <c r="GG107" t="e">
        <f>AND('UP133'!FR69,"AAAAAF/V57w=")</f>
        <v>#VALUE!</v>
      </c>
      <c r="GH107" t="e">
        <f>AND('UP133'!FS69,"AAAAAF/V570=")</f>
        <v>#VALUE!</v>
      </c>
      <c r="GI107" t="e">
        <f>AND('UP133'!FT69,"AAAAAF/V574=")</f>
        <v>#VALUE!</v>
      </c>
      <c r="GJ107" t="e">
        <f>AND('UP133'!FU69,"AAAAAF/V578=")</f>
        <v>#VALUE!</v>
      </c>
      <c r="GK107" t="e">
        <f>AND('UP133'!FV69,"AAAAAF/V58A=")</f>
        <v>#VALUE!</v>
      </c>
      <c r="GL107" t="e">
        <f>AND('UP133'!FW69,"AAAAAF/V58E=")</f>
        <v>#VALUE!</v>
      </c>
      <c r="GM107" t="e">
        <f>AND('UP133'!FX69,"AAAAAF/V58I=")</f>
        <v>#VALUE!</v>
      </c>
      <c r="GN107" t="e">
        <f>AND('UP133'!FY69,"AAAAAF/V58M=")</f>
        <v>#VALUE!</v>
      </c>
      <c r="GO107" t="e">
        <f>AND('UP133'!FZ69,"AAAAAF/V58Q=")</f>
        <v>#VALUE!</v>
      </c>
      <c r="GP107" t="e">
        <f>AND('UP133'!GA69,"AAAAAF/V58U=")</f>
        <v>#VALUE!</v>
      </c>
      <c r="GQ107" t="e">
        <f>AND('UP133'!GB69,"AAAAAF/V58Y=")</f>
        <v>#VALUE!</v>
      </c>
      <c r="GR107" t="e">
        <f>AND('UP133'!GC69,"AAAAAF/V58c=")</f>
        <v>#VALUE!</v>
      </c>
      <c r="GS107" t="e">
        <f>AND('UP133'!GD69,"AAAAAF/V58g=")</f>
        <v>#VALUE!</v>
      </c>
      <c r="GT107" t="e">
        <f>AND('UP133'!GE69,"AAAAAF/V58k=")</f>
        <v>#VALUE!</v>
      </c>
      <c r="GU107" t="e">
        <f>AND('UP133'!GF69,"AAAAAF/V58o=")</f>
        <v>#VALUE!</v>
      </c>
      <c r="GV107" t="e">
        <f>AND('UP133'!GG69,"AAAAAF/V58s=")</f>
        <v>#VALUE!</v>
      </c>
      <c r="GW107" t="e">
        <f>AND('UP133'!GH69,"AAAAAF/V58w=")</f>
        <v>#VALUE!</v>
      </c>
      <c r="GX107" t="e">
        <f>AND('UP133'!GI69,"AAAAAF/V580=")</f>
        <v>#VALUE!</v>
      </c>
      <c r="GY107" t="e">
        <f>AND('UP133'!GJ69,"AAAAAF/V584=")</f>
        <v>#VALUE!</v>
      </c>
      <c r="GZ107" t="e">
        <f>AND('UP133'!GK69,"AAAAAF/V588=")</f>
        <v>#VALUE!</v>
      </c>
      <c r="HA107" t="e">
        <f>AND('UP133'!GL69,"AAAAAF/V59A=")</f>
        <v>#VALUE!</v>
      </c>
      <c r="HB107" t="e">
        <f>AND('UP133'!GM69,"AAAAAF/V59E=")</f>
        <v>#VALUE!</v>
      </c>
      <c r="HC107" t="e">
        <f>AND('UP133'!GN69,"AAAAAF/V59I=")</f>
        <v>#VALUE!</v>
      </c>
      <c r="HD107" t="e">
        <f>AND('UP133'!GO69,"AAAAAF/V59M=")</f>
        <v>#VALUE!</v>
      </c>
      <c r="HE107" t="e">
        <f>AND('UP133'!GP69,"AAAAAF/V59Q=")</f>
        <v>#VALUE!</v>
      </c>
      <c r="HF107" t="e">
        <f>AND('UP133'!GQ69,"AAAAAF/V59U=")</f>
        <v>#VALUE!</v>
      </c>
      <c r="HG107" t="e">
        <f>AND('UP133'!GR69,"AAAAAF/V59Y=")</f>
        <v>#VALUE!</v>
      </c>
      <c r="HH107" t="e">
        <f>AND('UP133'!GS69,"AAAAAF/V59c=")</f>
        <v>#VALUE!</v>
      </c>
      <c r="HI107" t="e">
        <f>AND('UP133'!GT69,"AAAAAF/V59g=")</f>
        <v>#VALUE!</v>
      </c>
      <c r="HJ107" t="e">
        <f>AND('UP133'!GU69,"AAAAAF/V59k=")</f>
        <v>#VALUE!</v>
      </c>
      <c r="HK107" t="e">
        <f>AND('UP133'!GV69,"AAAAAF/V59o=")</f>
        <v>#VALUE!</v>
      </c>
      <c r="HL107" t="e">
        <f>AND('UP133'!GW69,"AAAAAF/V59s=")</f>
        <v>#VALUE!</v>
      </c>
      <c r="HM107" t="e">
        <f>AND('UP133'!GX69,"AAAAAF/V59w=")</f>
        <v>#VALUE!</v>
      </c>
      <c r="HN107" t="e">
        <f>AND('UP133'!GY69,"AAAAAF/V590=")</f>
        <v>#VALUE!</v>
      </c>
      <c r="HO107" t="e">
        <f>AND('UP133'!GZ69,"AAAAAF/V594=")</f>
        <v>#VALUE!</v>
      </c>
      <c r="HP107" t="e">
        <f>AND('UP133'!HA69,"AAAAAF/V598=")</f>
        <v>#VALUE!</v>
      </c>
      <c r="HQ107" t="e">
        <f>AND('UP133'!HB69,"AAAAAF/V5+A=")</f>
        <v>#VALUE!</v>
      </c>
      <c r="HR107" t="e">
        <f>AND('UP133'!HC69,"AAAAAF/V5+E=")</f>
        <v>#VALUE!</v>
      </c>
      <c r="HS107" t="e">
        <f>AND('UP133'!HD69,"AAAAAF/V5+I=")</f>
        <v>#VALUE!</v>
      </c>
      <c r="HT107" t="e">
        <f>AND('UP133'!HE69,"AAAAAF/V5+M=")</f>
        <v>#VALUE!</v>
      </c>
      <c r="HU107" t="e">
        <f>AND('UP133'!HF69,"AAAAAF/V5+Q=")</f>
        <v>#VALUE!</v>
      </c>
      <c r="HV107" t="e">
        <f>AND('UP133'!HG69,"AAAAAF/V5+U=")</f>
        <v>#VALUE!</v>
      </c>
      <c r="HW107" t="e">
        <f>AND('UP133'!HH69,"AAAAAF/V5+Y=")</f>
        <v>#VALUE!</v>
      </c>
      <c r="HX107" t="e">
        <f>AND('UP133'!HI69,"AAAAAF/V5+c=")</f>
        <v>#VALUE!</v>
      </c>
      <c r="HY107" t="e">
        <f>AND('UP133'!HJ69,"AAAAAF/V5+g=")</f>
        <v>#VALUE!</v>
      </c>
      <c r="HZ107" t="e">
        <f>AND('UP133'!HK69,"AAAAAF/V5+k=")</f>
        <v>#VALUE!</v>
      </c>
      <c r="IA107" t="e">
        <f>AND('UP133'!HL69,"AAAAAF/V5+o=")</f>
        <v>#VALUE!</v>
      </c>
      <c r="IB107" t="e">
        <f>AND('UP133'!HM69,"AAAAAF/V5+s=")</f>
        <v>#VALUE!</v>
      </c>
      <c r="IC107" t="e">
        <f>AND('UP133'!HN69,"AAAAAF/V5+w=")</f>
        <v>#VALUE!</v>
      </c>
      <c r="ID107" t="e">
        <f>AND('UP133'!HO69,"AAAAAF/V5+0=")</f>
        <v>#VALUE!</v>
      </c>
      <c r="IE107" t="e">
        <f>AND('UP133'!HP69,"AAAAAF/V5+4=")</f>
        <v>#VALUE!</v>
      </c>
      <c r="IF107" t="e">
        <f>AND('UP133'!HQ69,"AAAAAF/V5+8=")</f>
        <v>#VALUE!</v>
      </c>
      <c r="IG107" t="e">
        <f>AND('UP133'!HR69,"AAAAAF/V5/A=")</f>
        <v>#VALUE!</v>
      </c>
      <c r="IH107" t="e">
        <f>AND('UP133'!HS69,"AAAAAF/V5/E=")</f>
        <v>#VALUE!</v>
      </c>
      <c r="II107" t="e">
        <f>AND('UP133'!HT69,"AAAAAF/V5/I=")</f>
        <v>#VALUE!</v>
      </c>
      <c r="IJ107" t="e">
        <f>AND('UP133'!HU69,"AAAAAF/V5/M=")</f>
        <v>#VALUE!</v>
      </c>
      <c r="IK107" t="e">
        <f>AND('UP133'!HV69,"AAAAAF/V5/Q=")</f>
        <v>#VALUE!</v>
      </c>
      <c r="IL107" t="e">
        <f>AND('UP133'!HW69,"AAAAAF/V5/U=")</f>
        <v>#VALUE!</v>
      </c>
      <c r="IM107" t="e">
        <f>AND('UP133'!HX69,"AAAAAF/V5/Y=")</f>
        <v>#VALUE!</v>
      </c>
      <c r="IN107" t="e">
        <f>AND('UP133'!HY69,"AAAAAF/V5/c=")</f>
        <v>#VALUE!</v>
      </c>
      <c r="IO107" t="e">
        <f>AND('UP133'!HZ69,"AAAAAF/V5/g=")</f>
        <v>#VALUE!</v>
      </c>
      <c r="IP107" t="e">
        <f>AND('UP133'!IA69,"AAAAAF/V5/k=")</f>
        <v>#VALUE!</v>
      </c>
      <c r="IQ107" t="e">
        <f>AND('UP133'!IB69,"AAAAAF/V5/o=")</f>
        <v>#VALUE!</v>
      </c>
      <c r="IR107" t="e">
        <f>AND('UP133'!IC69,"AAAAAF/V5/s=")</f>
        <v>#VALUE!</v>
      </c>
      <c r="IS107" t="e">
        <f>AND('UP133'!ID69,"AAAAAF/V5/w=")</f>
        <v>#VALUE!</v>
      </c>
      <c r="IT107" t="e">
        <f>AND('UP133'!IE69,"AAAAAF/V5/0=")</f>
        <v>#VALUE!</v>
      </c>
      <c r="IU107" t="e">
        <f>AND('UP133'!IF69,"AAAAAF/V5/4=")</f>
        <v>#VALUE!</v>
      </c>
      <c r="IV107" t="e">
        <f>AND('UP133'!IG69,"AAAAAF/V5/8=")</f>
        <v>#VALUE!</v>
      </c>
    </row>
    <row r="108" spans="1:256">
      <c r="A108" t="e">
        <f>AND('UP133'!IH69,"AAAAAHdfMgA=")</f>
        <v>#VALUE!</v>
      </c>
      <c r="B108" t="e">
        <f>AND('UP133'!II69,"AAAAAHdfMgE=")</f>
        <v>#VALUE!</v>
      </c>
      <c r="C108" t="e">
        <f>AND('UP133'!IJ69,"AAAAAHdfMgI=")</f>
        <v>#VALUE!</v>
      </c>
      <c r="D108" t="e">
        <f>AND('UP133'!IK69,"AAAAAHdfMgM=")</f>
        <v>#VALUE!</v>
      </c>
      <c r="E108" t="e">
        <f>AND('UP133'!IL69,"AAAAAHdfMgQ=")</f>
        <v>#VALUE!</v>
      </c>
      <c r="F108" t="e">
        <f>AND('UP133'!IM69,"AAAAAHdfMgU=")</f>
        <v>#VALUE!</v>
      </c>
      <c r="G108" t="e">
        <f>AND('UP133'!IN69,"AAAAAHdfMgY=")</f>
        <v>#VALUE!</v>
      </c>
      <c r="H108" t="e">
        <f>AND('UP133'!IO69,"AAAAAHdfMgc=")</f>
        <v>#VALUE!</v>
      </c>
      <c r="I108" t="e">
        <f>AND('UP133'!IP69,"AAAAAHdfMgg=")</f>
        <v>#VALUE!</v>
      </c>
      <c r="J108" t="e">
        <f>AND('UP133'!IQ69,"AAAAAHdfMgk=")</f>
        <v>#VALUE!</v>
      </c>
      <c r="K108" t="str">
        <f>IF('UP133'!70:70,"AAAAAHdfMgo=",0)</f>
        <v>AAAAAHdfMgo=</v>
      </c>
      <c r="L108" t="e">
        <f>AND('UP133'!A70,"AAAAAHdfMgs=")</f>
        <v>#VALUE!</v>
      </c>
      <c r="M108" t="e">
        <f>AND('UP133'!B70,"AAAAAHdfMgw=")</f>
        <v>#VALUE!</v>
      </c>
      <c r="N108" t="e">
        <f>AND('UP133'!C70,"AAAAAHdfMg0=")</f>
        <v>#VALUE!</v>
      </c>
      <c r="O108" t="e">
        <f>AND('UP133'!D70,"AAAAAHdfMg4=")</f>
        <v>#VALUE!</v>
      </c>
      <c r="P108" t="e">
        <f>AND('UP133'!E70,"AAAAAHdfMg8=")</f>
        <v>#VALUE!</v>
      </c>
      <c r="Q108" t="e">
        <f>AND('UP133'!F70,"AAAAAHdfMhA=")</f>
        <v>#VALUE!</v>
      </c>
      <c r="R108" t="e">
        <f>AND('UP133'!G70,"AAAAAHdfMhE=")</f>
        <v>#VALUE!</v>
      </c>
      <c r="S108" t="e">
        <f>AND('UP133'!H70,"AAAAAHdfMhI=")</f>
        <v>#VALUE!</v>
      </c>
      <c r="T108" t="e">
        <f>AND('UP133'!I70,"AAAAAHdfMhM=")</f>
        <v>#VALUE!</v>
      </c>
      <c r="U108" t="e">
        <f>AND('UP133'!J70,"AAAAAHdfMhQ=")</f>
        <v>#VALUE!</v>
      </c>
      <c r="V108" t="e">
        <f>AND('UP133'!K70,"AAAAAHdfMhU=")</f>
        <v>#VALUE!</v>
      </c>
      <c r="W108" t="e">
        <f>AND('UP133'!L70,"AAAAAHdfMhY=")</f>
        <v>#VALUE!</v>
      </c>
      <c r="X108" t="e">
        <f>AND('UP133'!M70,"AAAAAHdfMhc=")</f>
        <v>#VALUE!</v>
      </c>
      <c r="Y108" t="e">
        <f>AND('UP133'!N70,"AAAAAHdfMhg=")</f>
        <v>#VALUE!</v>
      </c>
      <c r="Z108" t="e">
        <f>AND('UP133'!O70,"AAAAAHdfMhk=")</f>
        <v>#VALUE!</v>
      </c>
      <c r="AA108" t="e">
        <f>AND('UP133'!P70,"AAAAAHdfMho=")</f>
        <v>#VALUE!</v>
      </c>
      <c r="AB108" t="e">
        <f>AND('UP133'!Q70,"AAAAAHdfMhs=")</f>
        <v>#VALUE!</v>
      </c>
      <c r="AC108" t="e">
        <f>AND('UP133'!R70,"AAAAAHdfMhw=")</f>
        <v>#VALUE!</v>
      </c>
      <c r="AD108" t="e">
        <f>AND('UP133'!S70,"AAAAAHdfMh0=")</f>
        <v>#VALUE!</v>
      </c>
      <c r="AE108" t="e">
        <f>AND('UP133'!T70,"AAAAAHdfMh4=")</f>
        <v>#VALUE!</v>
      </c>
      <c r="AF108" t="e">
        <f>AND('UP133'!U70,"AAAAAHdfMh8=")</f>
        <v>#VALUE!</v>
      </c>
      <c r="AG108" t="e">
        <f>AND('UP133'!V70,"AAAAAHdfMiA=")</f>
        <v>#VALUE!</v>
      </c>
      <c r="AH108" t="e">
        <f>AND('UP133'!W70,"AAAAAHdfMiE=")</f>
        <v>#VALUE!</v>
      </c>
      <c r="AI108" t="e">
        <f>AND('UP133'!X70,"AAAAAHdfMiI=")</f>
        <v>#VALUE!</v>
      </c>
      <c r="AJ108" t="e">
        <f>AND('UP133'!Y70,"AAAAAHdfMiM=")</f>
        <v>#VALUE!</v>
      </c>
      <c r="AK108" t="e">
        <f>AND('UP133'!Z70,"AAAAAHdfMiQ=")</f>
        <v>#VALUE!</v>
      </c>
      <c r="AL108" t="e">
        <f>AND('UP133'!AA70,"AAAAAHdfMiU=")</f>
        <v>#VALUE!</v>
      </c>
      <c r="AM108" t="e">
        <f>AND('UP133'!AB70,"AAAAAHdfMiY=")</f>
        <v>#VALUE!</v>
      </c>
      <c r="AN108" t="e">
        <f>AND('UP133'!AC70,"AAAAAHdfMic=")</f>
        <v>#VALUE!</v>
      </c>
      <c r="AO108" t="e">
        <f>AND('UP133'!AD70,"AAAAAHdfMig=")</f>
        <v>#VALUE!</v>
      </c>
      <c r="AP108" t="e">
        <f>AND('UP133'!AE70,"AAAAAHdfMik=")</f>
        <v>#VALUE!</v>
      </c>
      <c r="AQ108" t="e">
        <f>AND('UP133'!AF70,"AAAAAHdfMio=")</f>
        <v>#VALUE!</v>
      </c>
      <c r="AR108" t="e">
        <f>AND('UP133'!AG70,"AAAAAHdfMis=")</f>
        <v>#VALUE!</v>
      </c>
      <c r="AS108" t="e">
        <f>AND('UP133'!AH70,"AAAAAHdfMiw=")</f>
        <v>#VALUE!</v>
      </c>
      <c r="AT108" t="e">
        <f>AND('UP133'!AI70,"AAAAAHdfMi0=")</f>
        <v>#VALUE!</v>
      </c>
      <c r="AU108" t="e">
        <f>AND('UP133'!AJ70,"AAAAAHdfMi4=")</f>
        <v>#VALUE!</v>
      </c>
      <c r="AV108" t="e">
        <f>AND('UP133'!AK70,"AAAAAHdfMi8=")</f>
        <v>#VALUE!</v>
      </c>
      <c r="AW108" t="e">
        <f>AND('UP133'!AL70,"AAAAAHdfMjA=")</f>
        <v>#VALUE!</v>
      </c>
      <c r="AX108" t="e">
        <f>AND('UP133'!AM70,"AAAAAHdfMjE=")</f>
        <v>#VALUE!</v>
      </c>
      <c r="AY108" t="e">
        <f>AND('UP133'!AN70,"AAAAAHdfMjI=")</f>
        <v>#VALUE!</v>
      </c>
      <c r="AZ108" t="e">
        <f>AND('UP133'!AO70,"AAAAAHdfMjM=")</f>
        <v>#VALUE!</v>
      </c>
      <c r="BA108" t="e">
        <f>AND('UP133'!AP70,"AAAAAHdfMjQ=")</f>
        <v>#VALUE!</v>
      </c>
      <c r="BB108" t="e">
        <f>AND('UP133'!AQ70,"AAAAAHdfMjU=")</f>
        <v>#VALUE!</v>
      </c>
      <c r="BC108" t="e">
        <f>AND('UP133'!AR70,"AAAAAHdfMjY=")</f>
        <v>#VALUE!</v>
      </c>
      <c r="BD108" t="e">
        <f>AND('UP133'!AS70,"AAAAAHdfMjc=")</f>
        <v>#VALUE!</v>
      </c>
      <c r="BE108" t="e">
        <f>AND('UP133'!AT70,"AAAAAHdfMjg=")</f>
        <v>#VALUE!</v>
      </c>
      <c r="BF108" t="e">
        <f>AND('UP133'!AU70,"AAAAAHdfMjk=")</f>
        <v>#VALUE!</v>
      </c>
      <c r="BG108" t="e">
        <f>AND('UP133'!AV70,"AAAAAHdfMjo=")</f>
        <v>#VALUE!</v>
      </c>
      <c r="BH108" t="e">
        <f>AND('UP133'!AW70,"AAAAAHdfMjs=")</f>
        <v>#VALUE!</v>
      </c>
      <c r="BI108" t="e">
        <f>AND('UP133'!AX70,"AAAAAHdfMjw=")</f>
        <v>#VALUE!</v>
      </c>
      <c r="BJ108" t="e">
        <f>AND('UP133'!AY70,"AAAAAHdfMj0=")</f>
        <v>#VALUE!</v>
      </c>
      <c r="BK108" t="e">
        <f>AND('UP133'!AZ70,"AAAAAHdfMj4=")</f>
        <v>#VALUE!</v>
      </c>
      <c r="BL108" t="e">
        <f>AND('UP133'!BA70,"AAAAAHdfMj8=")</f>
        <v>#VALUE!</v>
      </c>
      <c r="BM108" t="e">
        <f>AND('UP133'!BB70,"AAAAAHdfMkA=")</f>
        <v>#VALUE!</v>
      </c>
      <c r="BN108" t="e">
        <f>AND('UP133'!BC70,"AAAAAHdfMkE=")</f>
        <v>#VALUE!</v>
      </c>
      <c r="BO108" t="e">
        <f>AND('UP133'!BD70,"AAAAAHdfMkI=")</f>
        <v>#VALUE!</v>
      </c>
      <c r="BP108" t="e">
        <f>AND('UP133'!BE70,"AAAAAHdfMkM=")</f>
        <v>#VALUE!</v>
      </c>
      <c r="BQ108" t="e">
        <f>AND('UP133'!BF70,"AAAAAHdfMkQ=")</f>
        <v>#VALUE!</v>
      </c>
      <c r="BR108" t="e">
        <f>AND('UP133'!BG70,"AAAAAHdfMkU=")</f>
        <v>#VALUE!</v>
      </c>
      <c r="BS108" t="e">
        <f>AND('UP133'!BH70,"AAAAAHdfMkY=")</f>
        <v>#VALUE!</v>
      </c>
      <c r="BT108" t="e">
        <f>AND('UP133'!BI70,"AAAAAHdfMkc=")</f>
        <v>#VALUE!</v>
      </c>
      <c r="BU108" t="e">
        <f>AND('UP133'!BJ70,"AAAAAHdfMkg=")</f>
        <v>#VALUE!</v>
      </c>
      <c r="BV108" t="e">
        <f>AND('UP133'!BK70,"AAAAAHdfMkk=")</f>
        <v>#VALUE!</v>
      </c>
      <c r="BW108" t="e">
        <f>AND('UP133'!BL70,"AAAAAHdfMko=")</f>
        <v>#VALUE!</v>
      </c>
      <c r="BX108" t="e">
        <f>AND('UP133'!BM70,"AAAAAHdfMks=")</f>
        <v>#VALUE!</v>
      </c>
      <c r="BY108" t="e">
        <f>AND('UP133'!BN70,"AAAAAHdfMkw=")</f>
        <v>#VALUE!</v>
      </c>
      <c r="BZ108" t="e">
        <f>AND('UP133'!BO70,"AAAAAHdfMk0=")</f>
        <v>#VALUE!</v>
      </c>
      <c r="CA108" t="e">
        <f>AND('UP133'!BP70,"AAAAAHdfMk4=")</f>
        <v>#VALUE!</v>
      </c>
      <c r="CB108" t="e">
        <f>AND('UP133'!BQ70,"AAAAAHdfMk8=")</f>
        <v>#VALUE!</v>
      </c>
      <c r="CC108" t="e">
        <f>AND('UP133'!BR70,"AAAAAHdfMlA=")</f>
        <v>#VALUE!</v>
      </c>
      <c r="CD108" t="e">
        <f>AND('UP133'!BS70,"AAAAAHdfMlE=")</f>
        <v>#VALUE!</v>
      </c>
      <c r="CE108" t="e">
        <f>AND('UP133'!BT70,"AAAAAHdfMlI=")</f>
        <v>#VALUE!</v>
      </c>
      <c r="CF108" t="e">
        <f>AND('UP133'!BU70,"AAAAAHdfMlM=")</f>
        <v>#VALUE!</v>
      </c>
      <c r="CG108" t="e">
        <f>AND('UP133'!BV70,"AAAAAHdfMlQ=")</f>
        <v>#VALUE!</v>
      </c>
      <c r="CH108" t="e">
        <f>AND('UP133'!BW70,"AAAAAHdfMlU=")</f>
        <v>#VALUE!</v>
      </c>
      <c r="CI108" t="e">
        <f>AND('UP133'!BX70,"AAAAAHdfMlY=")</f>
        <v>#VALUE!</v>
      </c>
      <c r="CJ108" t="e">
        <f>AND('UP133'!BY70,"AAAAAHdfMlc=")</f>
        <v>#VALUE!</v>
      </c>
      <c r="CK108" t="e">
        <f>AND('UP133'!BZ70,"AAAAAHdfMlg=")</f>
        <v>#VALUE!</v>
      </c>
      <c r="CL108" t="e">
        <f>AND('UP133'!CA70,"AAAAAHdfMlk=")</f>
        <v>#VALUE!</v>
      </c>
      <c r="CM108" t="e">
        <f>AND('UP133'!CB70,"AAAAAHdfMlo=")</f>
        <v>#VALUE!</v>
      </c>
      <c r="CN108" t="e">
        <f>AND('UP133'!CC70,"AAAAAHdfMls=")</f>
        <v>#VALUE!</v>
      </c>
      <c r="CO108" t="e">
        <f>AND('UP133'!CD70,"AAAAAHdfMlw=")</f>
        <v>#VALUE!</v>
      </c>
      <c r="CP108" t="e">
        <f>AND('UP133'!CE70,"AAAAAHdfMl0=")</f>
        <v>#VALUE!</v>
      </c>
      <c r="CQ108" t="e">
        <f>AND('UP133'!CF70,"AAAAAHdfMl4=")</f>
        <v>#VALUE!</v>
      </c>
      <c r="CR108" t="e">
        <f>AND('UP133'!CG70,"AAAAAHdfMl8=")</f>
        <v>#VALUE!</v>
      </c>
      <c r="CS108" t="e">
        <f>AND('UP133'!CH70,"AAAAAHdfMmA=")</f>
        <v>#VALUE!</v>
      </c>
      <c r="CT108" t="e">
        <f>AND('UP133'!CI70,"AAAAAHdfMmE=")</f>
        <v>#VALUE!</v>
      </c>
      <c r="CU108" t="e">
        <f>AND('UP133'!CJ70,"AAAAAHdfMmI=")</f>
        <v>#VALUE!</v>
      </c>
      <c r="CV108" t="e">
        <f>AND('UP133'!CK70,"AAAAAHdfMmM=")</f>
        <v>#VALUE!</v>
      </c>
      <c r="CW108" t="e">
        <f>AND('UP133'!CL70,"AAAAAHdfMmQ=")</f>
        <v>#VALUE!</v>
      </c>
      <c r="CX108" t="e">
        <f>AND('UP133'!CM70,"AAAAAHdfMmU=")</f>
        <v>#VALUE!</v>
      </c>
      <c r="CY108" t="e">
        <f>AND('UP133'!CN70,"AAAAAHdfMmY=")</f>
        <v>#VALUE!</v>
      </c>
      <c r="CZ108" t="e">
        <f>AND('UP133'!CO70,"AAAAAHdfMmc=")</f>
        <v>#VALUE!</v>
      </c>
      <c r="DA108" t="e">
        <f>AND('UP133'!CP70,"AAAAAHdfMmg=")</f>
        <v>#VALUE!</v>
      </c>
      <c r="DB108" t="e">
        <f>AND('UP133'!CQ70,"AAAAAHdfMmk=")</f>
        <v>#VALUE!</v>
      </c>
      <c r="DC108" t="e">
        <f>AND('UP133'!CR70,"AAAAAHdfMmo=")</f>
        <v>#VALUE!</v>
      </c>
      <c r="DD108" t="e">
        <f>AND('UP133'!CS70,"AAAAAHdfMms=")</f>
        <v>#VALUE!</v>
      </c>
      <c r="DE108" t="e">
        <f>AND('UP133'!CT70,"AAAAAHdfMmw=")</f>
        <v>#VALUE!</v>
      </c>
      <c r="DF108" t="e">
        <f>AND('UP133'!CU70,"AAAAAHdfMm0=")</f>
        <v>#VALUE!</v>
      </c>
      <c r="DG108" t="e">
        <f>AND('UP133'!CV70,"AAAAAHdfMm4=")</f>
        <v>#VALUE!</v>
      </c>
      <c r="DH108" t="e">
        <f>AND('UP133'!CW70,"AAAAAHdfMm8=")</f>
        <v>#VALUE!</v>
      </c>
      <c r="DI108" t="e">
        <f>AND('UP133'!CX70,"AAAAAHdfMnA=")</f>
        <v>#VALUE!</v>
      </c>
      <c r="DJ108" t="e">
        <f>AND('UP133'!CY70,"AAAAAHdfMnE=")</f>
        <v>#VALUE!</v>
      </c>
      <c r="DK108" t="e">
        <f>AND('UP133'!CZ70,"AAAAAHdfMnI=")</f>
        <v>#VALUE!</v>
      </c>
      <c r="DL108" t="e">
        <f>AND('UP133'!DA70,"AAAAAHdfMnM=")</f>
        <v>#VALUE!</v>
      </c>
      <c r="DM108" t="e">
        <f>AND('UP133'!DB70,"AAAAAHdfMnQ=")</f>
        <v>#VALUE!</v>
      </c>
      <c r="DN108" t="e">
        <f>AND('UP133'!DC70,"AAAAAHdfMnU=")</f>
        <v>#VALUE!</v>
      </c>
      <c r="DO108" t="e">
        <f>AND('UP133'!DD70,"AAAAAHdfMnY=")</f>
        <v>#VALUE!</v>
      </c>
      <c r="DP108" t="e">
        <f>AND('UP133'!DE70,"AAAAAHdfMnc=")</f>
        <v>#VALUE!</v>
      </c>
      <c r="DQ108" t="e">
        <f>AND('UP133'!DF70,"AAAAAHdfMng=")</f>
        <v>#VALUE!</v>
      </c>
      <c r="DR108" t="e">
        <f>AND('UP133'!DG70,"AAAAAHdfMnk=")</f>
        <v>#VALUE!</v>
      </c>
      <c r="DS108" t="e">
        <f>AND('UP133'!DH70,"AAAAAHdfMno=")</f>
        <v>#VALUE!</v>
      </c>
      <c r="DT108" t="e">
        <f>AND('UP133'!DI70,"AAAAAHdfMns=")</f>
        <v>#VALUE!</v>
      </c>
      <c r="DU108" t="e">
        <f>AND('UP133'!DJ70,"AAAAAHdfMnw=")</f>
        <v>#VALUE!</v>
      </c>
      <c r="DV108" t="e">
        <f>AND('UP133'!DK70,"AAAAAHdfMn0=")</f>
        <v>#VALUE!</v>
      </c>
      <c r="DW108" t="e">
        <f>AND('UP133'!DL70,"AAAAAHdfMn4=")</f>
        <v>#VALUE!</v>
      </c>
      <c r="DX108" t="e">
        <f>AND('UP133'!DM70,"AAAAAHdfMn8=")</f>
        <v>#VALUE!</v>
      </c>
      <c r="DY108" t="e">
        <f>AND('UP133'!DN70,"AAAAAHdfMoA=")</f>
        <v>#VALUE!</v>
      </c>
      <c r="DZ108" t="e">
        <f>AND('UP133'!DO70,"AAAAAHdfMoE=")</f>
        <v>#VALUE!</v>
      </c>
      <c r="EA108" t="e">
        <f>AND('UP133'!DP70,"AAAAAHdfMoI=")</f>
        <v>#VALUE!</v>
      </c>
      <c r="EB108" t="e">
        <f>AND('UP133'!DQ70,"AAAAAHdfMoM=")</f>
        <v>#VALUE!</v>
      </c>
      <c r="EC108" t="e">
        <f>AND('UP133'!DR70,"AAAAAHdfMoQ=")</f>
        <v>#VALUE!</v>
      </c>
      <c r="ED108" t="e">
        <f>AND('UP133'!DS70,"AAAAAHdfMoU=")</f>
        <v>#VALUE!</v>
      </c>
      <c r="EE108" t="e">
        <f>AND('UP133'!DT70,"AAAAAHdfMoY=")</f>
        <v>#VALUE!</v>
      </c>
      <c r="EF108" t="e">
        <f>AND('UP133'!DU70,"AAAAAHdfMoc=")</f>
        <v>#VALUE!</v>
      </c>
      <c r="EG108" t="e">
        <f>AND('UP133'!DV70,"AAAAAHdfMog=")</f>
        <v>#VALUE!</v>
      </c>
      <c r="EH108" t="e">
        <f>AND('UP133'!DW70,"AAAAAHdfMok=")</f>
        <v>#VALUE!</v>
      </c>
      <c r="EI108" t="e">
        <f>AND('UP133'!DX70,"AAAAAHdfMoo=")</f>
        <v>#VALUE!</v>
      </c>
      <c r="EJ108" t="e">
        <f>AND('UP133'!DY70,"AAAAAHdfMos=")</f>
        <v>#VALUE!</v>
      </c>
      <c r="EK108" t="e">
        <f>AND('UP133'!DZ70,"AAAAAHdfMow=")</f>
        <v>#VALUE!</v>
      </c>
      <c r="EL108" t="e">
        <f>AND('UP133'!EA70,"AAAAAHdfMo0=")</f>
        <v>#VALUE!</v>
      </c>
      <c r="EM108" t="e">
        <f>AND('UP133'!EB70,"AAAAAHdfMo4=")</f>
        <v>#VALUE!</v>
      </c>
      <c r="EN108" t="e">
        <f>AND('UP133'!EC70,"AAAAAHdfMo8=")</f>
        <v>#VALUE!</v>
      </c>
      <c r="EO108" t="e">
        <f>AND('UP133'!ED70,"AAAAAHdfMpA=")</f>
        <v>#VALUE!</v>
      </c>
      <c r="EP108" t="e">
        <f>AND('UP133'!EE70,"AAAAAHdfMpE=")</f>
        <v>#VALUE!</v>
      </c>
      <c r="EQ108" t="e">
        <f>AND('UP133'!EF70,"AAAAAHdfMpI=")</f>
        <v>#VALUE!</v>
      </c>
      <c r="ER108" t="e">
        <f>AND('UP133'!EG70,"AAAAAHdfMpM=")</f>
        <v>#VALUE!</v>
      </c>
      <c r="ES108" t="e">
        <f>AND('UP133'!EH70,"AAAAAHdfMpQ=")</f>
        <v>#VALUE!</v>
      </c>
      <c r="ET108" t="e">
        <f>AND('UP133'!EI70,"AAAAAHdfMpU=")</f>
        <v>#VALUE!</v>
      </c>
      <c r="EU108" t="e">
        <f>AND('UP133'!EJ70,"AAAAAHdfMpY=")</f>
        <v>#VALUE!</v>
      </c>
      <c r="EV108" t="e">
        <f>AND('UP133'!EK70,"AAAAAHdfMpc=")</f>
        <v>#VALUE!</v>
      </c>
      <c r="EW108" t="e">
        <f>AND('UP133'!EL70,"AAAAAHdfMpg=")</f>
        <v>#VALUE!</v>
      </c>
      <c r="EX108" t="e">
        <f>AND('UP133'!EM70,"AAAAAHdfMpk=")</f>
        <v>#VALUE!</v>
      </c>
      <c r="EY108" t="e">
        <f>AND('UP133'!EN70,"AAAAAHdfMpo=")</f>
        <v>#VALUE!</v>
      </c>
      <c r="EZ108" t="e">
        <f>AND('UP133'!EO70,"AAAAAHdfMps=")</f>
        <v>#VALUE!</v>
      </c>
      <c r="FA108" t="e">
        <f>AND('UP133'!EP70,"AAAAAHdfMpw=")</f>
        <v>#VALUE!</v>
      </c>
      <c r="FB108" t="e">
        <f>AND('UP133'!EQ70,"AAAAAHdfMp0=")</f>
        <v>#VALUE!</v>
      </c>
      <c r="FC108" t="e">
        <f>AND('UP133'!ER70,"AAAAAHdfMp4=")</f>
        <v>#VALUE!</v>
      </c>
      <c r="FD108" t="e">
        <f>AND('UP133'!ES70,"AAAAAHdfMp8=")</f>
        <v>#VALUE!</v>
      </c>
      <c r="FE108" t="e">
        <f>AND('UP133'!ET70,"AAAAAHdfMqA=")</f>
        <v>#VALUE!</v>
      </c>
      <c r="FF108" t="e">
        <f>AND('UP133'!EU70,"AAAAAHdfMqE=")</f>
        <v>#VALUE!</v>
      </c>
      <c r="FG108" t="e">
        <f>AND('UP133'!EV70,"AAAAAHdfMqI=")</f>
        <v>#VALUE!</v>
      </c>
      <c r="FH108" t="e">
        <f>AND('UP133'!EW70,"AAAAAHdfMqM=")</f>
        <v>#VALUE!</v>
      </c>
      <c r="FI108" t="e">
        <f>AND('UP133'!EX70,"AAAAAHdfMqQ=")</f>
        <v>#VALUE!</v>
      </c>
      <c r="FJ108" t="e">
        <f>AND('UP133'!EY70,"AAAAAHdfMqU=")</f>
        <v>#VALUE!</v>
      </c>
      <c r="FK108" t="e">
        <f>AND('UP133'!EZ70,"AAAAAHdfMqY=")</f>
        <v>#VALUE!</v>
      </c>
      <c r="FL108" t="e">
        <f>AND('UP133'!FA70,"AAAAAHdfMqc=")</f>
        <v>#VALUE!</v>
      </c>
      <c r="FM108" t="e">
        <f>AND('UP133'!FB70,"AAAAAHdfMqg=")</f>
        <v>#VALUE!</v>
      </c>
      <c r="FN108" t="e">
        <f>AND('UP133'!FC70,"AAAAAHdfMqk=")</f>
        <v>#VALUE!</v>
      </c>
      <c r="FO108" t="e">
        <f>AND('UP133'!FD70,"AAAAAHdfMqo=")</f>
        <v>#VALUE!</v>
      </c>
      <c r="FP108" t="e">
        <f>AND('UP133'!FE70,"AAAAAHdfMqs=")</f>
        <v>#VALUE!</v>
      </c>
      <c r="FQ108" t="e">
        <f>AND('UP133'!FF70,"AAAAAHdfMqw=")</f>
        <v>#VALUE!</v>
      </c>
      <c r="FR108" t="e">
        <f>AND('UP133'!FG70,"AAAAAHdfMq0=")</f>
        <v>#VALUE!</v>
      </c>
      <c r="FS108" t="e">
        <f>AND('UP133'!FH70,"AAAAAHdfMq4=")</f>
        <v>#VALUE!</v>
      </c>
      <c r="FT108" t="e">
        <f>AND('UP133'!FI70,"AAAAAHdfMq8=")</f>
        <v>#VALUE!</v>
      </c>
      <c r="FU108" t="e">
        <f>AND('UP133'!FJ70,"AAAAAHdfMrA=")</f>
        <v>#VALUE!</v>
      </c>
      <c r="FV108" t="e">
        <f>AND('UP133'!FK70,"AAAAAHdfMrE=")</f>
        <v>#VALUE!</v>
      </c>
      <c r="FW108" t="e">
        <f>AND('UP133'!FL70,"AAAAAHdfMrI=")</f>
        <v>#VALUE!</v>
      </c>
      <c r="FX108" t="e">
        <f>AND('UP133'!FM70,"AAAAAHdfMrM=")</f>
        <v>#VALUE!</v>
      </c>
      <c r="FY108" t="e">
        <f>AND('UP133'!FN70,"AAAAAHdfMrQ=")</f>
        <v>#VALUE!</v>
      </c>
      <c r="FZ108" t="e">
        <f>AND('UP133'!FO70,"AAAAAHdfMrU=")</f>
        <v>#VALUE!</v>
      </c>
      <c r="GA108" t="e">
        <f>AND('UP133'!FP70,"AAAAAHdfMrY=")</f>
        <v>#VALUE!</v>
      </c>
      <c r="GB108" t="e">
        <f>AND('UP133'!FQ70,"AAAAAHdfMrc=")</f>
        <v>#VALUE!</v>
      </c>
      <c r="GC108" t="e">
        <f>AND('UP133'!FR70,"AAAAAHdfMrg=")</f>
        <v>#VALUE!</v>
      </c>
      <c r="GD108" t="e">
        <f>AND('UP133'!FS70,"AAAAAHdfMrk=")</f>
        <v>#VALUE!</v>
      </c>
      <c r="GE108" t="e">
        <f>AND('UP133'!FT70,"AAAAAHdfMro=")</f>
        <v>#VALUE!</v>
      </c>
      <c r="GF108" t="e">
        <f>AND('UP133'!FU70,"AAAAAHdfMrs=")</f>
        <v>#VALUE!</v>
      </c>
      <c r="GG108" t="e">
        <f>AND('UP133'!FV70,"AAAAAHdfMrw=")</f>
        <v>#VALUE!</v>
      </c>
      <c r="GH108" t="e">
        <f>AND('UP133'!FW70,"AAAAAHdfMr0=")</f>
        <v>#VALUE!</v>
      </c>
      <c r="GI108" t="e">
        <f>AND('UP133'!FX70,"AAAAAHdfMr4=")</f>
        <v>#VALUE!</v>
      </c>
      <c r="GJ108" t="e">
        <f>AND('UP133'!FY70,"AAAAAHdfMr8=")</f>
        <v>#VALUE!</v>
      </c>
      <c r="GK108" t="e">
        <f>AND('UP133'!FZ70,"AAAAAHdfMsA=")</f>
        <v>#VALUE!</v>
      </c>
      <c r="GL108" t="e">
        <f>AND('UP133'!GA70,"AAAAAHdfMsE=")</f>
        <v>#VALUE!</v>
      </c>
      <c r="GM108" t="e">
        <f>AND('UP133'!GB70,"AAAAAHdfMsI=")</f>
        <v>#VALUE!</v>
      </c>
      <c r="GN108" t="e">
        <f>AND('UP133'!GC70,"AAAAAHdfMsM=")</f>
        <v>#VALUE!</v>
      </c>
      <c r="GO108" t="e">
        <f>AND('UP133'!GD70,"AAAAAHdfMsQ=")</f>
        <v>#VALUE!</v>
      </c>
      <c r="GP108" t="e">
        <f>AND('UP133'!GE70,"AAAAAHdfMsU=")</f>
        <v>#VALUE!</v>
      </c>
      <c r="GQ108" t="e">
        <f>AND('UP133'!GF70,"AAAAAHdfMsY=")</f>
        <v>#VALUE!</v>
      </c>
      <c r="GR108" t="e">
        <f>AND('UP133'!GG70,"AAAAAHdfMsc=")</f>
        <v>#VALUE!</v>
      </c>
      <c r="GS108" t="e">
        <f>AND('UP133'!GH70,"AAAAAHdfMsg=")</f>
        <v>#VALUE!</v>
      </c>
      <c r="GT108" t="e">
        <f>AND('UP133'!GI70,"AAAAAHdfMsk=")</f>
        <v>#VALUE!</v>
      </c>
      <c r="GU108" t="e">
        <f>AND('UP133'!GJ70,"AAAAAHdfMso=")</f>
        <v>#VALUE!</v>
      </c>
      <c r="GV108" t="e">
        <f>AND('UP133'!GK70,"AAAAAHdfMss=")</f>
        <v>#VALUE!</v>
      </c>
      <c r="GW108" t="e">
        <f>AND('UP133'!GL70,"AAAAAHdfMsw=")</f>
        <v>#VALUE!</v>
      </c>
      <c r="GX108" t="e">
        <f>AND('UP133'!GM70,"AAAAAHdfMs0=")</f>
        <v>#VALUE!</v>
      </c>
      <c r="GY108" t="e">
        <f>AND('UP133'!GN70,"AAAAAHdfMs4=")</f>
        <v>#VALUE!</v>
      </c>
      <c r="GZ108" t="e">
        <f>AND('UP133'!GO70,"AAAAAHdfMs8=")</f>
        <v>#VALUE!</v>
      </c>
      <c r="HA108" t="e">
        <f>AND('UP133'!GP70,"AAAAAHdfMtA=")</f>
        <v>#VALUE!</v>
      </c>
      <c r="HB108" t="e">
        <f>AND('UP133'!GQ70,"AAAAAHdfMtE=")</f>
        <v>#VALUE!</v>
      </c>
      <c r="HC108" t="e">
        <f>AND('UP133'!GR70,"AAAAAHdfMtI=")</f>
        <v>#VALUE!</v>
      </c>
      <c r="HD108" t="e">
        <f>AND('UP133'!GS70,"AAAAAHdfMtM=")</f>
        <v>#VALUE!</v>
      </c>
      <c r="HE108" t="e">
        <f>AND('UP133'!GT70,"AAAAAHdfMtQ=")</f>
        <v>#VALUE!</v>
      </c>
      <c r="HF108" t="e">
        <f>AND('UP133'!GU70,"AAAAAHdfMtU=")</f>
        <v>#VALUE!</v>
      </c>
      <c r="HG108" t="e">
        <f>AND('UP133'!GV70,"AAAAAHdfMtY=")</f>
        <v>#VALUE!</v>
      </c>
      <c r="HH108" t="e">
        <f>AND('UP133'!GW70,"AAAAAHdfMtc=")</f>
        <v>#VALUE!</v>
      </c>
      <c r="HI108" t="e">
        <f>AND('UP133'!GX70,"AAAAAHdfMtg=")</f>
        <v>#VALUE!</v>
      </c>
      <c r="HJ108" t="e">
        <f>AND('UP133'!GY70,"AAAAAHdfMtk=")</f>
        <v>#VALUE!</v>
      </c>
      <c r="HK108" t="e">
        <f>AND('UP133'!GZ70,"AAAAAHdfMto=")</f>
        <v>#VALUE!</v>
      </c>
      <c r="HL108" t="e">
        <f>AND('UP133'!HA70,"AAAAAHdfMts=")</f>
        <v>#VALUE!</v>
      </c>
      <c r="HM108" t="e">
        <f>AND('UP133'!HB70,"AAAAAHdfMtw=")</f>
        <v>#VALUE!</v>
      </c>
      <c r="HN108" t="e">
        <f>AND('UP133'!HC70,"AAAAAHdfMt0=")</f>
        <v>#VALUE!</v>
      </c>
      <c r="HO108" t="e">
        <f>AND('UP133'!HD70,"AAAAAHdfMt4=")</f>
        <v>#VALUE!</v>
      </c>
      <c r="HP108" t="e">
        <f>AND('UP133'!HE70,"AAAAAHdfMt8=")</f>
        <v>#VALUE!</v>
      </c>
      <c r="HQ108" t="e">
        <f>AND('UP133'!HF70,"AAAAAHdfMuA=")</f>
        <v>#VALUE!</v>
      </c>
      <c r="HR108" t="e">
        <f>AND('UP133'!HG70,"AAAAAHdfMuE=")</f>
        <v>#VALUE!</v>
      </c>
      <c r="HS108" t="e">
        <f>AND('UP133'!HH70,"AAAAAHdfMuI=")</f>
        <v>#VALUE!</v>
      </c>
      <c r="HT108" t="e">
        <f>AND('UP133'!HI70,"AAAAAHdfMuM=")</f>
        <v>#VALUE!</v>
      </c>
      <c r="HU108" t="e">
        <f>AND('UP133'!HJ70,"AAAAAHdfMuQ=")</f>
        <v>#VALUE!</v>
      </c>
      <c r="HV108" t="e">
        <f>AND('UP133'!HK70,"AAAAAHdfMuU=")</f>
        <v>#VALUE!</v>
      </c>
      <c r="HW108" t="e">
        <f>AND('UP133'!HL70,"AAAAAHdfMuY=")</f>
        <v>#VALUE!</v>
      </c>
      <c r="HX108" t="e">
        <f>AND('UP133'!HM70,"AAAAAHdfMuc=")</f>
        <v>#VALUE!</v>
      </c>
      <c r="HY108" t="e">
        <f>AND('UP133'!HN70,"AAAAAHdfMug=")</f>
        <v>#VALUE!</v>
      </c>
      <c r="HZ108" t="e">
        <f>AND('UP133'!HO70,"AAAAAHdfMuk=")</f>
        <v>#VALUE!</v>
      </c>
      <c r="IA108" t="e">
        <f>AND('UP133'!HP70,"AAAAAHdfMuo=")</f>
        <v>#VALUE!</v>
      </c>
      <c r="IB108" t="e">
        <f>AND('UP133'!HQ70,"AAAAAHdfMus=")</f>
        <v>#VALUE!</v>
      </c>
      <c r="IC108" t="e">
        <f>AND('UP133'!HR70,"AAAAAHdfMuw=")</f>
        <v>#VALUE!</v>
      </c>
      <c r="ID108" t="e">
        <f>AND('UP133'!HS70,"AAAAAHdfMu0=")</f>
        <v>#VALUE!</v>
      </c>
      <c r="IE108" t="e">
        <f>AND('UP133'!HT70,"AAAAAHdfMu4=")</f>
        <v>#VALUE!</v>
      </c>
      <c r="IF108" t="e">
        <f>AND('UP133'!HU70,"AAAAAHdfMu8=")</f>
        <v>#VALUE!</v>
      </c>
      <c r="IG108" t="e">
        <f>AND('UP133'!HV70,"AAAAAHdfMvA=")</f>
        <v>#VALUE!</v>
      </c>
      <c r="IH108" t="e">
        <f>AND('UP133'!HW70,"AAAAAHdfMvE=")</f>
        <v>#VALUE!</v>
      </c>
      <c r="II108" t="e">
        <f>AND('UP133'!HX70,"AAAAAHdfMvI=")</f>
        <v>#VALUE!</v>
      </c>
      <c r="IJ108" t="e">
        <f>AND('UP133'!HY70,"AAAAAHdfMvM=")</f>
        <v>#VALUE!</v>
      </c>
      <c r="IK108" t="e">
        <f>AND('UP133'!HZ70,"AAAAAHdfMvQ=")</f>
        <v>#VALUE!</v>
      </c>
      <c r="IL108" t="e">
        <f>AND('UP133'!IA70,"AAAAAHdfMvU=")</f>
        <v>#VALUE!</v>
      </c>
      <c r="IM108" t="e">
        <f>AND('UP133'!IB70,"AAAAAHdfMvY=")</f>
        <v>#VALUE!</v>
      </c>
      <c r="IN108" t="e">
        <f>AND('UP133'!IC70,"AAAAAHdfMvc=")</f>
        <v>#VALUE!</v>
      </c>
      <c r="IO108" t="e">
        <f>AND('UP133'!ID70,"AAAAAHdfMvg=")</f>
        <v>#VALUE!</v>
      </c>
      <c r="IP108" t="e">
        <f>AND('UP133'!IE70,"AAAAAHdfMvk=")</f>
        <v>#VALUE!</v>
      </c>
      <c r="IQ108" t="e">
        <f>AND('UP133'!IF70,"AAAAAHdfMvo=")</f>
        <v>#VALUE!</v>
      </c>
      <c r="IR108" t="e">
        <f>AND('UP133'!IG70,"AAAAAHdfMvs=")</f>
        <v>#VALUE!</v>
      </c>
      <c r="IS108" t="e">
        <f>AND('UP133'!IH70,"AAAAAHdfMvw=")</f>
        <v>#VALUE!</v>
      </c>
      <c r="IT108" t="e">
        <f>AND('UP133'!II70,"AAAAAHdfMv0=")</f>
        <v>#VALUE!</v>
      </c>
      <c r="IU108" t="e">
        <f>AND('UP133'!IJ70,"AAAAAHdfMv4=")</f>
        <v>#VALUE!</v>
      </c>
      <c r="IV108" t="e">
        <f>AND('UP133'!IK70,"AAAAAHdfMv8=")</f>
        <v>#VALUE!</v>
      </c>
    </row>
    <row r="109" spans="1:256">
      <c r="A109" t="e">
        <f>AND('UP133'!IL70,"AAAAAHv3fwA=")</f>
        <v>#VALUE!</v>
      </c>
      <c r="B109" t="e">
        <f>AND('UP133'!IM70,"AAAAAHv3fwE=")</f>
        <v>#VALUE!</v>
      </c>
      <c r="C109" t="e">
        <f>AND('UP133'!IN70,"AAAAAHv3fwI=")</f>
        <v>#VALUE!</v>
      </c>
      <c r="D109" t="e">
        <f>AND('UP133'!IO70,"AAAAAHv3fwM=")</f>
        <v>#VALUE!</v>
      </c>
      <c r="E109" t="e">
        <f>AND('UP133'!IP70,"AAAAAHv3fwQ=")</f>
        <v>#VALUE!</v>
      </c>
      <c r="F109" t="e">
        <f>AND('UP133'!IQ70,"AAAAAHv3fwU=")</f>
        <v>#VALUE!</v>
      </c>
      <c r="G109">
        <f>IF('UP133'!71:71,"AAAAAHv3fwY=",0)</f>
        <v>0</v>
      </c>
      <c r="H109" t="e">
        <f>AND('UP133'!A71,"AAAAAHv3fwc=")</f>
        <v>#VALUE!</v>
      </c>
      <c r="I109" t="e">
        <f>AND('UP133'!B71,"AAAAAHv3fwg=")</f>
        <v>#VALUE!</v>
      </c>
      <c r="J109" t="e">
        <f>AND('UP133'!C71,"AAAAAHv3fwk=")</f>
        <v>#VALUE!</v>
      </c>
      <c r="K109" t="e">
        <f>AND('UP133'!D71,"AAAAAHv3fwo=")</f>
        <v>#VALUE!</v>
      </c>
      <c r="L109" t="e">
        <f>AND('UP133'!E71,"AAAAAHv3fws=")</f>
        <v>#VALUE!</v>
      </c>
      <c r="M109" t="e">
        <f>AND('UP133'!F71,"AAAAAHv3fww=")</f>
        <v>#VALUE!</v>
      </c>
      <c r="N109" t="e">
        <f>AND('UP133'!G71,"AAAAAHv3fw0=")</f>
        <v>#VALUE!</v>
      </c>
      <c r="O109" t="e">
        <f>AND('UP133'!H71,"AAAAAHv3fw4=")</f>
        <v>#VALUE!</v>
      </c>
      <c r="P109" t="e">
        <f>AND('UP133'!I71,"AAAAAHv3fw8=")</f>
        <v>#VALUE!</v>
      </c>
      <c r="Q109" t="e">
        <f>AND('UP133'!J71,"AAAAAHv3fxA=")</f>
        <v>#VALUE!</v>
      </c>
      <c r="R109" t="e">
        <f>AND('UP133'!K71,"AAAAAHv3fxE=")</f>
        <v>#VALUE!</v>
      </c>
      <c r="S109" t="e">
        <f>AND('UP133'!L71,"AAAAAHv3fxI=")</f>
        <v>#VALUE!</v>
      </c>
      <c r="T109" t="e">
        <f>AND('UP133'!M71,"AAAAAHv3fxM=")</f>
        <v>#VALUE!</v>
      </c>
      <c r="U109" t="e">
        <f>AND('UP133'!N71,"AAAAAHv3fxQ=")</f>
        <v>#VALUE!</v>
      </c>
      <c r="V109" t="e">
        <f>AND('UP133'!O71,"AAAAAHv3fxU=")</f>
        <v>#VALUE!</v>
      </c>
      <c r="W109" t="e">
        <f>AND('UP133'!P71,"AAAAAHv3fxY=")</f>
        <v>#VALUE!</v>
      </c>
      <c r="X109" t="e">
        <f>AND('UP133'!Q71,"AAAAAHv3fxc=")</f>
        <v>#VALUE!</v>
      </c>
      <c r="Y109" t="e">
        <f>AND('UP133'!R71,"AAAAAHv3fxg=")</f>
        <v>#VALUE!</v>
      </c>
      <c r="Z109" t="e">
        <f>AND('UP133'!S71,"AAAAAHv3fxk=")</f>
        <v>#VALUE!</v>
      </c>
      <c r="AA109" t="e">
        <f>AND('UP133'!T71,"AAAAAHv3fxo=")</f>
        <v>#VALUE!</v>
      </c>
      <c r="AB109" t="e">
        <f>AND('UP133'!U71,"AAAAAHv3fxs=")</f>
        <v>#VALUE!</v>
      </c>
      <c r="AC109" t="e">
        <f>AND('UP133'!V71,"AAAAAHv3fxw=")</f>
        <v>#VALUE!</v>
      </c>
      <c r="AD109" t="e">
        <f>AND('UP133'!W71,"AAAAAHv3fx0=")</f>
        <v>#VALUE!</v>
      </c>
      <c r="AE109" t="e">
        <f>AND('UP133'!X71,"AAAAAHv3fx4=")</f>
        <v>#VALUE!</v>
      </c>
      <c r="AF109" t="e">
        <f>AND('UP133'!Y71,"AAAAAHv3fx8=")</f>
        <v>#VALUE!</v>
      </c>
      <c r="AG109" t="e">
        <f>AND('UP133'!Z71,"AAAAAHv3fyA=")</f>
        <v>#VALUE!</v>
      </c>
      <c r="AH109" t="e">
        <f>AND('UP133'!AA71,"AAAAAHv3fyE=")</f>
        <v>#VALUE!</v>
      </c>
      <c r="AI109" t="e">
        <f>AND('UP133'!AB71,"AAAAAHv3fyI=")</f>
        <v>#VALUE!</v>
      </c>
      <c r="AJ109" t="e">
        <f>AND('UP133'!AC71,"AAAAAHv3fyM=")</f>
        <v>#VALUE!</v>
      </c>
      <c r="AK109" t="e">
        <f>AND('UP133'!AD71,"AAAAAHv3fyQ=")</f>
        <v>#VALUE!</v>
      </c>
      <c r="AL109" t="e">
        <f>AND('UP133'!AE71,"AAAAAHv3fyU=")</f>
        <v>#VALUE!</v>
      </c>
      <c r="AM109" t="e">
        <f>AND('UP133'!AF71,"AAAAAHv3fyY=")</f>
        <v>#VALUE!</v>
      </c>
      <c r="AN109" t="e">
        <f>AND('UP133'!AG71,"AAAAAHv3fyc=")</f>
        <v>#VALUE!</v>
      </c>
      <c r="AO109" t="e">
        <f>AND('UP133'!AH71,"AAAAAHv3fyg=")</f>
        <v>#VALUE!</v>
      </c>
      <c r="AP109" t="e">
        <f>AND('UP133'!AI71,"AAAAAHv3fyk=")</f>
        <v>#VALUE!</v>
      </c>
      <c r="AQ109" t="e">
        <f>AND('UP133'!AJ71,"AAAAAHv3fyo=")</f>
        <v>#VALUE!</v>
      </c>
      <c r="AR109" t="e">
        <f>AND('UP133'!AK71,"AAAAAHv3fys=")</f>
        <v>#VALUE!</v>
      </c>
      <c r="AS109" t="e">
        <f>AND('UP133'!AL71,"AAAAAHv3fyw=")</f>
        <v>#VALUE!</v>
      </c>
      <c r="AT109" t="e">
        <f>AND('UP133'!AM71,"AAAAAHv3fy0=")</f>
        <v>#VALUE!</v>
      </c>
      <c r="AU109" t="e">
        <f>AND('UP133'!AN71,"AAAAAHv3fy4=")</f>
        <v>#VALUE!</v>
      </c>
      <c r="AV109" t="e">
        <f>AND('UP133'!AO71,"AAAAAHv3fy8=")</f>
        <v>#VALUE!</v>
      </c>
      <c r="AW109" t="e">
        <f>AND('UP133'!AP71,"AAAAAHv3fzA=")</f>
        <v>#VALUE!</v>
      </c>
      <c r="AX109" t="e">
        <f>AND('UP133'!AQ71,"AAAAAHv3fzE=")</f>
        <v>#VALUE!</v>
      </c>
      <c r="AY109" t="e">
        <f>AND('UP133'!AR71,"AAAAAHv3fzI=")</f>
        <v>#VALUE!</v>
      </c>
      <c r="AZ109" t="e">
        <f>AND('UP133'!AS71,"AAAAAHv3fzM=")</f>
        <v>#VALUE!</v>
      </c>
      <c r="BA109" t="e">
        <f>AND('UP133'!AT71,"AAAAAHv3fzQ=")</f>
        <v>#VALUE!</v>
      </c>
      <c r="BB109" t="e">
        <f>AND('UP133'!AU71,"AAAAAHv3fzU=")</f>
        <v>#VALUE!</v>
      </c>
      <c r="BC109" t="e">
        <f>AND('UP133'!AV71,"AAAAAHv3fzY=")</f>
        <v>#VALUE!</v>
      </c>
      <c r="BD109" t="e">
        <f>AND('UP133'!AW71,"AAAAAHv3fzc=")</f>
        <v>#VALUE!</v>
      </c>
      <c r="BE109" t="e">
        <f>AND('UP133'!AX71,"AAAAAHv3fzg=")</f>
        <v>#VALUE!</v>
      </c>
      <c r="BF109" t="e">
        <f>AND('UP133'!AY71,"AAAAAHv3fzk=")</f>
        <v>#VALUE!</v>
      </c>
      <c r="BG109" t="e">
        <f>AND('UP133'!AZ71,"AAAAAHv3fzo=")</f>
        <v>#VALUE!</v>
      </c>
      <c r="BH109" t="e">
        <f>AND('UP133'!BA71,"AAAAAHv3fzs=")</f>
        <v>#VALUE!</v>
      </c>
      <c r="BI109" t="e">
        <f>AND('UP133'!BB71,"AAAAAHv3fzw=")</f>
        <v>#VALUE!</v>
      </c>
      <c r="BJ109" t="e">
        <f>AND('UP133'!BC71,"AAAAAHv3fz0=")</f>
        <v>#VALUE!</v>
      </c>
      <c r="BK109" t="e">
        <f>AND('UP133'!BD71,"AAAAAHv3fz4=")</f>
        <v>#VALUE!</v>
      </c>
      <c r="BL109" t="e">
        <f>AND('UP133'!BE71,"AAAAAHv3fz8=")</f>
        <v>#VALUE!</v>
      </c>
      <c r="BM109" t="e">
        <f>AND('UP133'!BF71,"AAAAAHv3f0A=")</f>
        <v>#VALUE!</v>
      </c>
      <c r="BN109" t="e">
        <f>AND('UP133'!BG71,"AAAAAHv3f0E=")</f>
        <v>#VALUE!</v>
      </c>
      <c r="BO109" t="e">
        <f>AND('UP133'!BH71,"AAAAAHv3f0I=")</f>
        <v>#VALUE!</v>
      </c>
      <c r="BP109" t="e">
        <f>AND('UP133'!BI71,"AAAAAHv3f0M=")</f>
        <v>#VALUE!</v>
      </c>
      <c r="BQ109" t="e">
        <f>AND('UP133'!BJ71,"AAAAAHv3f0Q=")</f>
        <v>#VALUE!</v>
      </c>
      <c r="BR109" t="e">
        <f>AND('UP133'!BK71,"AAAAAHv3f0U=")</f>
        <v>#VALUE!</v>
      </c>
      <c r="BS109" t="e">
        <f>AND('UP133'!BL71,"AAAAAHv3f0Y=")</f>
        <v>#VALUE!</v>
      </c>
      <c r="BT109" t="e">
        <f>AND('UP133'!BM71,"AAAAAHv3f0c=")</f>
        <v>#VALUE!</v>
      </c>
      <c r="BU109" t="e">
        <f>AND('UP133'!BN71,"AAAAAHv3f0g=")</f>
        <v>#VALUE!</v>
      </c>
      <c r="BV109" t="e">
        <f>AND('UP133'!BO71,"AAAAAHv3f0k=")</f>
        <v>#VALUE!</v>
      </c>
      <c r="BW109" t="e">
        <f>AND('UP133'!BP71,"AAAAAHv3f0o=")</f>
        <v>#VALUE!</v>
      </c>
      <c r="BX109" t="e">
        <f>AND('UP133'!BQ71,"AAAAAHv3f0s=")</f>
        <v>#VALUE!</v>
      </c>
      <c r="BY109" t="e">
        <f>AND('UP133'!BR71,"AAAAAHv3f0w=")</f>
        <v>#VALUE!</v>
      </c>
      <c r="BZ109" t="e">
        <f>AND('UP133'!BS71,"AAAAAHv3f00=")</f>
        <v>#VALUE!</v>
      </c>
      <c r="CA109" t="e">
        <f>AND('UP133'!BT71,"AAAAAHv3f04=")</f>
        <v>#VALUE!</v>
      </c>
      <c r="CB109" t="e">
        <f>AND('UP133'!BU71,"AAAAAHv3f08=")</f>
        <v>#VALUE!</v>
      </c>
      <c r="CC109" t="e">
        <f>AND('UP133'!BV71,"AAAAAHv3f1A=")</f>
        <v>#VALUE!</v>
      </c>
      <c r="CD109" t="e">
        <f>AND('UP133'!BW71,"AAAAAHv3f1E=")</f>
        <v>#VALUE!</v>
      </c>
      <c r="CE109" t="e">
        <f>AND('UP133'!BX71,"AAAAAHv3f1I=")</f>
        <v>#VALUE!</v>
      </c>
      <c r="CF109" t="e">
        <f>AND('UP133'!BY71,"AAAAAHv3f1M=")</f>
        <v>#VALUE!</v>
      </c>
      <c r="CG109" t="e">
        <f>AND('UP133'!BZ71,"AAAAAHv3f1Q=")</f>
        <v>#VALUE!</v>
      </c>
      <c r="CH109" t="e">
        <f>AND('UP133'!CA71,"AAAAAHv3f1U=")</f>
        <v>#VALUE!</v>
      </c>
      <c r="CI109" t="e">
        <f>AND('UP133'!CB71,"AAAAAHv3f1Y=")</f>
        <v>#VALUE!</v>
      </c>
      <c r="CJ109" t="e">
        <f>AND('UP133'!CC71,"AAAAAHv3f1c=")</f>
        <v>#VALUE!</v>
      </c>
      <c r="CK109" t="e">
        <f>AND('UP133'!CD71,"AAAAAHv3f1g=")</f>
        <v>#VALUE!</v>
      </c>
      <c r="CL109" t="e">
        <f>AND('UP133'!CE71,"AAAAAHv3f1k=")</f>
        <v>#VALUE!</v>
      </c>
      <c r="CM109" t="e">
        <f>AND('UP133'!CF71,"AAAAAHv3f1o=")</f>
        <v>#VALUE!</v>
      </c>
      <c r="CN109" t="e">
        <f>AND('UP133'!CG71,"AAAAAHv3f1s=")</f>
        <v>#VALUE!</v>
      </c>
      <c r="CO109" t="e">
        <f>AND('UP133'!CH71,"AAAAAHv3f1w=")</f>
        <v>#VALUE!</v>
      </c>
      <c r="CP109" t="e">
        <f>AND('UP133'!CI71,"AAAAAHv3f10=")</f>
        <v>#VALUE!</v>
      </c>
      <c r="CQ109" t="e">
        <f>AND('UP133'!CJ71,"AAAAAHv3f14=")</f>
        <v>#VALUE!</v>
      </c>
      <c r="CR109" t="e">
        <f>AND('UP133'!CK71,"AAAAAHv3f18=")</f>
        <v>#VALUE!</v>
      </c>
      <c r="CS109" t="e">
        <f>AND('UP133'!CL71,"AAAAAHv3f2A=")</f>
        <v>#VALUE!</v>
      </c>
      <c r="CT109" t="e">
        <f>AND('UP133'!CM71,"AAAAAHv3f2E=")</f>
        <v>#VALUE!</v>
      </c>
      <c r="CU109" t="e">
        <f>AND('UP133'!CN71,"AAAAAHv3f2I=")</f>
        <v>#VALUE!</v>
      </c>
      <c r="CV109" t="e">
        <f>AND('UP133'!CO71,"AAAAAHv3f2M=")</f>
        <v>#VALUE!</v>
      </c>
      <c r="CW109" t="e">
        <f>AND('UP133'!CP71,"AAAAAHv3f2Q=")</f>
        <v>#VALUE!</v>
      </c>
      <c r="CX109" t="e">
        <f>AND('UP133'!CQ71,"AAAAAHv3f2U=")</f>
        <v>#VALUE!</v>
      </c>
      <c r="CY109" t="e">
        <f>AND('UP133'!CR71,"AAAAAHv3f2Y=")</f>
        <v>#VALUE!</v>
      </c>
      <c r="CZ109" t="e">
        <f>AND('UP133'!CS71,"AAAAAHv3f2c=")</f>
        <v>#VALUE!</v>
      </c>
      <c r="DA109" t="e">
        <f>AND('UP133'!CT71,"AAAAAHv3f2g=")</f>
        <v>#VALUE!</v>
      </c>
      <c r="DB109" t="e">
        <f>AND('UP133'!CU71,"AAAAAHv3f2k=")</f>
        <v>#VALUE!</v>
      </c>
      <c r="DC109" t="e">
        <f>AND('UP133'!CV71,"AAAAAHv3f2o=")</f>
        <v>#VALUE!</v>
      </c>
      <c r="DD109" t="e">
        <f>AND('UP133'!CW71,"AAAAAHv3f2s=")</f>
        <v>#VALUE!</v>
      </c>
      <c r="DE109" t="e">
        <f>AND('UP133'!CX71,"AAAAAHv3f2w=")</f>
        <v>#VALUE!</v>
      </c>
      <c r="DF109" t="e">
        <f>AND('UP133'!CY71,"AAAAAHv3f20=")</f>
        <v>#VALUE!</v>
      </c>
      <c r="DG109" t="e">
        <f>AND('UP133'!CZ71,"AAAAAHv3f24=")</f>
        <v>#VALUE!</v>
      </c>
      <c r="DH109" t="e">
        <f>AND('UP133'!DA71,"AAAAAHv3f28=")</f>
        <v>#VALUE!</v>
      </c>
      <c r="DI109" t="e">
        <f>AND('UP133'!DB71,"AAAAAHv3f3A=")</f>
        <v>#VALUE!</v>
      </c>
      <c r="DJ109" t="e">
        <f>AND('UP133'!DC71,"AAAAAHv3f3E=")</f>
        <v>#VALUE!</v>
      </c>
      <c r="DK109" t="e">
        <f>AND('UP133'!DD71,"AAAAAHv3f3I=")</f>
        <v>#VALUE!</v>
      </c>
      <c r="DL109" t="e">
        <f>AND('UP133'!DE71,"AAAAAHv3f3M=")</f>
        <v>#VALUE!</v>
      </c>
      <c r="DM109" t="e">
        <f>AND('UP133'!DF71,"AAAAAHv3f3Q=")</f>
        <v>#VALUE!</v>
      </c>
      <c r="DN109" t="e">
        <f>AND('UP133'!DG71,"AAAAAHv3f3U=")</f>
        <v>#VALUE!</v>
      </c>
      <c r="DO109" t="e">
        <f>AND('UP133'!DH71,"AAAAAHv3f3Y=")</f>
        <v>#VALUE!</v>
      </c>
      <c r="DP109" t="e">
        <f>AND('UP133'!DI71,"AAAAAHv3f3c=")</f>
        <v>#VALUE!</v>
      </c>
      <c r="DQ109" t="e">
        <f>AND('UP133'!DJ71,"AAAAAHv3f3g=")</f>
        <v>#VALUE!</v>
      </c>
      <c r="DR109" t="e">
        <f>AND('UP133'!DK71,"AAAAAHv3f3k=")</f>
        <v>#VALUE!</v>
      </c>
      <c r="DS109" t="e">
        <f>AND('UP133'!DL71,"AAAAAHv3f3o=")</f>
        <v>#VALUE!</v>
      </c>
      <c r="DT109" t="e">
        <f>AND('UP133'!DM71,"AAAAAHv3f3s=")</f>
        <v>#VALUE!</v>
      </c>
      <c r="DU109" t="e">
        <f>AND('UP133'!DN71,"AAAAAHv3f3w=")</f>
        <v>#VALUE!</v>
      </c>
      <c r="DV109" t="e">
        <f>AND('UP133'!DO71,"AAAAAHv3f30=")</f>
        <v>#VALUE!</v>
      </c>
      <c r="DW109" t="e">
        <f>AND('UP133'!DP71,"AAAAAHv3f34=")</f>
        <v>#VALUE!</v>
      </c>
      <c r="DX109" t="e">
        <f>AND('UP133'!DQ71,"AAAAAHv3f38=")</f>
        <v>#VALUE!</v>
      </c>
      <c r="DY109" t="e">
        <f>AND('UP133'!DR71,"AAAAAHv3f4A=")</f>
        <v>#VALUE!</v>
      </c>
      <c r="DZ109" t="e">
        <f>AND('UP133'!DS71,"AAAAAHv3f4E=")</f>
        <v>#VALUE!</v>
      </c>
      <c r="EA109" t="e">
        <f>AND('UP133'!DT71,"AAAAAHv3f4I=")</f>
        <v>#VALUE!</v>
      </c>
      <c r="EB109" t="e">
        <f>AND('UP133'!DU71,"AAAAAHv3f4M=")</f>
        <v>#VALUE!</v>
      </c>
      <c r="EC109" t="e">
        <f>AND('UP133'!DV71,"AAAAAHv3f4Q=")</f>
        <v>#VALUE!</v>
      </c>
      <c r="ED109" t="e">
        <f>AND('UP133'!DW71,"AAAAAHv3f4U=")</f>
        <v>#VALUE!</v>
      </c>
      <c r="EE109" t="e">
        <f>AND('UP133'!DX71,"AAAAAHv3f4Y=")</f>
        <v>#VALUE!</v>
      </c>
      <c r="EF109" t="e">
        <f>AND('UP133'!DY71,"AAAAAHv3f4c=")</f>
        <v>#VALUE!</v>
      </c>
      <c r="EG109" t="e">
        <f>AND('UP133'!DZ71,"AAAAAHv3f4g=")</f>
        <v>#VALUE!</v>
      </c>
      <c r="EH109" t="e">
        <f>AND('UP133'!EA71,"AAAAAHv3f4k=")</f>
        <v>#VALUE!</v>
      </c>
      <c r="EI109" t="e">
        <f>AND('UP133'!EB71,"AAAAAHv3f4o=")</f>
        <v>#VALUE!</v>
      </c>
      <c r="EJ109" t="e">
        <f>AND('UP133'!EC71,"AAAAAHv3f4s=")</f>
        <v>#VALUE!</v>
      </c>
      <c r="EK109" t="e">
        <f>AND('UP133'!ED71,"AAAAAHv3f4w=")</f>
        <v>#VALUE!</v>
      </c>
      <c r="EL109" t="e">
        <f>AND('UP133'!EE71,"AAAAAHv3f40=")</f>
        <v>#VALUE!</v>
      </c>
      <c r="EM109" t="e">
        <f>AND('UP133'!EF71,"AAAAAHv3f44=")</f>
        <v>#VALUE!</v>
      </c>
      <c r="EN109" t="e">
        <f>AND('UP133'!EG71,"AAAAAHv3f48=")</f>
        <v>#VALUE!</v>
      </c>
      <c r="EO109" t="e">
        <f>AND('UP133'!EH71,"AAAAAHv3f5A=")</f>
        <v>#VALUE!</v>
      </c>
      <c r="EP109" t="e">
        <f>AND('UP133'!EI71,"AAAAAHv3f5E=")</f>
        <v>#VALUE!</v>
      </c>
      <c r="EQ109" t="e">
        <f>AND('UP133'!EJ71,"AAAAAHv3f5I=")</f>
        <v>#VALUE!</v>
      </c>
      <c r="ER109" t="e">
        <f>AND('UP133'!EK71,"AAAAAHv3f5M=")</f>
        <v>#VALUE!</v>
      </c>
      <c r="ES109" t="e">
        <f>AND('UP133'!EL71,"AAAAAHv3f5Q=")</f>
        <v>#VALUE!</v>
      </c>
      <c r="ET109" t="e">
        <f>AND('UP133'!EM71,"AAAAAHv3f5U=")</f>
        <v>#VALUE!</v>
      </c>
      <c r="EU109" t="e">
        <f>AND('UP133'!EN71,"AAAAAHv3f5Y=")</f>
        <v>#VALUE!</v>
      </c>
      <c r="EV109" t="e">
        <f>AND('UP133'!EO71,"AAAAAHv3f5c=")</f>
        <v>#VALUE!</v>
      </c>
      <c r="EW109" t="e">
        <f>AND('UP133'!EP71,"AAAAAHv3f5g=")</f>
        <v>#VALUE!</v>
      </c>
      <c r="EX109" t="e">
        <f>AND('UP133'!EQ71,"AAAAAHv3f5k=")</f>
        <v>#VALUE!</v>
      </c>
      <c r="EY109" t="e">
        <f>AND('UP133'!ER71,"AAAAAHv3f5o=")</f>
        <v>#VALUE!</v>
      </c>
      <c r="EZ109" t="e">
        <f>AND('UP133'!ES71,"AAAAAHv3f5s=")</f>
        <v>#VALUE!</v>
      </c>
      <c r="FA109" t="e">
        <f>AND('UP133'!ET71,"AAAAAHv3f5w=")</f>
        <v>#VALUE!</v>
      </c>
      <c r="FB109" t="e">
        <f>AND('UP133'!EU71,"AAAAAHv3f50=")</f>
        <v>#VALUE!</v>
      </c>
      <c r="FC109" t="e">
        <f>AND('UP133'!EV71,"AAAAAHv3f54=")</f>
        <v>#VALUE!</v>
      </c>
      <c r="FD109" t="e">
        <f>AND('UP133'!EW71,"AAAAAHv3f58=")</f>
        <v>#VALUE!</v>
      </c>
      <c r="FE109" t="e">
        <f>AND('UP133'!EX71,"AAAAAHv3f6A=")</f>
        <v>#VALUE!</v>
      </c>
      <c r="FF109" t="e">
        <f>AND('UP133'!EY71,"AAAAAHv3f6E=")</f>
        <v>#VALUE!</v>
      </c>
      <c r="FG109" t="e">
        <f>AND('UP133'!EZ71,"AAAAAHv3f6I=")</f>
        <v>#VALUE!</v>
      </c>
      <c r="FH109" t="e">
        <f>AND('UP133'!FA71,"AAAAAHv3f6M=")</f>
        <v>#VALUE!</v>
      </c>
      <c r="FI109" t="e">
        <f>AND('UP133'!FB71,"AAAAAHv3f6Q=")</f>
        <v>#VALUE!</v>
      </c>
      <c r="FJ109" t="e">
        <f>AND('UP133'!FC71,"AAAAAHv3f6U=")</f>
        <v>#VALUE!</v>
      </c>
      <c r="FK109" t="e">
        <f>AND('UP133'!FD71,"AAAAAHv3f6Y=")</f>
        <v>#VALUE!</v>
      </c>
      <c r="FL109" t="e">
        <f>AND('UP133'!FE71,"AAAAAHv3f6c=")</f>
        <v>#VALUE!</v>
      </c>
      <c r="FM109" t="e">
        <f>AND('UP133'!FF71,"AAAAAHv3f6g=")</f>
        <v>#VALUE!</v>
      </c>
      <c r="FN109" t="e">
        <f>AND('UP133'!FG71,"AAAAAHv3f6k=")</f>
        <v>#VALUE!</v>
      </c>
      <c r="FO109" t="e">
        <f>AND('UP133'!FH71,"AAAAAHv3f6o=")</f>
        <v>#VALUE!</v>
      </c>
      <c r="FP109" t="e">
        <f>AND('UP133'!FI71,"AAAAAHv3f6s=")</f>
        <v>#VALUE!</v>
      </c>
      <c r="FQ109" t="e">
        <f>AND('UP133'!FJ71,"AAAAAHv3f6w=")</f>
        <v>#VALUE!</v>
      </c>
      <c r="FR109" t="e">
        <f>AND('UP133'!FK71,"AAAAAHv3f60=")</f>
        <v>#VALUE!</v>
      </c>
      <c r="FS109" t="e">
        <f>AND('UP133'!FL71,"AAAAAHv3f64=")</f>
        <v>#VALUE!</v>
      </c>
      <c r="FT109" t="e">
        <f>AND('UP133'!FM71,"AAAAAHv3f68=")</f>
        <v>#VALUE!</v>
      </c>
      <c r="FU109" t="e">
        <f>AND('UP133'!FN71,"AAAAAHv3f7A=")</f>
        <v>#VALUE!</v>
      </c>
      <c r="FV109" t="e">
        <f>AND('UP133'!FO71,"AAAAAHv3f7E=")</f>
        <v>#VALUE!</v>
      </c>
      <c r="FW109" t="e">
        <f>AND('UP133'!FP71,"AAAAAHv3f7I=")</f>
        <v>#VALUE!</v>
      </c>
      <c r="FX109" t="e">
        <f>AND('UP133'!FQ71,"AAAAAHv3f7M=")</f>
        <v>#VALUE!</v>
      </c>
      <c r="FY109" t="e">
        <f>AND('UP133'!FR71,"AAAAAHv3f7Q=")</f>
        <v>#VALUE!</v>
      </c>
      <c r="FZ109" t="e">
        <f>AND('UP133'!FS71,"AAAAAHv3f7U=")</f>
        <v>#VALUE!</v>
      </c>
      <c r="GA109" t="e">
        <f>AND('UP133'!FT71,"AAAAAHv3f7Y=")</f>
        <v>#VALUE!</v>
      </c>
      <c r="GB109" t="e">
        <f>AND('UP133'!FU71,"AAAAAHv3f7c=")</f>
        <v>#VALUE!</v>
      </c>
      <c r="GC109" t="e">
        <f>AND('UP133'!FV71,"AAAAAHv3f7g=")</f>
        <v>#VALUE!</v>
      </c>
      <c r="GD109" t="e">
        <f>AND('UP133'!FW71,"AAAAAHv3f7k=")</f>
        <v>#VALUE!</v>
      </c>
      <c r="GE109" t="e">
        <f>AND('UP133'!FX71,"AAAAAHv3f7o=")</f>
        <v>#VALUE!</v>
      </c>
      <c r="GF109" t="e">
        <f>AND('UP133'!FY71,"AAAAAHv3f7s=")</f>
        <v>#VALUE!</v>
      </c>
      <c r="GG109" t="e">
        <f>AND('UP133'!FZ71,"AAAAAHv3f7w=")</f>
        <v>#VALUE!</v>
      </c>
      <c r="GH109" t="e">
        <f>AND('UP133'!GA71,"AAAAAHv3f70=")</f>
        <v>#VALUE!</v>
      </c>
      <c r="GI109" t="e">
        <f>AND('UP133'!GB71,"AAAAAHv3f74=")</f>
        <v>#VALUE!</v>
      </c>
      <c r="GJ109" t="e">
        <f>AND('UP133'!GC71,"AAAAAHv3f78=")</f>
        <v>#VALUE!</v>
      </c>
      <c r="GK109" t="e">
        <f>AND('UP133'!GD71,"AAAAAHv3f8A=")</f>
        <v>#VALUE!</v>
      </c>
      <c r="GL109" t="e">
        <f>AND('UP133'!GE71,"AAAAAHv3f8E=")</f>
        <v>#VALUE!</v>
      </c>
      <c r="GM109" t="e">
        <f>AND('UP133'!GF71,"AAAAAHv3f8I=")</f>
        <v>#VALUE!</v>
      </c>
      <c r="GN109" t="e">
        <f>AND('UP133'!GG71,"AAAAAHv3f8M=")</f>
        <v>#VALUE!</v>
      </c>
      <c r="GO109" t="e">
        <f>AND('UP133'!GH71,"AAAAAHv3f8Q=")</f>
        <v>#VALUE!</v>
      </c>
      <c r="GP109" t="e">
        <f>AND('UP133'!GI71,"AAAAAHv3f8U=")</f>
        <v>#VALUE!</v>
      </c>
      <c r="GQ109" t="e">
        <f>AND('UP133'!GJ71,"AAAAAHv3f8Y=")</f>
        <v>#VALUE!</v>
      </c>
      <c r="GR109" t="e">
        <f>AND('UP133'!GK71,"AAAAAHv3f8c=")</f>
        <v>#VALUE!</v>
      </c>
      <c r="GS109" t="e">
        <f>AND('UP133'!GL71,"AAAAAHv3f8g=")</f>
        <v>#VALUE!</v>
      </c>
      <c r="GT109" t="e">
        <f>AND('UP133'!GM71,"AAAAAHv3f8k=")</f>
        <v>#VALUE!</v>
      </c>
      <c r="GU109" t="e">
        <f>AND('UP133'!GN71,"AAAAAHv3f8o=")</f>
        <v>#VALUE!</v>
      </c>
      <c r="GV109" t="e">
        <f>AND('UP133'!GO71,"AAAAAHv3f8s=")</f>
        <v>#VALUE!</v>
      </c>
      <c r="GW109" t="e">
        <f>AND('UP133'!GP71,"AAAAAHv3f8w=")</f>
        <v>#VALUE!</v>
      </c>
      <c r="GX109" t="e">
        <f>AND('UP133'!GQ71,"AAAAAHv3f80=")</f>
        <v>#VALUE!</v>
      </c>
      <c r="GY109" t="e">
        <f>AND('UP133'!GR71,"AAAAAHv3f84=")</f>
        <v>#VALUE!</v>
      </c>
      <c r="GZ109" t="e">
        <f>AND('UP133'!GS71,"AAAAAHv3f88=")</f>
        <v>#VALUE!</v>
      </c>
      <c r="HA109" t="e">
        <f>AND('UP133'!GT71,"AAAAAHv3f9A=")</f>
        <v>#VALUE!</v>
      </c>
      <c r="HB109" t="e">
        <f>AND('UP133'!GU71,"AAAAAHv3f9E=")</f>
        <v>#VALUE!</v>
      </c>
      <c r="HC109" t="e">
        <f>AND('UP133'!GV71,"AAAAAHv3f9I=")</f>
        <v>#VALUE!</v>
      </c>
      <c r="HD109" t="e">
        <f>AND('UP133'!GW71,"AAAAAHv3f9M=")</f>
        <v>#VALUE!</v>
      </c>
      <c r="HE109" t="e">
        <f>AND('UP133'!GX71,"AAAAAHv3f9Q=")</f>
        <v>#VALUE!</v>
      </c>
      <c r="HF109" t="e">
        <f>AND('UP133'!GY71,"AAAAAHv3f9U=")</f>
        <v>#VALUE!</v>
      </c>
      <c r="HG109" t="e">
        <f>AND('UP133'!GZ71,"AAAAAHv3f9Y=")</f>
        <v>#VALUE!</v>
      </c>
      <c r="HH109" t="e">
        <f>AND('UP133'!HA71,"AAAAAHv3f9c=")</f>
        <v>#VALUE!</v>
      </c>
      <c r="HI109" t="e">
        <f>AND('UP133'!HB71,"AAAAAHv3f9g=")</f>
        <v>#VALUE!</v>
      </c>
      <c r="HJ109" t="e">
        <f>AND('UP133'!HC71,"AAAAAHv3f9k=")</f>
        <v>#VALUE!</v>
      </c>
      <c r="HK109" t="e">
        <f>AND('UP133'!HD71,"AAAAAHv3f9o=")</f>
        <v>#VALUE!</v>
      </c>
      <c r="HL109" t="e">
        <f>AND('UP133'!HE71,"AAAAAHv3f9s=")</f>
        <v>#VALUE!</v>
      </c>
      <c r="HM109" t="e">
        <f>AND('UP133'!HF71,"AAAAAHv3f9w=")</f>
        <v>#VALUE!</v>
      </c>
      <c r="HN109" t="e">
        <f>AND('UP133'!HG71,"AAAAAHv3f90=")</f>
        <v>#VALUE!</v>
      </c>
      <c r="HO109" t="e">
        <f>AND('UP133'!HH71,"AAAAAHv3f94=")</f>
        <v>#VALUE!</v>
      </c>
      <c r="HP109" t="e">
        <f>AND('UP133'!HI71,"AAAAAHv3f98=")</f>
        <v>#VALUE!</v>
      </c>
      <c r="HQ109" t="e">
        <f>AND('UP133'!HJ71,"AAAAAHv3f+A=")</f>
        <v>#VALUE!</v>
      </c>
      <c r="HR109" t="e">
        <f>AND('UP133'!HK71,"AAAAAHv3f+E=")</f>
        <v>#VALUE!</v>
      </c>
      <c r="HS109" t="e">
        <f>AND('UP133'!HL71,"AAAAAHv3f+I=")</f>
        <v>#VALUE!</v>
      </c>
      <c r="HT109" t="e">
        <f>AND('UP133'!HM71,"AAAAAHv3f+M=")</f>
        <v>#VALUE!</v>
      </c>
      <c r="HU109" t="e">
        <f>AND('UP133'!HN71,"AAAAAHv3f+Q=")</f>
        <v>#VALUE!</v>
      </c>
      <c r="HV109" t="e">
        <f>AND('UP133'!HO71,"AAAAAHv3f+U=")</f>
        <v>#VALUE!</v>
      </c>
      <c r="HW109" t="e">
        <f>AND('UP133'!HP71,"AAAAAHv3f+Y=")</f>
        <v>#VALUE!</v>
      </c>
      <c r="HX109" t="e">
        <f>AND('UP133'!HQ71,"AAAAAHv3f+c=")</f>
        <v>#VALUE!</v>
      </c>
      <c r="HY109" t="e">
        <f>AND('UP133'!HR71,"AAAAAHv3f+g=")</f>
        <v>#VALUE!</v>
      </c>
      <c r="HZ109" t="e">
        <f>AND('UP133'!HS71,"AAAAAHv3f+k=")</f>
        <v>#VALUE!</v>
      </c>
      <c r="IA109" t="e">
        <f>AND('UP133'!HT71,"AAAAAHv3f+o=")</f>
        <v>#VALUE!</v>
      </c>
      <c r="IB109" t="e">
        <f>AND('UP133'!HU71,"AAAAAHv3f+s=")</f>
        <v>#VALUE!</v>
      </c>
      <c r="IC109" t="e">
        <f>AND('UP133'!HV71,"AAAAAHv3f+w=")</f>
        <v>#VALUE!</v>
      </c>
      <c r="ID109" t="e">
        <f>AND('UP133'!HW71,"AAAAAHv3f+0=")</f>
        <v>#VALUE!</v>
      </c>
      <c r="IE109" t="e">
        <f>AND('UP133'!HX71,"AAAAAHv3f+4=")</f>
        <v>#VALUE!</v>
      </c>
      <c r="IF109" t="e">
        <f>AND('UP133'!HY71,"AAAAAHv3f+8=")</f>
        <v>#VALUE!</v>
      </c>
      <c r="IG109" t="e">
        <f>AND('UP133'!HZ71,"AAAAAHv3f/A=")</f>
        <v>#VALUE!</v>
      </c>
      <c r="IH109" t="e">
        <f>AND('UP133'!IA71,"AAAAAHv3f/E=")</f>
        <v>#VALUE!</v>
      </c>
      <c r="II109" t="e">
        <f>AND('UP133'!IB71,"AAAAAHv3f/I=")</f>
        <v>#VALUE!</v>
      </c>
      <c r="IJ109" t="e">
        <f>AND('UP133'!IC71,"AAAAAHv3f/M=")</f>
        <v>#VALUE!</v>
      </c>
      <c r="IK109" t="e">
        <f>AND('UP133'!ID71,"AAAAAHv3f/Q=")</f>
        <v>#VALUE!</v>
      </c>
      <c r="IL109" t="e">
        <f>AND('UP133'!IE71,"AAAAAHv3f/U=")</f>
        <v>#VALUE!</v>
      </c>
      <c r="IM109" t="e">
        <f>AND('UP133'!IF71,"AAAAAHv3f/Y=")</f>
        <v>#VALUE!</v>
      </c>
      <c r="IN109" t="e">
        <f>AND('UP133'!IG71,"AAAAAHv3f/c=")</f>
        <v>#VALUE!</v>
      </c>
      <c r="IO109" t="e">
        <f>AND('UP133'!IH71,"AAAAAHv3f/g=")</f>
        <v>#VALUE!</v>
      </c>
      <c r="IP109" t="e">
        <f>AND('UP133'!II71,"AAAAAHv3f/k=")</f>
        <v>#VALUE!</v>
      </c>
      <c r="IQ109" t="e">
        <f>AND('UP133'!IJ71,"AAAAAHv3f/o=")</f>
        <v>#VALUE!</v>
      </c>
      <c r="IR109" t="e">
        <f>AND('UP133'!IK71,"AAAAAHv3f/s=")</f>
        <v>#VALUE!</v>
      </c>
      <c r="IS109" t="e">
        <f>AND('UP133'!IL71,"AAAAAHv3f/w=")</f>
        <v>#VALUE!</v>
      </c>
      <c r="IT109" t="e">
        <f>AND('UP133'!IM71,"AAAAAHv3f/0=")</f>
        <v>#VALUE!</v>
      </c>
      <c r="IU109" t="e">
        <f>AND('UP133'!IN71,"AAAAAHv3f/4=")</f>
        <v>#VALUE!</v>
      </c>
      <c r="IV109" t="e">
        <f>AND('UP133'!IO71,"AAAAAHv3f/8=")</f>
        <v>#VALUE!</v>
      </c>
    </row>
    <row r="110" spans="1:256">
      <c r="A110" t="e">
        <f>AND('UP133'!IP71,"AAAAAGvP7wA=")</f>
        <v>#VALUE!</v>
      </c>
      <c r="B110" t="e">
        <f>AND('UP133'!IQ71,"AAAAAGvP7wE=")</f>
        <v>#VALUE!</v>
      </c>
      <c r="C110" t="e">
        <f>IF('UP133'!72:72,"AAAAAGvP7wI=",0)</f>
        <v>#VALUE!</v>
      </c>
      <c r="D110" t="e">
        <f>AND('UP133'!A72,"AAAAAGvP7wM=")</f>
        <v>#VALUE!</v>
      </c>
      <c r="E110" t="e">
        <f>AND('UP133'!B72,"AAAAAGvP7wQ=")</f>
        <v>#VALUE!</v>
      </c>
      <c r="F110" t="e">
        <f>AND('UP133'!C72,"AAAAAGvP7wU=")</f>
        <v>#VALUE!</v>
      </c>
      <c r="G110" t="e">
        <f>AND('UP133'!D72,"AAAAAGvP7wY=")</f>
        <v>#VALUE!</v>
      </c>
      <c r="H110" t="e">
        <f>AND('UP133'!E72,"AAAAAGvP7wc=")</f>
        <v>#VALUE!</v>
      </c>
      <c r="I110" t="e">
        <f>AND('UP133'!F72,"AAAAAGvP7wg=")</f>
        <v>#VALUE!</v>
      </c>
      <c r="J110" t="e">
        <f>AND('UP133'!G72,"AAAAAGvP7wk=")</f>
        <v>#VALUE!</v>
      </c>
      <c r="K110" t="e">
        <f>AND('UP133'!H72,"AAAAAGvP7wo=")</f>
        <v>#VALUE!</v>
      </c>
      <c r="L110" t="e">
        <f>AND('UP133'!I72,"AAAAAGvP7ws=")</f>
        <v>#VALUE!</v>
      </c>
      <c r="M110" t="e">
        <f>AND('UP133'!J72,"AAAAAGvP7ww=")</f>
        <v>#VALUE!</v>
      </c>
      <c r="N110" t="e">
        <f>AND('UP133'!K72,"AAAAAGvP7w0=")</f>
        <v>#VALUE!</v>
      </c>
      <c r="O110" t="e">
        <f>AND('UP133'!L72,"AAAAAGvP7w4=")</f>
        <v>#VALUE!</v>
      </c>
      <c r="P110" t="e">
        <f>AND('UP133'!M72,"AAAAAGvP7w8=")</f>
        <v>#VALUE!</v>
      </c>
      <c r="Q110" t="e">
        <f>AND('UP133'!N72,"AAAAAGvP7xA=")</f>
        <v>#VALUE!</v>
      </c>
      <c r="R110" t="e">
        <f>AND('UP133'!O72,"AAAAAGvP7xE=")</f>
        <v>#VALUE!</v>
      </c>
      <c r="S110" t="e">
        <f>AND('UP133'!P72,"AAAAAGvP7xI=")</f>
        <v>#VALUE!</v>
      </c>
      <c r="T110" t="e">
        <f>AND('UP133'!Q72,"AAAAAGvP7xM=")</f>
        <v>#VALUE!</v>
      </c>
      <c r="U110" t="e">
        <f>AND('UP133'!R72,"AAAAAGvP7xQ=")</f>
        <v>#VALUE!</v>
      </c>
      <c r="V110" t="e">
        <f>AND('UP133'!S72,"AAAAAGvP7xU=")</f>
        <v>#VALUE!</v>
      </c>
      <c r="W110" t="e">
        <f>AND('UP133'!T72,"AAAAAGvP7xY=")</f>
        <v>#VALUE!</v>
      </c>
      <c r="X110" t="e">
        <f>AND('UP133'!U72,"AAAAAGvP7xc=")</f>
        <v>#VALUE!</v>
      </c>
      <c r="Y110" t="e">
        <f>AND('UP133'!V72,"AAAAAGvP7xg=")</f>
        <v>#VALUE!</v>
      </c>
      <c r="Z110" t="e">
        <f>AND('UP133'!W72,"AAAAAGvP7xk=")</f>
        <v>#VALUE!</v>
      </c>
      <c r="AA110" t="e">
        <f>AND('UP133'!X72,"AAAAAGvP7xo=")</f>
        <v>#VALUE!</v>
      </c>
      <c r="AB110" t="e">
        <f>AND('UP133'!Y72,"AAAAAGvP7xs=")</f>
        <v>#VALUE!</v>
      </c>
      <c r="AC110" t="e">
        <f>AND('UP133'!Z72,"AAAAAGvP7xw=")</f>
        <v>#VALUE!</v>
      </c>
      <c r="AD110" t="e">
        <f>AND('UP133'!AA72,"AAAAAGvP7x0=")</f>
        <v>#VALUE!</v>
      </c>
      <c r="AE110" t="e">
        <f>AND('UP133'!AB72,"AAAAAGvP7x4=")</f>
        <v>#VALUE!</v>
      </c>
      <c r="AF110" t="e">
        <f>AND('UP133'!AC72,"AAAAAGvP7x8=")</f>
        <v>#VALUE!</v>
      </c>
      <c r="AG110" t="e">
        <f>AND('UP133'!AD72,"AAAAAGvP7yA=")</f>
        <v>#VALUE!</v>
      </c>
      <c r="AH110" t="e">
        <f>AND('UP133'!AE72,"AAAAAGvP7yE=")</f>
        <v>#VALUE!</v>
      </c>
      <c r="AI110" t="e">
        <f>AND('UP133'!AF72,"AAAAAGvP7yI=")</f>
        <v>#VALUE!</v>
      </c>
      <c r="AJ110" t="e">
        <f>AND('UP133'!AG72,"AAAAAGvP7yM=")</f>
        <v>#VALUE!</v>
      </c>
      <c r="AK110" t="e">
        <f>AND('UP133'!AH72,"AAAAAGvP7yQ=")</f>
        <v>#VALUE!</v>
      </c>
      <c r="AL110" t="e">
        <f>AND('UP133'!AI72,"AAAAAGvP7yU=")</f>
        <v>#VALUE!</v>
      </c>
      <c r="AM110" t="e">
        <f>AND('UP133'!AJ72,"AAAAAGvP7yY=")</f>
        <v>#VALUE!</v>
      </c>
      <c r="AN110" t="e">
        <f>AND('UP133'!AK72,"AAAAAGvP7yc=")</f>
        <v>#VALUE!</v>
      </c>
      <c r="AO110" t="e">
        <f>AND('UP133'!AL72,"AAAAAGvP7yg=")</f>
        <v>#VALUE!</v>
      </c>
      <c r="AP110" t="e">
        <f>AND('UP133'!AM72,"AAAAAGvP7yk=")</f>
        <v>#VALUE!</v>
      </c>
      <c r="AQ110" t="e">
        <f>AND('UP133'!AN72,"AAAAAGvP7yo=")</f>
        <v>#VALUE!</v>
      </c>
      <c r="AR110" t="e">
        <f>AND('UP133'!AO72,"AAAAAGvP7ys=")</f>
        <v>#VALUE!</v>
      </c>
      <c r="AS110" t="e">
        <f>AND('UP133'!AP72,"AAAAAGvP7yw=")</f>
        <v>#VALUE!</v>
      </c>
      <c r="AT110" t="e">
        <f>AND('UP133'!AQ72,"AAAAAGvP7y0=")</f>
        <v>#VALUE!</v>
      </c>
      <c r="AU110" t="e">
        <f>AND('UP133'!AR72,"AAAAAGvP7y4=")</f>
        <v>#VALUE!</v>
      </c>
      <c r="AV110" t="e">
        <f>AND('UP133'!AS72,"AAAAAGvP7y8=")</f>
        <v>#VALUE!</v>
      </c>
      <c r="AW110" t="e">
        <f>AND('UP133'!AT72,"AAAAAGvP7zA=")</f>
        <v>#VALUE!</v>
      </c>
      <c r="AX110" t="e">
        <f>AND('UP133'!AU72,"AAAAAGvP7zE=")</f>
        <v>#VALUE!</v>
      </c>
      <c r="AY110" t="e">
        <f>AND('UP133'!AV72,"AAAAAGvP7zI=")</f>
        <v>#VALUE!</v>
      </c>
      <c r="AZ110" t="e">
        <f>AND('UP133'!AW72,"AAAAAGvP7zM=")</f>
        <v>#VALUE!</v>
      </c>
      <c r="BA110" t="e">
        <f>AND('UP133'!AX72,"AAAAAGvP7zQ=")</f>
        <v>#VALUE!</v>
      </c>
      <c r="BB110" t="e">
        <f>AND('UP133'!AY72,"AAAAAGvP7zU=")</f>
        <v>#VALUE!</v>
      </c>
      <c r="BC110" t="e">
        <f>AND('UP133'!AZ72,"AAAAAGvP7zY=")</f>
        <v>#VALUE!</v>
      </c>
      <c r="BD110" t="e">
        <f>AND('UP133'!BA72,"AAAAAGvP7zc=")</f>
        <v>#VALUE!</v>
      </c>
      <c r="BE110" t="e">
        <f>AND('UP133'!BB72,"AAAAAGvP7zg=")</f>
        <v>#VALUE!</v>
      </c>
      <c r="BF110" t="e">
        <f>AND('UP133'!BC72,"AAAAAGvP7zk=")</f>
        <v>#VALUE!</v>
      </c>
      <c r="BG110" t="e">
        <f>AND('UP133'!BD72,"AAAAAGvP7zo=")</f>
        <v>#VALUE!</v>
      </c>
      <c r="BH110" t="e">
        <f>AND('UP133'!BE72,"AAAAAGvP7zs=")</f>
        <v>#VALUE!</v>
      </c>
      <c r="BI110" t="e">
        <f>AND('UP133'!BF72,"AAAAAGvP7zw=")</f>
        <v>#VALUE!</v>
      </c>
      <c r="BJ110" t="e">
        <f>AND('UP133'!BG72,"AAAAAGvP7z0=")</f>
        <v>#VALUE!</v>
      </c>
      <c r="BK110" t="e">
        <f>AND('UP133'!BH72,"AAAAAGvP7z4=")</f>
        <v>#VALUE!</v>
      </c>
      <c r="BL110" t="e">
        <f>AND('UP133'!BI72,"AAAAAGvP7z8=")</f>
        <v>#VALUE!</v>
      </c>
      <c r="BM110" t="e">
        <f>AND('UP133'!BJ72,"AAAAAGvP70A=")</f>
        <v>#VALUE!</v>
      </c>
      <c r="BN110" t="e">
        <f>AND('UP133'!BK72,"AAAAAGvP70E=")</f>
        <v>#VALUE!</v>
      </c>
      <c r="BO110" t="e">
        <f>AND('UP133'!BL72,"AAAAAGvP70I=")</f>
        <v>#VALUE!</v>
      </c>
      <c r="BP110" t="e">
        <f>AND('UP133'!BM72,"AAAAAGvP70M=")</f>
        <v>#VALUE!</v>
      </c>
      <c r="BQ110" t="e">
        <f>AND('UP133'!BN72,"AAAAAGvP70Q=")</f>
        <v>#VALUE!</v>
      </c>
      <c r="BR110" t="e">
        <f>AND('UP133'!BO72,"AAAAAGvP70U=")</f>
        <v>#VALUE!</v>
      </c>
      <c r="BS110" t="e">
        <f>AND('UP133'!BP72,"AAAAAGvP70Y=")</f>
        <v>#VALUE!</v>
      </c>
      <c r="BT110" t="e">
        <f>AND('UP133'!BQ72,"AAAAAGvP70c=")</f>
        <v>#VALUE!</v>
      </c>
      <c r="BU110" t="e">
        <f>AND('UP133'!BR72,"AAAAAGvP70g=")</f>
        <v>#VALUE!</v>
      </c>
      <c r="BV110" t="e">
        <f>AND('UP133'!BS72,"AAAAAGvP70k=")</f>
        <v>#VALUE!</v>
      </c>
      <c r="BW110" t="e">
        <f>AND('UP133'!BT72,"AAAAAGvP70o=")</f>
        <v>#VALUE!</v>
      </c>
      <c r="BX110" t="e">
        <f>AND('UP133'!BU72,"AAAAAGvP70s=")</f>
        <v>#VALUE!</v>
      </c>
      <c r="BY110" t="e">
        <f>AND('UP133'!BV72,"AAAAAGvP70w=")</f>
        <v>#VALUE!</v>
      </c>
      <c r="BZ110" t="e">
        <f>AND('UP133'!BW72,"AAAAAGvP700=")</f>
        <v>#VALUE!</v>
      </c>
      <c r="CA110" t="e">
        <f>AND('UP133'!BX72,"AAAAAGvP704=")</f>
        <v>#VALUE!</v>
      </c>
      <c r="CB110" t="e">
        <f>AND('UP133'!BY72,"AAAAAGvP708=")</f>
        <v>#VALUE!</v>
      </c>
      <c r="CC110" t="e">
        <f>AND('UP133'!BZ72,"AAAAAGvP71A=")</f>
        <v>#VALUE!</v>
      </c>
      <c r="CD110" t="e">
        <f>AND('UP133'!CA72,"AAAAAGvP71E=")</f>
        <v>#VALUE!</v>
      </c>
      <c r="CE110" t="e">
        <f>AND('UP133'!CB72,"AAAAAGvP71I=")</f>
        <v>#VALUE!</v>
      </c>
      <c r="CF110" t="e">
        <f>AND('UP133'!CC72,"AAAAAGvP71M=")</f>
        <v>#VALUE!</v>
      </c>
      <c r="CG110" t="e">
        <f>AND('UP133'!CD72,"AAAAAGvP71Q=")</f>
        <v>#VALUE!</v>
      </c>
      <c r="CH110" t="e">
        <f>AND('UP133'!CE72,"AAAAAGvP71U=")</f>
        <v>#VALUE!</v>
      </c>
      <c r="CI110" t="e">
        <f>AND('UP133'!CF72,"AAAAAGvP71Y=")</f>
        <v>#VALUE!</v>
      </c>
      <c r="CJ110" t="e">
        <f>AND('UP133'!CG72,"AAAAAGvP71c=")</f>
        <v>#VALUE!</v>
      </c>
      <c r="CK110" t="e">
        <f>AND('UP133'!CH72,"AAAAAGvP71g=")</f>
        <v>#VALUE!</v>
      </c>
      <c r="CL110" t="e">
        <f>AND('UP133'!CI72,"AAAAAGvP71k=")</f>
        <v>#VALUE!</v>
      </c>
      <c r="CM110" t="e">
        <f>AND('UP133'!CJ72,"AAAAAGvP71o=")</f>
        <v>#VALUE!</v>
      </c>
      <c r="CN110" t="e">
        <f>AND('UP133'!CK72,"AAAAAGvP71s=")</f>
        <v>#VALUE!</v>
      </c>
      <c r="CO110" t="e">
        <f>AND('UP133'!CL72,"AAAAAGvP71w=")</f>
        <v>#VALUE!</v>
      </c>
      <c r="CP110" t="e">
        <f>AND('UP133'!CM72,"AAAAAGvP710=")</f>
        <v>#VALUE!</v>
      </c>
      <c r="CQ110" t="e">
        <f>AND('UP133'!CN72,"AAAAAGvP714=")</f>
        <v>#VALUE!</v>
      </c>
      <c r="CR110" t="e">
        <f>AND('UP133'!CO72,"AAAAAGvP718=")</f>
        <v>#VALUE!</v>
      </c>
      <c r="CS110" t="e">
        <f>AND('UP133'!CP72,"AAAAAGvP72A=")</f>
        <v>#VALUE!</v>
      </c>
      <c r="CT110" t="e">
        <f>AND('UP133'!CQ72,"AAAAAGvP72E=")</f>
        <v>#VALUE!</v>
      </c>
      <c r="CU110" t="e">
        <f>AND('UP133'!CR72,"AAAAAGvP72I=")</f>
        <v>#VALUE!</v>
      </c>
      <c r="CV110" t="e">
        <f>AND('UP133'!CS72,"AAAAAGvP72M=")</f>
        <v>#VALUE!</v>
      </c>
      <c r="CW110" t="e">
        <f>AND('UP133'!CT72,"AAAAAGvP72Q=")</f>
        <v>#VALUE!</v>
      </c>
      <c r="CX110" t="e">
        <f>AND('UP133'!CU72,"AAAAAGvP72U=")</f>
        <v>#VALUE!</v>
      </c>
      <c r="CY110" t="e">
        <f>AND('UP133'!CV72,"AAAAAGvP72Y=")</f>
        <v>#VALUE!</v>
      </c>
      <c r="CZ110" t="e">
        <f>AND('UP133'!CW72,"AAAAAGvP72c=")</f>
        <v>#VALUE!</v>
      </c>
      <c r="DA110" t="e">
        <f>AND('UP133'!CX72,"AAAAAGvP72g=")</f>
        <v>#VALUE!</v>
      </c>
      <c r="DB110" t="e">
        <f>AND('UP133'!CY72,"AAAAAGvP72k=")</f>
        <v>#VALUE!</v>
      </c>
      <c r="DC110" t="e">
        <f>AND('UP133'!CZ72,"AAAAAGvP72o=")</f>
        <v>#VALUE!</v>
      </c>
      <c r="DD110" t="e">
        <f>AND('UP133'!DA72,"AAAAAGvP72s=")</f>
        <v>#VALUE!</v>
      </c>
      <c r="DE110" t="e">
        <f>AND('UP133'!DB72,"AAAAAGvP72w=")</f>
        <v>#VALUE!</v>
      </c>
      <c r="DF110" t="e">
        <f>AND('UP133'!DC72,"AAAAAGvP720=")</f>
        <v>#VALUE!</v>
      </c>
      <c r="DG110" t="e">
        <f>AND('UP133'!DD72,"AAAAAGvP724=")</f>
        <v>#VALUE!</v>
      </c>
      <c r="DH110" t="e">
        <f>AND('UP133'!DE72,"AAAAAGvP728=")</f>
        <v>#VALUE!</v>
      </c>
      <c r="DI110" t="e">
        <f>AND('UP133'!DF72,"AAAAAGvP73A=")</f>
        <v>#VALUE!</v>
      </c>
      <c r="DJ110" t="e">
        <f>AND('UP133'!DG72,"AAAAAGvP73E=")</f>
        <v>#VALUE!</v>
      </c>
      <c r="DK110" t="e">
        <f>AND('UP133'!DH72,"AAAAAGvP73I=")</f>
        <v>#VALUE!</v>
      </c>
      <c r="DL110" t="e">
        <f>AND('UP133'!DI72,"AAAAAGvP73M=")</f>
        <v>#VALUE!</v>
      </c>
      <c r="DM110" t="e">
        <f>AND('UP133'!DJ72,"AAAAAGvP73Q=")</f>
        <v>#VALUE!</v>
      </c>
      <c r="DN110" t="e">
        <f>AND('UP133'!DK72,"AAAAAGvP73U=")</f>
        <v>#VALUE!</v>
      </c>
      <c r="DO110" t="e">
        <f>AND('UP133'!DL72,"AAAAAGvP73Y=")</f>
        <v>#VALUE!</v>
      </c>
      <c r="DP110" t="e">
        <f>AND('UP133'!DM72,"AAAAAGvP73c=")</f>
        <v>#VALUE!</v>
      </c>
      <c r="DQ110" t="e">
        <f>AND('UP133'!DN72,"AAAAAGvP73g=")</f>
        <v>#VALUE!</v>
      </c>
      <c r="DR110" t="e">
        <f>AND('UP133'!DO72,"AAAAAGvP73k=")</f>
        <v>#VALUE!</v>
      </c>
      <c r="DS110" t="e">
        <f>AND('UP133'!DP72,"AAAAAGvP73o=")</f>
        <v>#VALUE!</v>
      </c>
      <c r="DT110" t="e">
        <f>AND('UP133'!DQ72,"AAAAAGvP73s=")</f>
        <v>#VALUE!</v>
      </c>
      <c r="DU110" t="e">
        <f>AND('UP133'!DR72,"AAAAAGvP73w=")</f>
        <v>#VALUE!</v>
      </c>
      <c r="DV110" t="e">
        <f>AND('UP133'!DS72,"AAAAAGvP730=")</f>
        <v>#VALUE!</v>
      </c>
      <c r="DW110" t="e">
        <f>AND('UP133'!DT72,"AAAAAGvP734=")</f>
        <v>#VALUE!</v>
      </c>
      <c r="DX110" t="e">
        <f>AND('UP133'!DU72,"AAAAAGvP738=")</f>
        <v>#VALUE!</v>
      </c>
      <c r="DY110" t="e">
        <f>AND('UP133'!DV72,"AAAAAGvP74A=")</f>
        <v>#VALUE!</v>
      </c>
      <c r="DZ110" t="e">
        <f>AND('UP133'!DW72,"AAAAAGvP74E=")</f>
        <v>#VALUE!</v>
      </c>
      <c r="EA110" t="e">
        <f>AND('UP133'!DX72,"AAAAAGvP74I=")</f>
        <v>#VALUE!</v>
      </c>
      <c r="EB110" t="e">
        <f>AND('UP133'!DY72,"AAAAAGvP74M=")</f>
        <v>#VALUE!</v>
      </c>
      <c r="EC110" t="e">
        <f>AND('UP133'!DZ72,"AAAAAGvP74Q=")</f>
        <v>#VALUE!</v>
      </c>
      <c r="ED110" t="e">
        <f>AND('UP133'!EA72,"AAAAAGvP74U=")</f>
        <v>#VALUE!</v>
      </c>
      <c r="EE110" t="e">
        <f>AND('UP133'!EB72,"AAAAAGvP74Y=")</f>
        <v>#VALUE!</v>
      </c>
      <c r="EF110" t="e">
        <f>AND('UP133'!EC72,"AAAAAGvP74c=")</f>
        <v>#VALUE!</v>
      </c>
      <c r="EG110" t="e">
        <f>AND('UP133'!ED72,"AAAAAGvP74g=")</f>
        <v>#VALUE!</v>
      </c>
      <c r="EH110" t="e">
        <f>AND('UP133'!EE72,"AAAAAGvP74k=")</f>
        <v>#VALUE!</v>
      </c>
      <c r="EI110" t="e">
        <f>AND('UP133'!EF72,"AAAAAGvP74o=")</f>
        <v>#VALUE!</v>
      </c>
      <c r="EJ110" t="e">
        <f>AND('UP133'!EG72,"AAAAAGvP74s=")</f>
        <v>#VALUE!</v>
      </c>
      <c r="EK110" t="e">
        <f>AND('UP133'!EH72,"AAAAAGvP74w=")</f>
        <v>#VALUE!</v>
      </c>
      <c r="EL110" t="e">
        <f>AND('UP133'!EI72,"AAAAAGvP740=")</f>
        <v>#VALUE!</v>
      </c>
      <c r="EM110" t="e">
        <f>AND('UP133'!EJ72,"AAAAAGvP744=")</f>
        <v>#VALUE!</v>
      </c>
      <c r="EN110" t="e">
        <f>AND('UP133'!EK72,"AAAAAGvP748=")</f>
        <v>#VALUE!</v>
      </c>
      <c r="EO110" t="e">
        <f>AND('UP133'!EL72,"AAAAAGvP75A=")</f>
        <v>#VALUE!</v>
      </c>
      <c r="EP110" t="e">
        <f>AND('UP133'!EM72,"AAAAAGvP75E=")</f>
        <v>#VALUE!</v>
      </c>
      <c r="EQ110" t="e">
        <f>AND('UP133'!EN72,"AAAAAGvP75I=")</f>
        <v>#VALUE!</v>
      </c>
      <c r="ER110" t="e">
        <f>AND('UP133'!EO72,"AAAAAGvP75M=")</f>
        <v>#VALUE!</v>
      </c>
      <c r="ES110" t="e">
        <f>AND('UP133'!EP72,"AAAAAGvP75Q=")</f>
        <v>#VALUE!</v>
      </c>
      <c r="ET110" t="e">
        <f>AND('UP133'!EQ72,"AAAAAGvP75U=")</f>
        <v>#VALUE!</v>
      </c>
      <c r="EU110" t="e">
        <f>AND('UP133'!ER72,"AAAAAGvP75Y=")</f>
        <v>#VALUE!</v>
      </c>
      <c r="EV110" t="e">
        <f>AND('UP133'!ES72,"AAAAAGvP75c=")</f>
        <v>#VALUE!</v>
      </c>
      <c r="EW110" t="e">
        <f>AND('UP133'!ET72,"AAAAAGvP75g=")</f>
        <v>#VALUE!</v>
      </c>
      <c r="EX110" t="e">
        <f>AND('UP133'!EU72,"AAAAAGvP75k=")</f>
        <v>#VALUE!</v>
      </c>
      <c r="EY110" t="e">
        <f>AND('UP133'!EV72,"AAAAAGvP75o=")</f>
        <v>#VALUE!</v>
      </c>
      <c r="EZ110" t="e">
        <f>AND('UP133'!EW72,"AAAAAGvP75s=")</f>
        <v>#VALUE!</v>
      </c>
      <c r="FA110" t="e">
        <f>AND('UP133'!EX72,"AAAAAGvP75w=")</f>
        <v>#VALUE!</v>
      </c>
      <c r="FB110" t="e">
        <f>AND('UP133'!EY72,"AAAAAGvP750=")</f>
        <v>#VALUE!</v>
      </c>
      <c r="FC110" t="e">
        <f>AND('UP133'!EZ72,"AAAAAGvP754=")</f>
        <v>#VALUE!</v>
      </c>
      <c r="FD110" t="e">
        <f>AND('UP133'!FA72,"AAAAAGvP758=")</f>
        <v>#VALUE!</v>
      </c>
      <c r="FE110" t="e">
        <f>AND('UP133'!FB72,"AAAAAGvP76A=")</f>
        <v>#VALUE!</v>
      </c>
      <c r="FF110" t="e">
        <f>AND('UP133'!FC72,"AAAAAGvP76E=")</f>
        <v>#VALUE!</v>
      </c>
      <c r="FG110" t="e">
        <f>AND('UP133'!FD72,"AAAAAGvP76I=")</f>
        <v>#VALUE!</v>
      </c>
      <c r="FH110" t="e">
        <f>AND('UP133'!FE72,"AAAAAGvP76M=")</f>
        <v>#VALUE!</v>
      </c>
      <c r="FI110" t="e">
        <f>AND('UP133'!FF72,"AAAAAGvP76Q=")</f>
        <v>#VALUE!</v>
      </c>
      <c r="FJ110" t="e">
        <f>AND('UP133'!FG72,"AAAAAGvP76U=")</f>
        <v>#VALUE!</v>
      </c>
      <c r="FK110" t="e">
        <f>AND('UP133'!FH72,"AAAAAGvP76Y=")</f>
        <v>#VALUE!</v>
      </c>
      <c r="FL110" t="e">
        <f>AND('UP133'!FI72,"AAAAAGvP76c=")</f>
        <v>#VALUE!</v>
      </c>
      <c r="FM110" t="e">
        <f>AND('UP133'!FJ72,"AAAAAGvP76g=")</f>
        <v>#VALUE!</v>
      </c>
      <c r="FN110" t="e">
        <f>AND('UP133'!FK72,"AAAAAGvP76k=")</f>
        <v>#VALUE!</v>
      </c>
      <c r="FO110" t="e">
        <f>AND('UP133'!FL72,"AAAAAGvP76o=")</f>
        <v>#VALUE!</v>
      </c>
      <c r="FP110" t="e">
        <f>AND('UP133'!FM72,"AAAAAGvP76s=")</f>
        <v>#VALUE!</v>
      </c>
      <c r="FQ110" t="e">
        <f>AND('UP133'!FN72,"AAAAAGvP76w=")</f>
        <v>#VALUE!</v>
      </c>
      <c r="FR110" t="e">
        <f>AND('UP133'!FO72,"AAAAAGvP760=")</f>
        <v>#VALUE!</v>
      </c>
      <c r="FS110" t="e">
        <f>AND('UP133'!FP72,"AAAAAGvP764=")</f>
        <v>#VALUE!</v>
      </c>
      <c r="FT110" t="e">
        <f>AND('UP133'!FQ72,"AAAAAGvP768=")</f>
        <v>#VALUE!</v>
      </c>
      <c r="FU110" t="e">
        <f>AND('UP133'!FR72,"AAAAAGvP77A=")</f>
        <v>#VALUE!</v>
      </c>
      <c r="FV110" t="e">
        <f>AND('UP133'!FS72,"AAAAAGvP77E=")</f>
        <v>#VALUE!</v>
      </c>
      <c r="FW110" t="e">
        <f>AND('UP133'!FT72,"AAAAAGvP77I=")</f>
        <v>#VALUE!</v>
      </c>
      <c r="FX110" t="e">
        <f>AND('UP133'!FU72,"AAAAAGvP77M=")</f>
        <v>#VALUE!</v>
      </c>
      <c r="FY110" t="e">
        <f>AND('UP133'!FV72,"AAAAAGvP77Q=")</f>
        <v>#VALUE!</v>
      </c>
      <c r="FZ110" t="e">
        <f>AND('UP133'!FW72,"AAAAAGvP77U=")</f>
        <v>#VALUE!</v>
      </c>
      <c r="GA110" t="e">
        <f>AND('UP133'!FX72,"AAAAAGvP77Y=")</f>
        <v>#VALUE!</v>
      </c>
      <c r="GB110" t="e">
        <f>AND('UP133'!FY72,"AAAAAGvP77c=")</f>
        <v>#VALUE!</v>
      </c>
      <c r="GC110" t="e">
        <f>AND('UP133'!FZ72,"AAAAAGvP77g=")</f>
        <v>#VALUE!</v>
      </c>
      <c r="GD110" t="e">
        <f>AND('UP133'!GA72,"AAAAAGvP77k=")</f>
        <v>#VALUE!</v>
      </c>
      <c r="GE110" t="e">
        <f>AND('UP133'!GB72,"AAAAAGvP77o=")</f>
        <v>#VALUE!</v>
      </c>
      <c r="GF110" t="e">
        <f>AND('UP133'!GC72,"AAAAAGvP77s=")</f>
        <v>#VALUE!</v>
      </c>
      <c r="GG110" t="e">
        <f>AND('UP133'!GD72,"AAAAAGvP77w=")</f>
        <v>#VALUE!</v>
      </c>
      <c r="GH110" t="e">
        <f>AND('UP133'!GE72,"AAAAAGvP770=")</f>
        <v>#VALUE!</v>
      </c>
      <c r="GI110" t="e">
        <f>AND('UP133'!GF72,"AAAAAGvP774=")</f>
        <v>#VALUE!</v>
      </c>
      <c r="GJ110" t="e">
        <f>AND('UP133'!GG72,"AAAAAGvP778=")</f>
        <v>#VALUE!</v>
      </c>
      <c r="GK110" t="e">
        <f>AND('UP133'!GH72,"AAAAAGvP78A=")</f>
        <v>#VALUE!</v>
      </c>
      <c r="GL110" t="e">
        <f>AND('UP133'!GI72,"AAAAAGvP78E=")</f>
        <v>#VALUE!</v>
      </c>
      <c r="GM110" t="e">
        <f>AND('UP133'!GJ72,"AAAAAGvP78I=")</f>
        <v>#VALUE!</v>
      </c>
      <c r="GN110" t="e">
        <f>AND('UP133'!GK72,"AAAAAGvP78M=")</f>
        <v>#VALUE!</v>
      </c>
      <c r="GO110" t="e">
        <f>AND('UP133'!GL72,"AAAAAGvP78Q=")</f>
        <v>#VALUE!</v>
      </c>
      <c r="GP110" t="e">
        <f>AND('UP133'!GM72,"AAAAAGvP78U=")</f>
        <v>#VALUE!</v>
      </c>
      <c r="GQ110" t="e">
        <f>AND('UP133'!GN72,"AAAAAGvP78Y=")</f>
        <v>#VALUE!</v>
      </c>
      <c r="GR110" t="e">
        <f>AND('UP133'!GO72,"AAAAAGvP78c=")</f>
        <v>#VALUE!</v>
      </c>
      <c r="GS110" t="e">
        <f>AND('UP133'!GP72,"AAAAAGvP78g=")</f>
        <v>#VALUE!</v>
      </c>
      <c r="GT110" t="e">
        <f>AND('UP133'!GQ72,"AAAAAGvP78k=")</f>
        <v>#VALUE!</v>
      </c>
      <c r="GU110" t="e">
        <f>AND('UP133'!GR72,"AAAAAGvP78o=")</f>
        <v>#VALUE!</v>
      </c>
      <c r="GV110" t="e">
        <f>AND('UP133'!GS72,"AAAAAGvP78s=")</f>
        <v>#VALUE!</v>
      </c>
      <c r="GW110" t="e">
        <f>AND('UP133'!GT72,"AAAAAGvP78w=")</f>
        <v>#VALUE!</v>
      </c>
      <c r="GX110" t="e">
        <f>AND('UP133'!GU72,"AAAAAGvP780=")</f>
        <v>#VALUE!</v>
      </c>
      <c r="GY110" t="e">
        <f>AND('UP133'!GV72,"AAAAAGvP784=")</f>
        <v>#VALUE!</v>
      </c>
      <c r="GZ110" t="e">
        <f>AND('UP133'!GW72,"AAAAAGvP788=")</f>
        <v>#VALUE!</v>
      </c>
      <c r="HA110" t="e">
        <f>AND('UP133'!GX72,"AAAAAGvP79A=")</f>
        <v>#VALUE!</v>
      </c>
      <c r="HB110" t="e">
        <f>AND('UP133'!GY72,"AAAAAGvP79E=")</f>
        <v>#VALUE!</v>
      </c>
      <c r="HC110" t="e">
        <f>AND('UP133'!GZ72,"AAAAAGvP79I=")</f>
        <v>#VALUE!</v>
      </c>
      <c r="HD110" t="e">
        <f>AND('UP133'!HA72,"AAAAAGvP79M=")</f>
        <v>#VALUE!</v>
      </c>
      <c r="HE110" t="e">
        <f>AND('UP133'!HB72,"AAAAAGvP79Q=")</f>
        <v>#VALUE!</v>
      </c>
      <c r="HF110" t="e">
        <f>AND('UP133'!HC72,"AAAAAGvP79U=")</f>
        <v>#VALUE!</v>
      </c>
      <c r="HG110" t="e">
        <f>AND('UP133'!HD72,"AAAAAGvP79Y=")</f>
        <v>#VALUE!</v>
      </c>
      <c r="HH110" t="e">
        <f>AND('UP133'!HE72,"AAAAAGvP79c=")</f>
        <v>#VALUE!</v>
      </c>
      <c r="HI110" t="e">
        <f>AND('UP133'!HF72,"AAAAAGvP79g=")</f>
        <v>#VALUE!</v>
      </c>
      <c r="HJ110" t="e">
        <f>AND('UP133'!HG72,"AAAAAGvP79k=")</f>
        <v>#VALUE!</v>
      </c>
      <c r="HK110" t="e">
        <f>AND('UP133'!HH72,"AAAAAGvP79o=")</f>
        <v>#VALUE!</v>
      </c>
      <c r="HL110" t="e">
        <f>AND('UP133'!HI72,"AAAAAGvP79s=")</f>
        <v>#VALUE!</v>
      </c>
      <c r="HM110" t="e">
        <f>AND('UP133'!HJ72,"AAAAAGvP79w=")</f>
        <v>#VALUE!</v>
      </c>
      <c r="HN110" t="e">
        <f>AND('UP133'!HK72,"AAAAAGvP790=")</f>
        <v>#VALUE!</v>
      </c>
      <c r="HO110" t="e">
        <f>AND('UP133'!HL72,"AAAAAGvP794=")</f>
        <v>#VALUE!</v>
      </c>
      <c r="HP110" t="e">
        <f>AND('UP133'!HM72,"AAAAAGvP798=")</f>
        <v>#VALUE!</v>
      </c>
      <c r="HQ110" t="e">
        <f>AND('UP133'!HN72,"AAAAAGvP7+A=")</f>
        <v>#VALUE!</v>
      </c>
      <c r="HR110" t="e">
        <f>AND('UP133'!HO72,"AAAAAGvP7+E=")</f>
        <v>#VALUE!</v>
      </c>
      <c r="HS110" t="e">
        <f>AND('UP133'!HP72,"AAAAAGvP7+I=")</f>
        <v>#VALUE!</v>
      </c>
      <c r="HT110" t="e">
        <f>AND('UP133'!HQ72,"AAAAAGvP7+M=")</f>
        <v>#VALUE!</v>
      </c>
      <c r="HU110" t="e">
        <f>AND('UP133'!HR72,"AAAAAGvP7+Q=")</f>
        <v>#VALUE!</v>
      </c>
      <c r="HV110" t="e">
        <f>AND('UP133'!HS72,"AAAAAGvP7+U=")</f>
        <v>#VALUE!</v>
      </c>
      <c r="HW110" t="e">
        <f>AND('UP133'!HT72,"AAAAAGvP7+Y=")</f>
        <v>#VALUE!</v>
      </c>
      <c r="HX110" t="e">
        <f>AND('UP133'!HU72,"AAAAAGvP7+c=")</f>
        <v>#VALUE!</v>
      </c>
      <c r="HY110" t="e">
        <f>AND('UP133'!HV72,"AAAAAGvP7+g=")</f>
        <v>#VALUE!</v>
      </c>
      <c r="HZ110" t="e">
        <f>AND('UP133'!HW72,"AAAAAGvP7+k=")</f>
        <v>#VALUE!</v>
      </c>
      <c r="IA110" t="e">
        <f>AND('UP133'!HX72,"AAAAAGvP7+o=")</f>
        <v>#VALUE!</v>
      </c>
      <c r="IB110" t="e">
        <f>AND('UP133'!HY72,"AAAAAGvP7+s=")</f>
        <v>#VALUE!</v>
      </c>
      <c r="IC110" t="e">
        <f>AND('UP133'!HZ72,"AAAAAGvP7+w=")</f>
        <v>#VALUE!</v>
      </c>
      <c r="ID110" t="e">
        <f>AND('UP133'!IA72,"AAAAAGvP7+0=")</f>
        <v>#VALUE!</v>
      </c>
      <c r="IE110" t="e">
        <f>AND('UP133'!IB72,"AAAAAGvP7+4=")</f>
        <v>#VALUE!</v>
      </c>
      <c r="IF110" t="e">
        <f>AND('UP133'!IC72,"AAAAAGvP7+8=")</f>
        <v>#VALUE!</v>
      </c>
      <c r="IG110" t="e">
        <f>AND('UP133'!ID72,"AAAAAGvP7/A=")</f>
        <v>#VALUE!</v>
      </c>
      <c r="IH110" t="e">
        <f>AND('UP133'!IE72,"AAAAAGvP7/E=")</f>
        <v>#VALUE!</v>
      </c>
      <c r="II110" t="e">
        <f>AND('UP133'!IF72,"AAAAAGvP7/I=")</f>
        <v>#VALUE!</v>
      </c>
      <c r="IJ110" t="e">
        <f>AND('UP133'!IG72,"AAAAAGvP7/M=")</f>
        <v>#VALUE!</v>
      </c>
      <c r="IK110" t="e">
        <f>AND('UP133'!IH72,"AAAAAGvP7/Q=")</f>
        <v>#VALUE!</v>
      </c>
      <c r="IL110" t="e">
        <f>AND('UP133'!II72,"AAAAAGvP7/U=")</f>
        <v>#VALUE!</v>
      </c>
      <c r="IM110" t="e">
        <f>AND('UP133'!IJ72,"AAAAAGvP7/Y=")</f>
        <v>#VALUE!</v>
      </c>
      <c r="IN110" t="e">
        <f>AND('UP133'!IK72,"AAAAAGvP7/c=")</f>
        <v>#VALUE!</v>
      </c>
      <c r="IO110" t="e">
        <f>AND('UP133'!IL72,"AAAAAGvP7/g=")</f>
        <v>#VALUE!</v>
      </c>
      <c r="IP110" t="e">
        <f>AND('UP133'!IM72,"AAAAAGvP7/k=")</f>
        <v>#VALUE!</v>
      </c>
      <c r="IQ110" t="e">
        <f>AND('UP133'!IN72,"AAAAAGvP7/o=")</f>
        <v>#VALUE!</v>
      </c>
      <c r="IR110" t="e">
        <f>AND('UP133'!IO72,"AAAAAGvP7/s=")</f>
        <v>#VALUE!</v>
      </c>
      <c r="IS110" t="e">
        <f>AND('UP133'!IP72,"AAAAAGvP7/w=")</f>
        <v>#VALUE!</v>
      </c>
      <c r="IT110" t="e">
        <f>AND('UP133'!IQ72,"AAAAAGvP7/0=")</f>
        <v>#VALUE!</v>
      </c>
      <c r="IU110">
        <f>IF('UP133'!73:73,"AAAAAGvP7/4=",0)</f>
        <v>0</v>
      </c>
      <c r="IV110" t="e">
        <f>AND('UP133'!A73,"AAAAAGvP7/8=")</f>
        <v>#VALUE!</v>
      </c>
    </row>
    <row r="111" spans="1:256">
      <c r="A111" t="e">
        <f>AND('UP133'!B73,"AAAAAH90ewA=")</f>
        <v>#VALUE!</v>
      </c>
      <c r="B111" t="e">
        <f>AND('UP133'!C73,"AAAAAH90ewE=")</f>
        <v>#VALUE!</v>
      </c>
      <c r="C111" t="e">
        <f>AND('UP133'!D73,"AAAAAH90ewI=")</f>
        <v>#VALUE!</v>
      </c>
      <c r="D111" t="e">
        <f>AND('UP133'!E73,"AAAAAH90ewM=")</f>
        <v>#VALUE!</v>
      </c>
      <c r="E111" t="e">
        <f>AND('UP133'!F73,"AAAAAH90ewQ=")</f>
        <v>#VALUE!</v>
      </c>
      <c r="F111" t="e">
        <f>AND('UP133'!G73,"AAAAAH90ewU=")</f>
        <v>#VALUE!</v>
      </c>
      <c r="G111" t="e">
        <f>AND('UP133'!H73,"AAAAAH90ewY=")</f>
        <v>#VALUE!</v>
      </c>
      <c r="H111" t="e">
        <f>AND('UP133'!I73,"AAAAAH90ewc=")</f>
        <v>#VALUE!</v>
      </c>
      <c r="I111" t="e">
        <f>AND('UP133'!J73,"AAAAAH90ewg=")</f>
        <v>#VALUE!</v>
      </c>
      <c r="J111" t="e">
        <f>AND('UP133'!K73,"AAAAAH90ewk=")</f>
        <v>#VALUE!</v>
      </c>
      <c r="K111" t="e">
        <f>AND('UP133'!L73,"AAAAAH90ewo=")</f>
        <v>#VALUE!</v>
      </c>
      <c r="L111" t="e">
        <f>AND('UP133'!M73,"AAAAAH90ews=")</f>
        <v>#VALUE!</v>
      </c>
      <c r="M111" t="e">
        <f>AND('UP133'!N73,"AAAAAH90eww=")</f>
        <v>#VALUE!</v>
      </c>
      <c r="N111" t="e">
        <f>AND('UP133'!O73,"AAAAAH90ew0=")</f>
        <v>#VALUE!</v>
      </c>
      <c r="O111" t="e">
        <f>AND('UP133'!P73,"AAAAAH90ew4=")</f>
        <v>#VALUE!</v>
      </c>
      <c r="P111" t="e">
        <f>AND('UP133'!Q73,"AAAAAH90ew8=")</f>
        <v>#VALUE!</v>
      </c>
      <c r="Q111" t="e">
        <f>AND('UP133'!R73,"AAAAAH90exA=")</f>
        <v>#VALUE!</v>
      </c>
      <c r="R111" t="e">
        <f>AND('UP133'!S73,"AAAAAH90exE=")</f>
        <v>#VALUE!</v>
      </c>
      <c r="S111" t="e">
        <f>AND('UP133'!T73,"AAAAAH90exI=")</f>
        <v>#VALUE!</v>
      </c>
      <c r="T111" t="e">
        <f>AND('UP133'!U73,"AAAAAH90exM=")</f>
        <v>#VALUE!</v>
      </c>
      <c r="U111" t="e">
        <f>AND('UP133'!V73,"AAAAAH90exQ=")</f>
        <v>#VALUE!</v>
      </c>
      <c r="V111" t="e">
        <f>AND('UP133'!W73,"AAAAAH90exU=")</f>
        <v>#VALUE!</v>
      </c>
      <c r="W111" t="e">
        <f>AND('UP133'!X73,"AAAAAH90exY=")</f>
        <v>#VALUE!</v>
      </c>
      <c r="X111" t="e">
        <f>AND('UP133'!Y73,"AAAAAH90exc=")</f>
        <v>#VALUE!</v>
      </c>
      <c r="Y111" t="e">
        <f>AND('UP133'!Z73,"AAAAAH90exg=")</f>
        <v>#VALUE!</v>
      </c>
      <c r="Z111" t="e">
        <f>AND('UP133'!AA73,"AAAAAH90exk=")</f>
        <v>#VALUE!</v>
      </c>
      <c r="AA111" t="e">
        <f>AND('UP133'!AB73,"AAAAAH90exo=")</f>
        <v>#VALUE!</v>
      </c>
      <c r="AB111" t="e">
        <f>AND('UP133'!AC73,"AAAAAH90exs=")</f>
        <v>#VALUE!</v>
      </c>
      <c r="AC111" t="e">
        <f>AND('UP133'!AD73,"AAAAAH90exw=")</f>
        <v>#VALUE!</v>
      </c>
      <c r="AD111" t="e">
        <f>AND('UP133'!AE73,"AAAAAH90ex0=")</f>
        <v>#VALUE!</v>
      </c>
      <c r="AE111" t="e">
        <f>AND('UP133'!AF73,"AAAAAH90ex4=")</f>
        <v>#VALUE!</v>
      </c>
      <c r="AF111" t="e">
        <f>AND('UP133'!AG73,"AAAAAH90ex8=")</f>
        <v>#VALUE!</v>
      </c>
      <c r="AG111" t="e">
        <f>AND('UP133'!AH73,"AAAAAH90eyA=")</f>
        <v>#VALUE!</v>
      </c>
      <c r="AH111" t="e">
        <f>AND('UP133'!AI73,"AAAAAH90eyE=")</f>
        <v>#VALUE!</v>
      </c>
      <c r="AI111" t="e">
        <f>AND('UP133'!AJ73,"AAAAAH90eyI=")</f>
        <v>#VALUE!</v>
      </c>
      <c r="AJ111" t="e">
        <f>AND('UP133'!AK73,"AAAAAH90eyM=")</f>
        <v>#VALUE!</v>
      </c>
      <c r="AK111" t="e">
        <f>AND('UP133'!AL73,"AAAAAH90eyQ=")</f>
        <v>#VALUE!</v>
      </c>
      <c r="AL111" t="e">
        <f>AND('UP133'!AM73,"AAAAAH90eyU=")</f>
        <v>#VALUE!</v>
      </c>
      <c r="AM111" t="e">
        <f>AND('UP133'!AN73,"AAAAAH90eyY=")</f>
        <v>#VALUE!</v>
      </c>
      <c r="AN111" t="e">
        <f>AND('UP133'!AO73,"AAAAAH90eyc=")</f>
        <v>#VALUE!</v>
      </c>
      <c r="AO111" t="e">
        <f>AND('UP133'!AP73,"AAAAAH90eyg=")</f>
        <v>#VALUE!</v>
      </c>
      <c r="AP111" t="e">
        <f>AND('UP133'!AQ73,"AAAAAH90eyk=")</f>
        <v>#VALUE!</v>
      </c>
      <c r="AQ111" t="e">
        <f>AND('UP133'!AR73,"AAAAAH90eyo=")</f>
        <v>#VALUE!</v>
      </c>
      <c r="AR111" t="e">
        <f>AND('UP133'!AS73,"AAAAAH90eys=")</f>
        <v>#VALUE!</v>
      </c>
      <c r="AS111" t="e">
        <f>AND('UP133'!AT73,"AAAAAH90eyw=")</f>
        <v>#VALUE!</v>
      </c>
      <c r="AT111" t="e">
        <f>AND('UP133'!AU73,"AAAAAH90ey0=")</f>
        <v>#VALUE!</v>
      </c>
      <c r="AU111" t="e">
        <f>AND('UP133'!AV73,"AAAAAH90ey4=")</f>
        <v>#VALUE!</v>
      </c>
      <c r="AV111" t="e">
        <f>AND('UP133'!AW73,"AAAAAH90ey8=")</f>
        <v>#VALUE!</v>
      </c>
      <c r="AW111" t="e">
        <f>AND('UP133'!AX73,"AAAAAH90ezA=")</f>
        <v>#VALUE!</v>
      </c>
      <c r="AX111" t="e">
        <f>AND('UP133'!AY73,"AAAAAH90ezE=")</f>
        <v>#VALUE!</v>
      </c>
      <c r="AY111" t="e">
        <f>AND('UP133'!AZ73,"AAAAAH90ezI=")</f>
        <v>#VALUE!</v>
      </c>
      <c r="AZ111" t="e">
        <f>AND('UP133'!BA73,"AAAAAH90ezM=")</f>
        <v>#VALUE!</v>
      </c>
      <c r="BA111" t="e">
        <f>AND('UP133'!BB73,"AAAAAH90ezQ=")</f>
        <v>#VALUE!</v>
      </c>
      <c r="BB111" t="e">
        <f>AND('UP133'!BC73,"AAAAAH90ezU=")</f>
        <v>#VALUE!</v>
      </c>
      <c r="BC111" t="e">
        <f>AND('UP133'!BD73,"AAAAAH90ezY=")</f>
        <v>#VALUE!</v>
      </c>
      <c r="BD111" t="e">
        <f>AND('UP133'!BE73,"AAAAAH90ezc=")</f>
        <v>#VALUE!</v>
      </c>
      <c r="BE111" t="e">
        <f>AND('UP133'!BF73,"AAAAAH90ezg=")</f>
        <v>#VALUE!</v>
      </c>
      <c r="BF111" t="e">
        <f>AND('UP133'!BG73,"AAAAAH90ezk=")</f>
        <v>#VALUE!</v>
      </c>
      <c r="BG111" t="e">
        <f>AND('UP133'!BH73,"AAAAAH90ezo=")</f>
        <v>#VALUE!</v>
      </c>
      <c r="BH111" t="e">
        <f>AND('UP133'!BI73,"AAAAAH90ezs=")</f>
        <v>#VALUE!</v>
      </c>
      <c r="BI111" t="e">
        <f>AND('UP133'!BJ73,"AAAAAH90ezw=")</f>
        <v>#VALUE!</v>
      </c>
      <c r="BJ111" t="e">
        <f>AND('UP133'!BK73,"AAAAAH90ez0=")</f>
        <v>#VALUE!</v>
      </c>
      <c r="BK111" t="e">
        <f>AND('UP133'!BL73,"AAAAAH90ez4=")</f>
        <v>#VALUE!</v>
      </c>
      <c r="BL111" t="e">
        <f>AND('UP133'!BM73,"AAAAAH90ez8=")</f>
        <v>#VALUE!</v>
      </c>
      <c r="BM111" t="e">
        <f>AND('UP133'!BN73,"AAAAAH90e0A=")</f>
        <v>#VALUE!</v>
      </c>
      <c r="BN111" t="e">
        <f>AND('UP133'!BO73,"AAAAAH90e0E=")</f>
        <v>#VALUE!</v>
      </c>
      <c r="BO111" t="e">
        <f>AND('UP133'!BP73,"AAAAAH90e0I=")</f>
        <v>#VALUE!</v>
      </c>
      <c r="BP111" t="e">
        <f>AND('UP133'!BQ73,"AAAAAH90e0M=")</f>
        <v>#VALUE!</v>
      </c>
      <c r="BQ111" t="e">
        <f>AND('UP133'!BR73,"AAAAAH90e0Q=")</f>
        <v>#VALUE!</v>
      </c>
      <c r="BR111" t="e">
        <f>AND('UP133'!BS73,"AAAAAH90e0U=")</f>
        <v>#VALUE!</v>
      </c>
      <c r="BS111" t="e">
        <f>AND('UP133'!BT73,"AAAAAH90e0Y=")</f>
        <v>#VALUE!</v>
      </c>
      <c r="BT111" t="e">
        <f>AND('UP133'!BU73,"AAAAAH90e0c=")</f>
        <v>#VALUE!</v>
      </c>
      <c r="BU111" t="e">
        <f>AND('UP133'!BV73,"AAAAAH90e0g=")</f>
        <v>#VALUE!</v>
      </c>
      <c r="BV111" t="e">
        <f>AND('UP133'!BW73,"AAAAAH90e0k=")</f>
        <v>#VALUE!</v>
      </c>
      <c r="BW111" t="e">
        <f>AND('UP133'!BX73,"AAAAAH90e0o=")</f>
        <v>#VALUE!</v>
      </c>
      <c r="BX111" t="e">
        <f>AND('UP133'!BY73,"AAAAAH90e0s=")</f>
        <v>#VALUE!</v>
      </c>
      <c r="BY111" t="e">
        <f>AND('UP133'!BZ73,"AAAAAH90e0w=")</f>
        <v>#VALUE!</v>
      </c>
      <c r="BZ111" t="e">
        <f>AND('UP133'!CA73,"AAAAAH90e00=")</f>
        <v>#VALUE!</v>
      </c>
      <c r="CA111" t="e">
        <f>AND('UP133'!CB73,"AAAAAH90e04=")</f>
        <v>#VALUE!</v>
      </c>
      <c r="CB111" t="e">
        <f>AND('UP133'!CC73,"AAAAAH90e08=")</f>
        <v>#VALUE!</v>
      </c>
      <c r="CC111" t="e">
        <f>AND('UP133'!CD73,"AAAAAH90e1A=")</f>
        <v>#VALUE!</v>
      </c>
      <c r="CD111" t="e">
        <f>AND('UP133'!CE73,"AAAAAH90e1E=")</f>
        <v>#VALUE!</v>
      </c>
      <c r="CE111" t="e">
        <f>AND('UP133'!CF73,"AAAAAH90e1I=")</f>
        <v>#VALUE!</v>
      </c>
      <c r="CF111" t="e">
        <f>AND('UP133'!CG73,"AAAAAH90e1M=")</f>
        <v>#VALUE!</v>
      </c>
      <c r="CG111" t="e">
        <f>AND('UP133'!CH73,"AAAAAH90e1Q=")</f>
        <v>#VALUE!</v>
      </c>
      <c r="CH111" t="e">
        <f>AND('UP133'!CI73,"AAAAAH90e1U=")</f>
        <v>#VALUE!</v>
      </c>
      <c r="CI111" t="e">
        <f>AND('UP133'!CJ73,"AAAAAH90e1Y=")</f>
        <v>#VALUE!</v>
      </c>
      <c r="CJ111" t="e">
        <f>AND('UP133'!CK73,"AAAAAH90e1c=")</f>
        <v>#VALUE!</v>
      </c>
      <c r="CK111" t="e">
        <f>AND('UP133'!CL73,"AAAAAH90e1g=")</f>
        <v>#VALUE!</v>
      </c>
      <c r="CL111" t="e">
        <f>AND('UP133'!CM73,"AAAAAH90e1k=")</f>
        <v>#VALUE!</v>
      </c>
      <c r="CM111" t="e">
        <f>AND('UP133'!CN73,"AAAAAH90e1o=")</f>
        <v>#VALUE!</v>
      </c>
      <c r="CN111" t="e">
        <f>AND('UP133'!CO73,"AAAAAH90e1s=")</f>
        <v>#VALUE!</v>
      </c>
      <c r="CO111" t="e">
        <f>AND('UP133'!CP73,"AAAAAH90e1w=")</f>
        <v>#VALUE!</v>
      </c>
      <c r="CP111" t="e">
        <f>AND('UP133'!CQ73,"AAAAAH90e10=")</f>
        <v>#VALUE!</v>
      </c>
      <c r="CQ111" t="e">
        <f>AND('UP133'!CR73,"AAAAAH90e14=")</f>
        <v>#VALUE!</v>
      </c>
      <c r="CR111" t="e">
        <f>AND('UP133'!CS73,"AAAAAH90e18=")</f>
        <v>#VALUE!</v>
      </c>
      <c r="CS111" t="e">
        <f>AND('UP133'!CT73,"AAAAAH90e2A=")</f>
        <v>#VALUE!</v>
      </c>
      <c r="CT111" t="e">
        <f>AND('UP133'!CU73,"AAAAAH90e2E=")</f>
        <v>#VALUE!</v>
      </c>
      <c r="CU111" t="e">
        <f>AND('UP133'!CV73,"AAAAAH90e2I=")</f>
        <v>#VALUE!</v>
      </c>
      <c r="CV111" t="e">
        <f>AND('UP133'!CW73,"AAAAAH90e2M=")</f>
        <v>#VALUE!</v>
      </c>
      <c r="CW111" t="e">
        <f>AND('UP133'!CX73,"AAAAAH90e2Q=")</f>
        <v>#VALUE!</v>
      </c>
      <c r="CX111" t="e">
        <f>AND('UP133'!CY73,"AAAAAH90e2U=")</f>
        <v>#VALUE!</v>
      </c>
      <c r="CY111" t="e">
        <f>AND('UP133'!CZ73,"AAAAAH90e2Y=")</f>
        <v>#VALUE!</v>
      </c>
      <c r="CZ111" t="e">
        <f>AND('UP133'!DA73,"AAAAAH90e2c=")</f>
        <v>#VALUE!</v>
      </c>
      <c r="DA111" t="e">
        <f>AND('UP133'!DB73,"AAAAAH90e2g=")</f>
        <v>#VALUE!</v>
      </c>
      <c r="DB111" t="e">
        <f>AND('UP133'!DC73,"AAAAAH90e2k=")</f>
        <v>#VALUE!</v>
      </c>
      <c r="DC111" t="e">
        <f>AND('UP133'!DD73,"AAAAAH90e2o=")</f>
        <v>#VALUE!</v>
      </c>
      <c r="DD111" t="e">
        <f>AND('UP133'!DE73,"AAAAAH90e2s=")</f>
        <v>#VALUE!</v>
      </c>
      <c r="DE111" t="e">
        <f>AND('UP133'!DF73,"AAAAAH90e2w=")</f>
        <v>#VALUE!</v>
      </c>
      <c r="DF111" t="e">
        <f>AND('UP133'!DG73,"AAAAAH90e20=")</f>
        <v>#VALUE!</v>
      </c>
      <c r="DG111" t="e">
        <f>AND('UP133'!DH73,"AAAAAH90e24=")</f>
        <v>#VALUE!</v>
      </c>
      <c r="DH111" t="e">
        <f>AND('UP133'!DI73,"AAAAAH90e28=")</f>
        <v>#VALUE!</v>
      </c>
      <c r="DI111" t="e">
        <f>AND('UP133'!DJ73,"AAAAAH90e3A=")</f>
        <v>#VALUE!</v>
      </c>
      <c r="DJ111" t="e">
        <f>AND('UP133'!DK73,"AAAAAH90e3E=")</f>
        <v>#VALUE!</v>
      </c>
      <c r="DK111" t="e">
        <f>AND('UP133'!DL73,"AAAAAH90e3I=")</f>
        <v>#VALUE!</v>
      </c>
      <c r="DL111" t="e">
        <f>AND('UP133'!DM73,"AAAAAH90e3M=")</f>
        <v>#VALUE!</v>
      </c>
      <c r="DM111" t="e">
        <f>AND('UP133'!DN73,"AAAAAH90e3Q=")</f>
        <v>#VALUE!</v>
      </c>
      <c r="DN111" t="e">
        <f>AND('UP133'!DO73,"AAAAAH90e3U=")</f>
        <v>#VALUE!</v>
      </c>
      <c r="DO111" t="e">
        <f>AND('UP133'!DP73,"AAAAAH90e3Y=")</f>
        <v>#VALUE!</v>
      </c>
      <c r="DP111" t="e">
        <f>AND('UP133'!DQ73,"AAAAAH90e3c=")</f>
        <v>#VALUE!</v>
      </c>
      <c r="DQ111" t="e">
        <f>AND('UP133'!DR73,"AAAAAH90e3g=")</f>
        <v>#VALUE!</v>
      </c>
      <c r="DR111" t="e">
        <f>AND('UP133'!DS73,"AAAAAH90e3k=")</f>
        <v>#VALUE!</v>
      </c>
      <c r="DS111" t="e">
        <f>AND('UP133'!DT73,"AAAAAH90e3o=")</f>
        <v>#VALUE!</v>
      </c>
      <c r="DT111" t="e">
        <f>AND('UP133'!DU73,"AAAAAH90e3s=")</f>
        <v>#VALUE!</v>
      </c>
      <c r="DU111" t="e">
        <f>AND('UP133'!DV73,"AAAAAH90e3w=")</f>
        <v>#VALUE!</v>
      </c>
      <c r="DV111" t="e">
        <f>AND('UP133'!DW73,"AAAAAH90e30=")</f>
        <v>#VALUE!</v>
      </c>
      <c r="DW111" t="e">
        <f>AND('UP133'!DX73,"AAAAAH90e34=")</f>
        <v>#VALUE!</v>
      </c>
      <c r="DX111" t="e">
        <f>AND('UP133'!DY73,"AAAAAH90e38=")</f>
        <v>#VALUE!</v>
      </c>
      <c r="DY111" t="e">
        <f>AND('UP133'!DZ73,"AAAAAH90e4A=")</f>
        <v>#VALUE!</v>
      </c>
      <c r="DZ111" t="e">
        <f>AND('UP133'!EA73,"AAAAAH90e4E=")</f>
        <v>#VALUE!</v>
      </c>
      <c r="EA111" t="e">
        <f>AND('UP133'!EB73,"AAAAAH90e4I=")</f>
        <v>#VALUE!</v>
      </c>
      <c r="EB111" t="e">
        <f>AND('UP133'!EC73,"AAAAAH90e4M=")</f>
        <v>#VALUE!</v>
      </c>
      <c r="EC111" t="e">
        <f>AND('UP133'!ED73,"AAAAAH90e4Q=")</f>
        <v>#VALUE!</v>
      </c>
      <c r="ED111" t="e">
        <f>AND('UP133'!EE73,"AAAAAH90e4U=")</f>
        <v>#VALUE!</v>
      </c>
      <c r="EE111" t="e">
        <f>AND('UP133'!EF73,"AAAAAH90e4Y=")</f>
        <v>#VALUE!</v>
      </c>
      <c r="EF111" t="e">
        <f>AND('UP133'!EG73,"AAAAAH90e4c=")</f>
        <v>#VALUE!</v>
      </c>
      <c r="EG111" t="e">
        <f>AND('UP133'!EH73,"AAAAAH90e4g=")</f>
        <v>#VALUE!</v>
      </c>
      <c r="EH111" t="e">
        <f>AND('UP133'!EI73,"AAAAAH90e4k=")</f>
        <v>#VALUE!</v>
      </c>
      <c r="EI111" t="e">
        <f>AND('UP133'!EJ73,"AAAAAH90e4o=")</f>
        <v>#VALUE!</v>
      </c>
      <c r="EJ111" t="e">
        <f>AND('UP133'!EK73,"AAAAAH90e4s=")</f>
        <v>#VALUE!</v>
      </c>
      <c r="EK111" t="e">
        <f>AND('UP133'!EL73,"AAAAAH90e4w=")</f>
        <v>#VALUE!</v>
      </c>
      <c r="EL111" t="e">
        <f>AND('UP133'!EM73,"AAAAAH90e40=")</f>
        <v>#VALUE!</v>
      </c>
      <c r="EM111" t="e">
        <f>AND('UP133'!EN73,"AAAAAH90e44=")</f>
        <v>#VALUE!</v>
      </c>
      <c r="EN111" t="e">
        <f>AND('UP133'!EO73,"AAAAAH90e48=")</f>
        <v>#VALUE!</v>
      </c>
      <c r="EO111" t="e">
        <f>AND('UP133'!EP73,"AAAAAH90e5A=")</f>
        <v>#VALUE!</v>
      </c>
      <c r="EP111" t="e">
        <f>AND('UP133'!EQ73,"AAAAAH90e5E=")</f>
        <v>#VALUE!</v>
      </c>
      <c r="EQ111" t="e">
        <f>AND('UP133'!ER73,"AAAAAH90e5I=")</f>
        <v>#VALUE!</v>
      </c>
      <c r="ER111" t="e">
        <f>AND('UP133'!ES73,"AAAAAH90e5M=")</f>
        <v>#VALUE!</v>
      </c>
      <c r="ES111" t="e">
        <f>AND('UP133'!ET73,"AAAAAH90e5Q=")</f>
        <v>#VALUE!</v>
      </c>
      <c r="ET111" t="e">
        <f>AND('UP133'!EU73,"AAAAAH90e5U=")</f>
        <v>#VALUE!</v>
      </c>
      <c r="EU111" t="e">
        <f>AND('UP133'!EV73,"AAAAAH90e5Y=")</f>
        <v>#VALUE!</v>
      </c>
      <c r="EV111" t="e">
        <f>AND('UP133'!EW73,"AAAAAH90e5c=")</f>
        <v>#VALUE!</v>
      </c>
      <c r="EW111" t="e">
        <f>AND('UP133'!EX73,"AAAAAH90e5g=")</f>
        <v>#VALUE!</v>
      </c>
      <c r="EX111" t="e">
        <f>AND('UP133'!EY73,"AAAAAH90e5k=")</f>
        <v>#VALUE!</v>
      </c>
      <c r="EY111" t="e">
        <f>AND('UP133'!EZ73,"AAAAAH90e5o=")</f>
        <v>#VALUE!</v>
      </c>
      <c r="EZ111" t="e">
        <f>AND('UP133'!FA73,"AAAAAH90e5s=")</f>
        <v>#VALUE!</v>
      </c>
      <c r="FA111" t="e">
        <f>AND('UP133'!FB73,"AAAAAH90e5w=")</f>
        <v>#VALUE!</v>
      </c>
      <c r="FB111" t="e">
        <f>AND('UP133'!FC73,"AAAAAH90e50=")</f>
        <v>#VALUE!</v>
      </c>
      <c r="FC111" t="e">
        <f>AND('UP133'!FD73,"AAAAAH90e54=")</f>
        <v>#VALUE!</v>
      </c>
      <c r="FD111" t="e">
        <f>AND('UP133'!FE73,"AAAAAH90e58=")</f>
        <v>#VALUE!</v>
      </c>
      <c r="FE111" t="e">
        <f>AND('UP133'!FF73,"AAAAAH90e6A=")</f>
        <v>#VALUE!</v>
      </c>
      <c r="FF111" t="e">
        <f>AND('UP133'!FG73,"AAAAAH90e6E=")</f>
        <v>#VALUE!</v>
      </c>
      <c r="FG111" t="e">
        <f>AND('UP133'!FH73,"AAAAAH90e6I=")</f>
        <v>#VALUE!</v>
      </c>
      <c r="FH111" t="e">
        <f>AND('UP133'!FI73,"AAAAAH90e6M=")</f>
        <v>#VALUE!</v>
      </c>
      <c r="FI111" t="e">
        <f>AND('UP133'!FJ73,"AAAAAH90e6Q=")</f>
        <v>#VALUE!</v>
      </c>
      <c r="FJ111" t="e">
        <f>AND('UP133'!FK73,"AAAAAH90e6U=")</f>
        <v>#VALUE!</v>
      </c>
      <c r="FK111" t="e">
        <f>AND('UP133'!FL73,"AAAAAH90e6Y=")</f>
        <v>#VALUE!</v>
      </c>
      <c r="FL111" t="e">
        <f>AND('UP133'!FM73,"AAAAAH90e6c=")</f>
        <v>#VALUE!</v>
      </c>
      <c r="FM111" t="e">
        <f>AND('UP133'!FN73,"AAAAAH90e6g=")</f>
        <v>#VALUE!</v>
      </c>
      <c r="FN111" t="e">
        <f>AND('UP133'!FO73,"AAAAAH90e6k=")</f>
        <v>#VALUE!</v>
      </c>
      <c r="FO111" t="e">
        <f>AND('UP133'!FP73,"AAAAAH90e6o=")</f>
        <v>#VALUE!</v>
      </c>
      <c r="FP111" t="e">
        <f>AND('UP133'!FQ73,"AAAAAH90e6s=")</f>
        <v>#VALUE!</v>
      </c>
      <c r="FQ111" t="e">
        <f>AND('UP133'!FR73,"AAAAAH90e6w=")</f>
        <v>#VALUE!</v>
      </c>
      <c r="FR111" t="e">
        <f>AND('UP133'!FS73,"AAAAAH90e60=")</f>
        <v>#VALUE!</v>
      </c>
      <c r="FS111" t="e">
        <f>AND('UP133'!FT73,"AAAAAH90e64=")</f>
        <v>#VALUE!</v>
      </c>
      <c r="FT111" t="e">
        <f>AND('UP133'!FU73,"AAAAAH90e68=")</f>
        <v>#VALUE!</v>
      </c>
      <c r="FU111" t="e">
        <f>AND('UP133'!FV73,"AAAAAH90e7A=")</f>
        <v>#VALUE!</v>
      </c>
      <c r="FV111" t="e">
        <f>AND('UP133'!FW73,"AAAAAH90e7E=")</f>
        <v>#VALUE!</v>
      </c>
      <c r="FW111" t="e">
        <f>AND('UP133'!FX73,"AAAAAH90e7I=")</f>
        <v>#VALUE!</v>
      </c>
      <c r="FX111" t="e">
        <f>AND('UP133'!FY73,"AAAAAH90e7M=")</f>
        <v>#VALUE!</v>
      </c>
      <c r="FY111" t="e">
        <f>AND('UP133'!FZ73,"AAAAAH90e7Q=")</f>
        <v>#VALUE!</v>
      </c>
      <c r="FZ111" t="e">
        <f>AND('UP133'!GA73,"AAAAAH90e7U=")</f>
        <v>#VALUE!</v>
      </c>
      <c r="GA111" t="e">
        <f>AND('UP133'!GB73,"AAAAAH90e7Y=")</f>
        <v>#VALUE!</v>
      </c>
      <c r="GB111" t="e">
        <f>AND('UP133'!GC73,"AAAAAH90e7c=")</f>
        <v>#VALUE!</v>
      </c>
      <c r="GC111" t="e">
        <f>AND('UP133'!GD73,"AAAAAH90e7g=")</f>
        <v>#VALUE!</v>
      </c>
      <c r="GD111" t="e">
        <f>AND('UP133'!GE73,"AAAAAH90e7k=")</f>
        <v>#VALUE!</v>
      </c>
      <c r="GE111" t="e">
        <f>AND('UP133'!GF73,"AAAAAH90e7o=")</f>
        <v>#VALUE!</v>
      </c>
      <c r="GF111" t="e">
        <f>AND('UP133'!GG73,"AAAAAH90e7s=")</f>
        <v>#VALUE!</v>
      </c>
      <c r="GG111" t="e">
        <f>AND('UP133'!GH73,"AAAAAH90e7w=")</f>
        <v>#VALUE!</v>
      </c>
      <c r="GH111" t="e">
        <f>AND('UP133'!GI73,"AAAAAH90e70=")</f>
        <v>#VALUE!</v>
      </c>
      <c r="GI111" t="e">
        <f>AND('UP133'!GJ73,"AAAAAH90e74=")</f>
        <v>#VALUE!</v>
      </c>
      <c r="GJ111" t="e">
        <f>AND('UP133'!GK73,"AAAAAH90e78=")</f>
        <v>#VALUE!</v>
      </c>
      <c r="GK111" t="e">
        <f>AND('UP133'!GL73,"AAAAAH90e8A=")</f>
        <v>#VALUE!</v>
      </c>
      <c r="GL111" t="e">
        <f>AND('UP133'!GM73,"AAAAAH90e8E=")</f>
        <v>#VALUE!</v>
      </c>
      <c r="GM111" t="e">
        <f>AND('UP133'!GN73,"AAAAAH90e8I=")</f>
        <v>#VALUE!</v>
      </c>
      <c r="GN111" t="e">
        <f>AND('UP133'!GO73,"AAAAAH90e8M=")</f>
        <v>#VALUE!</v>
      </c>
      <c r="GO111" t="e">
        <f>AND('UP133'!GP73,"AAAAAH90e8Q=")</f>
        <v>#VALUE!</v>
      </c>
      <c r="GP111" t="e">
        <f>AND('UP133'!GQ73,"AAAAAH90e8U=")</f>
        <v>#VALUE!</v>
      </c>
      <c r="GQ111" t="e">
        <f>AND('UP133'!GR73,"AAAAAH90e8Y=")</f>
        <v>#VALUE!</v>
      </c>
      <c r="GR111" t="e">
        <f>AND('UP133'!GS73,"AAAAAH90e8c=")</f>
        <v>#VALUE!</v>
      </c>
      <c r="GS111" t="e">
        <f>AND('UP133'!GT73,"AAAAAH90e8g=")</f>
        <v>#VALUE!</v>
      </c>
      <c r="GT111" t="e">
        <f>AND('UP133'!GU73,"AAAAAH90e8k=")</f>
        <v>#VALUE!</v>
      </c>
      <c r="GU111" t="e">
        <f>AND('UP133'!GV73,"AAAAAH90e8o=")</f>
        <v>#VALUE!</v>
      </c>
      <c r="GV111" t="e">
        <f>AND('UP133'!GW73,"AAAAAH90e8s=")</f>
        <v>#VALUE!</v>
      </c>
      <c r="GW111" t="e">
        <f>AND('UP133'!GX73,"AAAAAH90e8w=")</f>
        <v>#VALUE!</v>
      </c>
      <c r="GX111" t="e">
        <f>AND('UP133'!GY73,"AAAAAH90e80=")</f>
        <v>#VALUE!</v>
      </c>
      <c r="GY111" t="e">
        <f>AND('UP133'!GZ73,"AAAAAH90e84=")</f>
        <v>#VALUE!</v>
      </c>
      <c r="GZ111" t="e">
        <f>AND('UP133'!HA73,"AAAAAH90e88=")</f>
        <v>#VALUE!</v>
      </c>
      <c r="HA111" t="e">
        <f>AND('UP133'!HB73,"AAAAAH90e9A=")</f>
        <v>#VALUE!</v>
      </c>
      <c r="HB111" t="e">
        <f>AND('UP133'!HC73,"AAAAAH90e9E=")</f>
        <v>#VALUE!</v>
      </c>
      <c r="HC111" t="e">
        <f>AND('UP133'!HD73,"AAAAAH90e9I=")</f>
        <v>#VALUE!</v>
      </c>
      <c r="HD111" t="e">
        <f>AND('UP133'!HE73,"AAAAAH90e9M=")</f>
        <v>#VALUE!</v>
      </c>
      <c r="HE111" t="e">
        <f>AND('UP133'!HF73,"AAAAAH90e9Q=")</f>
        <v>#VALUE!</v>
      </c>
      <c r="HF111" t="e">
        <f>AND('UP133'!HG73,"AAAAAH90e9U=")</f>
        <v>#VALUE!</v>
      </c>
      <c r="HG111" t="e">
        <f>AND('UP133'!HH73,"AAAAAH90e9Y=")</f>
        <v>#VALUE!</v>
      </c>
      <c r="HH111" t="e">
        <f>AND('UP133'!HI73,"AAAAAH90e9c=")</f>
        <v>#VALUE!</v>
      </c>
      <c r="HI111" t="e">
        <f>AND('UP133'!HJ73,"AAAAAH90e9g=")</f>
        <v>#VALUE!</v>
      </c>
      <c r="HJ111" t="e">
        <f>AND('UP133'!HK73,"AAAAAH90e9k=")</f>
        <v>#VALUE!</v>
      </c>
      <c r="HK111" t="e">
        <f>AND('UP133'!HL73,"AAAAAH90e9o=")</f>
        <v>#VALUE!</v>
      </c>
      <c r="HL111" t="e">
        <f>AND('UP133'!HM73,"AAAAAH90e9s=")</f>
        <v>#VALUE!</v>
      </c>
      <c r="HM111" t="e">
        <f>AND('UP133'!HN73,"AAAAAH90e9w=")</f>
        <v>#VALUE!</v>
      </c>
      <c r="HN111" t="e">
        <f>AND('UP133'!HO73,"AAAAAH90e90=")</f>
        <v>#VALUE!</v>
      </c>
      <c r="HO111" t="e">
        <f>AND('UP133'!HP73,"AAAAAH90e94=")</f>
        <v>#VALUE!</v>
      </c>
      <c r="HP111" t="e">
        <f>AND('UP133'!HQ73,"AAAAAH90e98=")</f>
        <v>#VALUE!</v>
      </c>
      <c r="HQ111" t="e">
        <f>AND('UP133'!HR73,"AAAAAH90e+A=")</f>
        <v>#VALUE!</v>
      </c>
      <c r="HR111" t="e">
        <f>AND('UP133'!HS73,"AAAAAH90e+E=")</f>
        <v>#VALUE!</v>
      </c>
      <c r="HS111" t="e">
        <f>AND('UP133'!HT73,"AAAAAH90e+I=")</f>
        <v>#VALUE!</v>
      </c>
      <c r="HT111" t="e">
        <f>AND('UP133'!HU73,"AAAAAH90e+M=")</f>
        <v>#VALUE!</v>
      </c>
      <c r="HU111" t="e">
        <f>AND('UP133'!HV73,"AAAAAH90e+Q=")</f>
        <v>#VALUE!</v>
      </c>
      <c r="HV111" t="e">
        <f>AND('UP133'!HW73,"AAAAAH90e+U=")</f>
        <v>#VALUE!</v>
      </c>
      <c r="HW111" t="e">
        <f>AND('UP133'!HX73,"AAAAAH90e+Y=")</f>
        <v>#VALUE!</v>
      </c>
      <c r="HX111" t="e">
        <f>AND('UP133'!HY73,"AAAAAH90e+c=")</f>
        <v>#VALUE!</v>
      </c>
      <c r="HY111" t="e">
        <f>AND('UP133'!HZ73,"AAAAAH90e+g=")</f>
        <v>#VALUE!</v>
      </c>
      <c r="HZ111" t="e">
        <f>AND('UP133'!IA73,"AAAAAH90e+k=")</f>
        <v>#VALUE!</v>
      </c>
      <c r="IA111" t="e">
        <f>AND('UP133'!IB73,"AAAAAH90e+o=")</f>
        <v>#VALUE!</v>
      </c>
      <c r="IB111" t="e">
        <f>AND('UP133'!IC73,"AAAAAH90e+s=")</f>
        <v>#VALUE!</v>
      </c>
      <c r="IC111" t="e">
        <f>AND('UP133'!ID73,"AAAAAH90e+w=")</f>
        <v>#VALUE!</v>
      </c>
      <c r="ID111" t="e">
        <f>AND('UP133'!IE73,"AAAAAH90e+0=")</f>
        <v>#VALUE!</v>
      </c>
      <c r="IE111" t="e">
        <f>AND('UP133'!IF73,"AAAAAH90e+4=")</f>
        <v>#VALUE!</v>
      </c>
      <c r="IF111" t="e">
        <f>AND('UP133'!IG73,"AAAAAH90e+8=")</f>
        <v>#VALUE!</v>
      </c>
      <c r="IG111" t="e">
        <f>AND('UP133'!IH73,"AAAAAH90e/A=")</f>
        <v>#VALUE!</v>
      </c>
      <c r="IH111" t="e">
        <f>AND('UP133'!II73,"AAAAAH90e/E=")</f>
        <v>#VALUE!</v>
      </c>
      <c r="II111" t="e">
        <f>AND('UP133'!IJ73,"AAAAAH90e/I=")</f>
        <v>#VALUE!</v>
      </c>
      <c r="IJ111" t="e">
        <f>AND('UP133'!IK73,"AAAAAH90e/M=")</f>
        <v>#VALUE!</v>
      </c>
      <c r="IK111" t="e">
        <f>AND('UP133'!IL73,"AAAAAH90e/Q=")</f>
        <v>#VALUE!</v>
      </c>
      <c r="IL111" t="e">
        <f>AND('UP133'!IM73,"AAAAAH90e/U=")</f>
        <v>#VALUE!</v>
      </c>
      <c r="IM111" t="e">
        <f>AND('UP133'!IN73,"AAAAAH90e/Y=")</f>
        <v>#VALUE!</v>
      </c>
      <c r="IN111" t="e">
        <f>AND('UP133'!IO73,"AAAAAH90e/c=")</f>
        <v>#VALUE!</v>
      </c>
      <c r="IO111" t="e">
        <f>AND('UP133'!IP73,"AAAAAH90e/g=")</f>
        <v>#VALUE!</v>
      </c>
      <c r="IP111" t="e">
        <f>AND('UP133'!IQ73,"AAAAAH90e/k=")</f>
        <v>#VALUE!</v>
      </c>
      <c r="IQ111">
        <f>IF('UP133'!74:74,"AAAAAH90e/o=",0)</f>
        <v>0</v>
      </c>
      <c r="IR111" t="e">
        <f>AND('UP133'!A74,"AAAAAH90e/s=")</f>
        <v>#VALUE!</v>
      </c>
      <c r="IS111" t="e">
        <f>AND('UP133'!B74,"AAAAAH90e/w=")</f>
        <v>#VALUE!</v>
      </c>
      <c r="IT111" t="e">
        <f>AND('UP133'!C74,"AAAAAH90e/0=")</f>
        <v>#VALUE!</v>
      </c>
      <c r="IU111" t="e">
        <f>AND('UP133'!D74,"AAAAAH90e/4=")</f>
        <v>#VALUE!</v>
      </c>
      <c r="IV111" t="e">
        <f>AND('UP133'!E74,"AAAAAH90e/8=")</f>
        <v>#VALUE!</v>
      </c>
    </row>
    <row r="112" spans="1:256">
      <c r="A112" t="e">
        <f>AND('UP133'!F74,"AAAAAG9/+wA=")</f>
        <v>#VALUE!</v>
      </c>
      <c r="B112" t="e">
        <f>AND('UP133'!G74,"AAAAAG9/+wE=")</f>
        <v>#VALUE!</v>
      </c>
      <c r="C112" t="e">
        <f>AND('UP133'!H74,"AAAAAG9/+wI=")</f>
        <v>#VALUE!</v>
      </c>
      <c r="D112" t="e">
        <f>AND('UP133'!I74,"AAAAAG9/+wM=")</f>
        <v>#VALUE!</v>
      </c>
      <c r="E112" t="e">
        <f>AND('UP133'!J74,"AAAAAG9/+wQ=")</f>
        <v>#VALUE!</v>
      </c>
      <c r="F112" t="e">
        <f>AND('UP133'!K74,"AAAAAG9/+wU=")</f>
        <v>#VALUE!</v>
      </c>
      <c r="G112" t="e">
        <f>AND('UP133'!L74,"AAAAAG9/+wY=")</f>
        <v>#VALUE!</v>
      </c>
      <c r="H112" t="e">
        <f>AND('UP133'!M74,"AAAAAG9/+wc=")</f>
        <v>#VALUE!</v>
      </c>
      <c r="I112" t="e">
        <f>AND('UP133'!N74,"AAAAAG9/+wg=")</f>
        <v>#VALUE!</v>
      </c>
      <c r="J112" t="e">
        <f>AND('UP133'!O74,"AAAAAG9/+wk=")</f>
        <v>#VALUE!</v>
      </c>
      <c r="K112" t="e">
        <f>AND('UP133'!P74,"AAAAAG9/+wo=")</f>
        <v>#VALUE!</v>
      </c>
      <c r="L112" t="e">
        <f>AND('UP133'!Q74,"AAAAAG9/+ws=")</f>
        <v>#VALUE!</v>
      </c>
      <c r="M112" t="e">
        <f>AND('UP133'!R74,"AAAAAG9/+ww=")</f>
        <v>#VALUE!</v>
      </c>
      <c r="N112" t="e">
        <f>AND('UP133'!S74,"AAAAAG9/+w0=")</f>
        <v>#VALUE!</v>
      </c>
      <c r="O112" t="e">
        <f>AND('UP133'!T74,"AAAAAG9/+w4=")</f>
        <v>#VALUE!</v>
      </c>
      <c r="P112" t="e">
        <f>AND('UP133'!U74,"AAAAAG9/+w8=")</f>
        <v>#VALUE!</v>
      </c>
      <c r="Q112" t="e">
        <f>AND('UP133'!V74,"AAAAAG9/+xA=")</f>
        <v>#VALUE!</v>
      </c>
      <c r="R112" t="e">
        <f>AND('UP133'!W74,"AAAAAG9/+xE=")</f>
        <v>#VALUE!</v>
      </c>
      <c r="S112" t="e">
        <f>AND('UP133'!X74,"AAAAAG9/+xI=")</f>
        <v>#VALUE!</v>
      </c>
      <c r="T112" t="e">
        <f>AND('UP133'!Y74,"AAAAAG9/+xM=")</f>
        <v>#VALUE!</v>
      </c>
      <c r="U112" t="e">
        <f>AND('UP133'!Z74,"AAAAAG9/+xQ=")</f>
        <v>#VALUE!</v>
      </c>
      <c r="V112" t="e">
        <f>AND('UP133'!AA74,"AAAAAG9/+xU=")</f>
        <v>#VALUE!</v>
      </c>
      <c r="W112" t="e">
        <f>AND('UP133'!AB74,"AAAAAG9/+xY=")</f>
        <v>#VALUE!</v>
      </c>
      <c r="X112" t="e">
        <f>AND('UP133'!AC74,"AAAAAG9/+xc=")</f>
        <v>#VALUE!</v>
      </c>
      <c r="Y112" t="e">
        <f>AND('UP133'!AD74,"AAAAAG9/+xg=")</f>
        <v>#VALUE!</v>
      </c>
      <c r="Z112" t="e">
        <f>AND('UP133'!AE74,"AAAAAG9/+xk=")</f>
        <v>#VALUE!</v>
      </c>
      <c r="AA112" t="e">
        <f>AND('UP133'!AF74,"AAAAAG9/+xo=")</f>
        <v>#VALUE!</v>
      </c>
      <c r="AB112" t="e">
        <f>AND('UP133'!AG74,"AAAAAG9/+xs=")</f>
        <v>#VALUE!</v>
      </c>
      <c r="AC112" t="e">
        <f>AND('UP133'!AH74,"AAAAAG9/+xw=")</f>
        <v>#VALUE!</v>
      </c>
      <c r="AD112" t="e">
        <f>AND('UP133'!AI74,"AAAAAG9/+x0=")</f>
        <v>#VALUE!</v>
      </c>
      <c r="AE112" t="e">
        <f>AND('UP133'!AJ74,"AAAAAG9/+x4=")</f>
        <v>#VALUE!</v>
      </c>
      <c r="AF112" t="e">
        <f>AND('UP133'!AK74,"AAAAAG9/+x8=")</f>
        <v>#VALUE!</v>
      </c>
      <c r="AG112" t="e">
        <f>AND('UP133'!AL74,"AAAAAG9/+yA=")</f>
        <v>#VALUE!</v>
      </c>
      <c r="AH112" t="e">
        <f>AND('UP133'!AM74,"AAAAAG9/+yE=")</f>
        <v>#VALUE!</v>
      </c>
      <c r="AI112" t="e">
        <f>AND('UP133'!AN74,"AAAAAG9/+yI=")</f>
        <v>#VALUE!</v>
      </c>
      <c r="AJ112" t="e">
        <f>AND('UP133'!AO74,"AAAAAG9/+yM=")</f>
        <v>#VALUE!</v>
      </c>
      <c r="AK112" t="e">
        <f>AND('UP133'!AP74,"AAAAAG9/+yQ=")</f>
        <v>#VALUE!</v>
      </c>
      <c r="AL112" t="e">
        <f>AND('UP133'!AQ74,"AAAAAG9/+yU=")</f>
        <v>#VALUE!</v>
      </c>
      <c r="AM112" t="e">
        <f>AND('UP133'!AR74,"AAAAAG9/+yY=")</f>
        <v>#VALUE!</v>
      </c>
      <c r="AN112" t="e">
        <f>AND('UP133'!AS74,"AAAAAG9/+yc=")</f>
        <v>#VALUE!</v>
      </c>
      <c r="AO112" t="e">
        <f>AND('UP133'!AT74,"AAAAAG9/+yg=")</f>
        <v>#VALUE!</v>
      </c>
      <c r="AP112" t="e">
        <f>AND('UP133'!AU74,"AAAAAG9/+yk=")</f>
        <v>#VALUE!</v>
      </c>
      <c r="AQ112" t="e">
        <f>AND('UP133'!AV74,"AAAAAG9/+yo=")</f>
        <v>#VALUE!</v>
      </c>
      <c r="AR112" t="e">
        <f>AND('UP133'!AW74,"AAAAAG9/+ys=")</f>
        <v>#VALUE!</v>
      </c>
      <c r="AS112" t="e">
        <f>AND('UP133'!AX74,"AAAAAG9/+yw=")</f>
        <v>#VALUE!</v>
      </c>
      <c r="AT112" t="e">
        <f>AND('UP133'!AY74,"AAAAAG9/+y0=")</f>
        <v>#VALUE!</v>
      </c>
      <c r="AU112" t="e">
        <f>AND('UP133'!AZ74,"AAAAAG9/+y4=")</f>
        <v>#VALUE!</v>
      </c>
      <c r="AV112" t="e">
        <f>AND('UP133'!BA74,"AAAAAG9/+y8=")</f>
        <v>#VALUE!</v>
      </c>
      <c r="AW112" t="e">
        <f>AND('UP133'!BB74,"AAAAAG9/+zA=")</f>
        <v>#VALUE!</v>
      </c>
      <c r="AX112" t="e">
        <f>AND('UP133'!BC74,"AAAAAG9/+zE=")</f>
        <v>#VALUE!</v>
      </c>
      <c r="AY112" t="e">
        <f>AND('UP133'!BD74,"AAAAAG9/+zI=")</f>
        <v>#VALUE!</v>
      </c>
      <c r="AZ112" t="e">
        <f>AND('UP133'!BE74,"AAAAAG9/+zM=")</f>
        <v>#VALUE!</v>
      </c>
      <c r="BA112" t="e">
        <f>AND('UP133'!BF74,"AAAAAG9/+zQ=")</f>
        <v>#VALUE!</v>
      </c>
      <c r="BB112" t="e">
        <f>AND('UP133'!BG74,"AAAAAG9/+zU=")</f>
        <v>#VALUE!</v>
      </c>
      <c r="BC112" t="e">
        <f>AND('UP133'!BH74,"AAAAAG9/+zY=")</f>
        <v>#VALUE!</v>
      </c>
      <c r="BD112" t="e">
        <f>AND('UP133'!BI74,"AAAAAG9/+zc=")</f>
        <v>#VALUE!</v>
      </c>
      <c r="BE112" t="e">
        <f>AND('UP133'!BJ74,"AAAAAG9/+zg=")</f>
        <v>#VALUE!</v>
      </c>
      <c r="BF112" t="e">
        <f>AND('UP133'!BK74,"AAAAAG9/+zk=")</f>
        <v>#VALUE!</v>
      </c>
      <c r="BG112" t="e">
        <f>AND('UP133'!BL74,"AAAAAG9/+zo=")</f>
        <v>#VALUE!</v>
      </c>
      <c r="BH112" t="e">
        <f>AND('UP133'!BM74,"AAAAAG9/+zs=")</f>
        <v>#VALUE!</v>
      </c>
      <c r="BI112" t="e">
        <f>AND('UP133'!BN74,"AAAAAG9/+zw=")</f>
        <v>#VALUE!</v>
      </c>
      <c r="BJ112" t="e">
        <f>AND('UP133'!BO74,"AAAAAG9/+z0=")</f>
        <v>#VALUE!</v>
      </c>
      <c r="BK112" t="e">
        <f>AND('UP133'!BP74,"AAAAAG9/+z4=")</f>
        <v>#VALUE!</v>
      </c>
      <c r="BL112" t="e">
        <f>AND('UP133'!BQ74,"AAAAAG9/+z8=")</f>
        <v>#VALUE!</v>
      </c>
      <c r="BM112" t="e">
        <f>AND('UP133'!BR74,"AAAAAG9/+0A=")</f>
        <v>#VALUE!</v>
      </c>
      <c r="BN112" t="e">
        <f>AND('UP133'!BS74,"AAAAAG9/+0E=")</f>
        <v>#VALUE!</v>
      </c>
      <c r="BO112" t="e">
        <f>AND('UP133'!BT74,"AAAAAG9/+0I=")</f>
        <v>#VALUE!</v>
      </c>
      <c r="BP112" t="e">
        <f>AND('UP133'!BU74,"AAAAAG9/+0M=")</f>
        <v>#VALUE!</v>
      </c>
      <c r="BQ112" t="e">
        <f>AND('UP133'!BV74,"AAAAAG9/+0Q=")</f>
        <v>#VALUE!</v>
      </c>
      <c r="BR112" t="e">
        <f>AND('UP133'!BW74,"AAAAAG9/+0U=")</f>
        <v>#VALUE!</v>
      </c>
      <c r="BS112" t="e">
        <f>AND('UP133'!BX74,"AAAAAG9/+0Y=")</f>
        <v>#VALUE!</v>
      </c>
      <c r="BT112" t="e">
        <f>AND('UP133'!BY74,"AAAAAG9/+0c=")</f>
        <v>#VALUE!</v>
      </c>
      <c r="BU112" t="e">
        <f>AND('UP133'!BZ74,"AAAAAG9/+0g=")</f>
        <v>#VALUE!</v>
      </c>
      <c r="BV112" t="e">
        <f>AND('UP133'!CA74,"AAAAAG9/+0k=")</f>
        <v>#VALUE!</v>
      </c>
      <c r="BW112" t="e">
        <f>AND('UP133'!CB74,"AAAAAG9/+0o=")</f>
        <v>#VALUE!</v>
      </c>
      <c r="BX112" t="e">
        <f>AND('UP133'!CC74,"AAAAAG9/+0s=")</f>
        <v>#VALUE!</v>
      </c>
      <c r="BY112" t="e">
        <f>AND('UP133'!CD74,"AAAAAG9/+0w=")</f>
        <v>#VALUE!</v>
      </c>
      <c r="BZ112" t="e">
        <f>AND('UP133'!CE74,"AAAAAG9/+00=")</f>
        <v>#VALUE!</v>
      </c>
      <c r="CA112" t="e">
        <f>AND('UP133'!CF74,"AAAAAG9/+04=")</f>
        <v>#VALUE!</v>
      </c>
      <c r="CB112" t="e">
        <f>AND('UP133'!CG74,"AAAAAG9/+08=")</f>
        <v>#VALUE!</v>
      </c>
      <c r="CC112" t="e">
        <f>AND('UP133'!CH74,"AAAAAG9/+1A=")</f>
        <v>#VALUE!</v>
      </c>
      <c r="CD112" t="e">
        <f>AND('UP133'!CI74,"AAAAAG9/+1E=")</f>
        <v>#VALUE!</v>
      </c>
      <c r="CE112" t="e">
        <f>AND('UP133'!CJ74,"AAAAAG9/+1I=")</f>
        <v>#VALUE!</v>
      </c>
      <c r="CF112" t="e">
        <f>AND('UP133'!CK74,"AAAAAG9/+1M=")</f>
        <v>#VALUE!</v>
      </c>
      <c r="CG112" t="e">
        <f>AND('UP133'!CL74,"AAAAAG9/+1Q=")</f>
        <v>#VALUE!</v>
      </c>
      <c r="CH112" t="e">
        <f>AND('UP133'!CM74,"AAAAAG9/+1U=")</f>
        <v>#VALUE!</v>
      </c>
      <c r="CI112" t="e">
        <f>AND('UP133'!CN74,"AAAAAG9/+1Y=")</f>
        <v>#VALUE!</v>
      </c>
      <c r="CJ112" t="e">
        <f>AND('UP133'!CO74,"AAAAAG9/+1c=")</f>
        <v>#VALUE!</v>
      </c>
      <c r="CK112" t="e">
        <f>AND('UP133'!CP74,"AAAAAG9/+1g=")</f>
        <v>#VALUE!</v>
      </c>
      <c r="CL112" t="e">
        <f>AND('UP133'!CQ74,"AAAAAG9/+1k=")</f>
        <v>#VALUE!</v>
      </c>
      <c r="CM112" t="e">
        <f>AND('UP133'!CR74,"AAAAAG9/+1o=")</f>
        <v>#VALUE!</v>
      </c>
      <c r="CN112" t="e">
        <f>AND('UP133'!CS74,"AAAAAG9/+1s=")</f>
        <v>#VALUE!</v>
      </c>
      <c r="CO112" t="e">
        <f>AND('UP133'!CT74,"AAAAAG9/+1w=")</f>
        <v>#VALUE!</v>
      </c>
      <c r="CP112" t="e">
        <f>AND('UP133'!CU74,"AAAAAG9/+10=")</f>
        <v>#VALUE!</v>
      </c>
      <c r="CQ112" t="e">
        <f>AND('UP133'!CV74,"AAAAAG9/+14=")</f>
        <v>#VALUE!</v>
      </c>
      <c r="CR112" t="e">
        <f>AND('UP133'!CW74,"AAAAAG9/+18=")</f>
        <v>#VALUE!</v>
      </c>
      <c r="CS112" t="e">
        <f>AND('UP133'!CX74,"AAAAAG9/+2A=")</f>
        <v>#VALUE!</v>
      </c>
      <c r="CT112" t="e">
        <f>AND('UP133'!CY74,"AAAAAG9/+2E=")</f>
        <v>#VALUE!</v>
      </c>
      <c r="CU112" t="e">
        <f>AND('UP133'!CZ74,"AAAAAG9/+2I=")</f>
        <v>#VALUE!</v>
      </c>
      <c r="CV112" t="e">
        <f>AND('UP133'!DA74,"AAAAAG9/+2M=")</f>
        <v>#VALUE!</v>
      </c>
      <c r="CW112" t="e">
        <f>AND('UP133'!DB74,"AAAAAG9/+2Q=")</f>
        <v>#VALUE!</v>
      </c>
      <c r="CX112" t="e">
        <f>AND('UP133'!DC74,"AAAAAG9/+2U=")</f>
        <v>#VALUE!</v>
      </c>
      <c r="CY112" t="e">
        <f>AND('UP133'!DD74,"AAAAAG9/+2Y=")</f>
        <v>#VALUE!</v>
      </c>
      <c r="CZ112" t="e">
        <f>AND('UP133'!DE74,"AAAAAG9/+2c=")</f>
        <v>#VALUE!</v>
      </c>
      <c r="DA112" t="e">
        <f>AND('UP133'!DF74,"AAAAAG9/+2g=")</f>
        <v>#VALUE!</v>
      </c>
      <c r="DB112" t="e">
        <f>AND('UP133'!DG74,"AAAAAG9/+2k=")</f>
        <v>#VALUE!</v>
      </c>
      <c r="DC112" t="e">
        <f>AND('UP133'!DH74,"AAAAAG9/+2o=")</f>
        <v>#VALUE!</v>
      </c>
      <c r="DD112" t="e">
        <f>AND('UP133'!DI74,"AAAAAG9/+2s=")</f>
        <v>#VALUE!</v>
      </c>
      <c r="DE112" t="e">
        <f>AND('UP133'!DJ74,"AAAAAG9/+2w=")</f>
        <v>#VALUE!</v>
      </c>
      <c r="DF112" t="e">
        <f>AND('UP133'!DK74,"AAAAAG9/+20=")</f>
        <v>#VALUE!</v>
      </c>
      <c r="DG112" t="e">
        <f>AND('UP133'!DL74,"AAAAAG9/+24=")</f>
        <v>#VALUE!</v>
      </c>
      <c r="DH112" t="e">
        <f>AND('UP133'!DM74,"AAAAAG9/+28=")</f>
        <v>#VALUE!</v>
      </c>
      <c r="DI112" t="e">
        <f>AND('UP133'!DN74,"AAAAAG9/+3A=")</f>
        <v>#VALUE!</v>
      </c>
      <c r="DJ112" t="e">
        <f>AND('UP133'!DO74,"AAAAAG9/+3E=")</f>
        <v>#VALUE!</v>
      </c>
      <c r="DK112" t="e">
        <f>AND('UP133'!DP74,"AAAAAG9/+3I=")</f>
        <v>#VALUE!</v>
      </c>
      <c r="DL112" t="e">
        <f>AND('UP133'!DQ74,"AAAAAG9/+3M=")</f>
        <v>#VALUE!</v>
      </c>
      <c r="DM112" t="e">
        <f>AND('UP133'!DR74,"AAAAAG9/+3Q=")</f>
        <v>#VALUE!</v>
      </c>
      <c r="DN112" t="e">
        <f>AND('UP133'!DS74,"AAAAAG9/+3U=")</f>
        <v>#VALUE!</v>
      </c>
      <c r="DO112" t="e">
        <f>AND('UP133'!DT74,"AAAAAG9/+3Y=")</f>
        <v>#VALUE!</v>
      </c>
      <c r="DP112" t="e">
        <f>AND('UP133'!DU74,"AAAAAG9/+3c=")</f>
        <v>#VALUE!</v>
      </c>
      <c r="DQ112" t="e">
        <f>AND('UP133'!DV74,"AAAAAG9/+3g=")</f>
        <v>#VALUE!</v>
      </c>
      <c r="DR112" t="e">
        <f>AND('UP133'!DW74,"AAAAAG9/+3k=")</f>
        <v>#VALUE!</v>
      </c>
      <c r="DS112" t="e">
        <f>AND('UP133'!DX74,"AAAAAG9/+3o=")</f>
        <v>#VALUE!</v>
      </c>
      <c r="DT112" t="e">
        <f>AND('UP133'!DY74,"AAAAAG9/+3s=")</f>
        <v>#VALUE!</v>
      </c>
      <c r="DU112" t="e">
        <f>AND('UP133'!DZ74,"AAAAAG9/+3w=")</f>
        <v>#VALUE!</v>
      </c>
      <c r="DV112" t="e">
        <f>AND('UP133'!EA74,"AAAAAG9/+30=")</f>
        <v>#VALUE!</v>
      </c>
      <c r="DW112" t="e">
        <f>AND('UP133'!EB74,"AAAAAG9/+34=")</f>
        <v>#VALUE!</v>
      </c>
      <c r="DX112" t="e">
        <f>AND('UP133'!EC74,"AAAAAG9/+38=")</f>
        <v>#VALUE!</v>
      </c>
      <c r="DY112" t="e">
        <f>AND('UP133'!ED74,"AAAAAG9/+4A=")</f>
        <v>#VALUE!</v>
      </c>
      <c r="DZ112" t="e">
        <f>AND('UP133'!EE74,"AAAAAG9/+4E=")</f>
        <v>#VALUE!</v>
      </c>
      <c r="EA112" t="e">
        <f>AND('UP133'!EF74,"AAAAAG9/+4I=")</f>
        <v>#VALUE!</v>
      </c>
      <c r="EB112" t="e">
        <f>AND('UP133'!EG74,"AAAAAG9/+4M=")</f>
        <v>#VALUE!</v>
      </c>
      <c r="EC112" t="e">
        <f>AND('UP133'!EH74,"AAAAAG9/+4Q=")</f>
        <v>#VALUE!</v>
      </c>
      <c r="ED112" t="e">
        <f>AND('UP133'!EI74,"AAAAAG9/+4U=")</f>
        <v>#VALUE!</v>
      </c>
      <c r="EE112" t="e">
        <f>AND('UP133'!EJ74,"AAAAAG9/+4Y=")</f>
        <v>#VALUE!</v>
      </c>
      <c r="EF112" t="e">
        <f>AND('UP133'!EK74,"AAAAAG9/+4c=")</f>
        <v>#VALUE!</v>
      </c>
      <c r="EG112" t="e">
        <f>AND('UP133'!EL74,"AAAAAG9/+4g=")</f>
        <v>#VALUE!</v>
      </c>
      <c r="EH112" t="e">
        <f>AND('UP133'!EM74,"AAAAAG9/+4k=")</f>
        <v>#VALUE!</v>
      </c>
      <c r="EI112" t="e">
        <f>AND('UP133'!EN74,"AAAAAG9/+4o=")</f>
        <v>#VALUE!</v>
      </c>
      <c r="EJ112" t="e">
        <f>AND('UP133'!EO74,"AAAAAG9/+4s=")</f>
        <v>#VALUE!</v>
      </c>
      <c r="EK112" t="e">
        <f>AND('UP133'!EP74,"AAAAAG9/+4w=")</f>
        <v>#VALUE!</v>
      </c>
      <c r="EL112" t="e">
        <f>AND('UP133'!EQ74,"AAAAAG9/+40=")</f>
        <v>#VALUE!</v>
      </c>
      <c r="EM112" t="e">
        <f>AND('UP133'!ER74,"AAAAAG9/+44=")</f>
        <v>#VALUE!</v>
      </c>
      <c r="EN112" t="e">
        <f>AND('UP133'!ES74,"AAAAAG9/+48=")</f>
        <v>#VALUE!</v>
      </c>
      <c r="EO112" t="e">
        <f>AND('UP133'!ET74,"AAAAAG9/+5A=")</f>
        <v>#VALUE!</v>
      </c>
      <c r="EP112" t="e">
        <f>AND('UP133'!EU74,"AAAAAG9/+5E=")</f>
        <v>#VALUE!</v>
      </c>
      <c r="EQ112" t="e">
        <f>AND('UP133'!EV74,"AAAAAG9/+5I=")</f>
        <v>#VALUE!</v>
      </c>
      <c r="ER112" t="e">
        <f>AND('UP133'!EW74,"AAAAAG9/+5M=")</f>
        <v>#VALUE!</v>
      </c>
      <c r="ES112" t="e">
        <f>AND('UP133'!EX74,"AAAAAG9/+5Q=")</f>
        <v>#VALUE!</v>
      </c>
      <c r="ET112" t="e">
        <f>AND('UP133'!EY74,"AAAAAG9/+5U=")</f>
        <v>#VALUE!</v>
      </c>
      <c r="EU112" t="e">
        <f>AND('UP133'!EZ74,"AAAAAG9/+5Y=")</f>
        <v>#VALUE!</v>
      </c>
      <c r="EV112" t="e">
        <f>AND('UP133'!FA74,"AAAAAG9/+5c=")</f>
        <v>#VALUE!</v>
      </c>
      <c r="EW112" t="e">
        <f>AND('UP133'!FB74,"AAAAAG9/+5g=")</f>
        <v>#VALUE!</v>
      </c>
      <c r="EX112" t="e">
        <f>AND('UP133'!FC74,"AAAAAG9/+5k=")</f>
        <v>#VALUE!</v>
      </c>
      <c r="EY112" t="e">
        <f>AND('UP133'!FD74,"AAAAAG9/+5o=")</f>
        <v>#VALUE!</v>
      </c>
      <c r="EZ112" t="e">
        <f>AND('UP133'!FE74,"AAAAAG9/+5s=")</f>
        <v>#VALUE!</v>
      </c>
      <c r="FA112" t="e">
        <f>AND('UP133'!FF74,"AAAAAG9/+5w=")</f>
        <v>#VALUE!</v>
      </c>
      <c r="FB112" t="e">
        <f>AND('UP133'!FG74,"AAAAAG9/+50=")</f>
        <v>#VALUE!</v>
      </c>
      <c r="FC112" t="e">
        <f>AND('UP133'!FH74,"AAAAAG9/+54=")</f>
        <v>#VALUE!</v>
      </c>
      <c r="FD112" t="e">
        <f>AND('UP133'!FI74,"AAAAAG9/+58=")</f>
        <v>#VALUE!</v>
      </c>
      <c r="FE112" t="e">
        <f>AND('UP133'!FJ74,"AAAAAG9/+6A=")</f>
        <v>#VALUE!</v>
      </c>
      <c r="FF112" t="e">
        <f>AND('UP133'!FK74,"AAAAAG9/+6E=")</f>
        <v>#VALUE!</v>
      </c>
      <c r="FG112" t="e">
        <f>AND('UP133'!FL74,"AAAAAG9/+6I=")</f>
        <v>#VALUE!</v>
      </c>
      <c r="FH112" t="e">
        <f>AND('UP133'!FM74,"AAAAAG9/+6M=")</f>
        <v>#VALUE!</v>
      </c>
      <c r="FI112" t="e">
        <f>AND('UP133'!FN74,"AAAAAG9/+6Q=")</f>
        <v>#VALUE!</v>
      </c>
      <c r="FJ112" t="e">
        <f>AND('UP133'!FO74,"AAAAAG9/+6U=")</f>
        <v>#VALUE!</v>
      </c>
      <c r="FK112" t="e">
        <f>AND('UP133'!FP74,"AAAAAG9/+6Y=")</f>
        <v>#VALUE!</v>
      </c>
      <c r="FL112" t="e">
        <f>AND('UP133'!FQ74,"AAAAAG9/+6c=")</f>
        <v>#VALUE!</v>
      </c>
      <c r="FM112" t="e">
        <f>AND('UP133'!FR74,"AAAAAG9/+6g=")</f>
        <v>#VALUE!</v>
      </c>
      <c r="FN112" t="e">
        <f>AND('UP133'!FS74,"AAAAAG9/+6k=")</f>
        <v>#VALUE!</v>
      </c>
      <c r="FO112" t="e">
        <f>AND('UP133'!FT74,"AAAAAG9/+6o=")</f>
        <v>#VALUE!</v>
      </c>
      <c r="FP112" t="e">
        <f>AND('UP133'!FU74,"AAAAAG9/+6s=")</f>
        <v>#VALUE!</v>
      </c>
      <c r="FQ112" t="e">
        <f>AND('UP133'!FV74,"AAAAAG9/+6w=")</f>
        <v>#VALUE!</v>
      </c>
      <c r="FR112" t="e">
        <f>AND('UP133'!FW74,"AAAAAG9/+60=")</f>
        <v>#VALUE!</v>
      </c>
      <c r="FS112" t="e">
        <f>AND('UP133'!FX74,"AAAAAG9/+64=")</f>
        <v>#VALUE!</v>
      </c>
      <c r="FT112" t="e">
        <f>AND('UP133'!FY74,"AAAAAG9/+68=")</f>
        <v>#VALUE!</v>
      </c>
      <c r="FU112" t="e">
        <f>AND('UP133'!FZ74,"AAAAAG9/+7A=")</f>
        <v>#VALUE!</v>
      </c>
      <c r="FV112" t="e">
        <f>AND('UP133'!GA74,"AAAAAG9/+7E=")</f>
        <v>#VALUE!</v>
      </c>
      <c r="FW112" t="e">
        <f>AND('UP133'!GB74,"AAAAAG9/+7I=")</f>
        <v>#VALUE!</v>
      </c>
      <c r="FX112" t="e">
        <f>AND('UP133'!GC74,"AAAAAG9/+7M=")</f>
        <v>#VALUE!</v>
      </c>
      <c r="FY112" t="e">
        <f>AND('UP133'!GD74,"AAAAAG9/+7Q=")</f>
        <v>#VALUE!</v>
      </c>
      <c r="FZ112" t="e">
        <f>AND('UP133'!GE74,"AAAAAG9/+7U=")</f>
        <v>#VALUE!</v>
      </c>
      <c r="GA112" t="e">
        <f>AND('UP133'!GF74,"AAAAAG9/+7Y=")</f>
        <v>#VALUE!</v>
      </c>
      <c r="GB112" t="e">
        <f>AND('UP133'!GG74,"AAAAAG9/+7c=")</f>
        <v>#VALUE!</v>
      </c>
      <c r="GC112" t="e">
        <f>AND('UP133'!GH74,"AAAAAG9/+7g=")</f>
        <v>#VALUE!</v>
      </c>
      <c r="GD112" t="e">
        <f>AND('UP133'!GI74,"AAAAAG9/+7k=")</f>
        <v>#VALUE!</v>
      </c>
      <c r="GE112" t="e">
        <f>AND('UP133'!GJ74,"AAAAAG9/+7o=")</f>
        <v>#VALUE!</v>
      </c>
      <c r="GF112" t="e">
        <f>AND('UP133'!GK74,"AAAAAG9/+7s=")</f>
        <v>#VALUE!</v>
      </c>
      <c r="GG112" t="e">
        <f>AND('UP133'!GL74,"AAAAAG9/+7w=")</f>
        <v>#VALUE!</v>
      </c>
      <c r="GH112" t="e">
        <f>AND('UP133'!GM74,"AAAAAG9/+70=")</f>
        <v>#VALUE!</v>
      </c>
      <c r="GI112" t="e">
        <f>AND('UP133'!GN74,"AAAAAG9/+74=")</f>
        <v>#VALUE!</v>
      </c>
      <c r="GJ112" t="e">
        <f>AND('UP133'!GO74,"AAAAAG9/+78=")</f>
        <v>#VALUE!</v>
      </c>
      <c r="GK112" t="e">
        <f>AND('UP133'!GP74,"AAAAAG9/+8A=")</f>
        <v>#VALUE!</v>
      </c>
      <c r="GL112" t="e">
        <f>AND('UP133'!GQ74,"AAAAAG9/+8E=")</f>
        <v>#VALUE!</v>
      </c>
      <c r="GM112" t="e">
        <f>AND('UP133'!GR74,"AAAAAG9/+8I=")</f>
        <v>#VALUE!</v>
      </c>
      <c r="GN112" t="e">
        <f>AND('UP133'!GS74,"AAAAAG9/+8M=")</f>
        <v>#VALUE!</v>
      </c>
      <c r="GO112" t="e">
        <f>AND('UP133'!GT74,"AAAAAG9/+8Q=")</f>
        <v>#VALUE!</v>
      </c>
      <c r="GP112" t="e">
        <f>AND('UP133'!GU74,"AAAAAG9/+8U=")</f>
        <v>#VALUE!</v>
      </c>
      <c r="GQ112" t="e">
        <f>AND('UP133'!GV74,"AAAAAG9/+8Y=")</f>
        <v>#VALUE!</v>
      </c>
      <c r="GR112" t="e">
        <f>AND('UP133'!GW74,"AAAAAG9/+8c=")</f>
        <v>#VALUE!</v>
      </c>
      <c r="GS112" t="e">
        <f>AND('UP133'!GX74,"AAAAAG9/+8g=")</f>
        <v>#VALUE!</v>
      </c>
      <c r="GT112" t="e">
        <f>AND('UP133'!GY74,"AAAAAG9/+8k=")</f>
        <v>#VALUE!</v>
      </c>
      <c r="GU112" t="e">
        <f>AND('UP133'!GZ74,"AAAAAG9/+8o=")</f>
        <v>#VALUE!</v>
      </c>
      <c r="GV112" t="e">
        <f>AND('UP133'!HA74,"AAAAAG9/+8s=")</f>
        <v>#VALUE!</v>
      </c>
      <c r="GW112" t="e">
        <f>AND('UP133'!HB74,"AAAAAG9/+8w=")</f>
        <v>#VALUE!</v>
      </c>
      <c r="GX112" t="e">
        <f>AND('UP133'!HC74,"AAAAAG9/+80=")</f>
        <v>#VALUE!</v>
      </c>
      <c r="GY112" t="e">
        <f>AND('UP133'!HD74,"AAAAAG9/+84=")</f>
        <v>#VALUE!</v>
      </c>
      <c r="GZ112" t="e">
        <f>AND('UP133'!HE74,"AAAAAG9/+88=")</f>
        <v>#VALUE!</v>
      </c>
      <c r="HA112" t="e">
        <f>AND('UP133'!HF74,"AAAAAG9/+9A=")</f>
        <v>#VALUE!</v>
      </c>
      <c r="HB112" t="e">
        <f>AND('UP133'!HG74,"AAAAAG9/+9E=")</f>
        <v>#VALUE!</v>
      </c>
      <c r="HC112" t="e">
        <f>AND('UP133'!HH74,"AAAAAG9/+9I=")</f>
        <v>#VALUE!</v>
      </c>
      <c r="HD112" t="e">
        <f>AND('UP133'!HI74,"AAAAAG9/+9M=")</f>
        <v>#VALUE!</v>
      </c>
      <c r="HE112" t="e">
        <f>AND('UP133'!HJ74,"AAAAAG9/+9Q=")</f>
        <v>#VALUE!</v>
      </c>
      <c r="HF112" t="e">
        <f>AND('UP133'!HK74,"AAAAAG9/+9U=")</f>
        <v>#VALUE!</v>
      </c>
      <c r="HG112" t="e">
        <f>AND('UP133'!HL74,"AAAAAG9/+9Y=")</f>
        <v>#VALUE!</v>
      </c>
      <c r="HH112" t="e">
        <f>AND('UP133'!HM74,"AAAAAG9/+9c=")</f>
        <v>#VALUE!</v>
      </c>
      <c r="HI112" t="e">
        <f>AND('UP133'!HN74,"AAAAAG9/+9g=")</f>
        <v>#VALUE!</v>
      </c>
      <c r="HJ112" t="e">
        <f>AND('UP133'!HO74,"AAAAAG9/+9k=")</f>
        <v>#VALUE!</v>
      </c>
      <c r="HK112" t="e">
        <f>AND('UP133'!HP74,"AAAAAG9/+9o=")</f>
        <v>#VALUE!</v>
      </c>
      <c r="HL112" t="e">
        <f>AND('UP133'!HQ74,"AAAAAG9/+9s=")</f>
        <v>#VALUE!</v>
      </c>
      <c r="HM112" t="e">
        <f>AND('UP133'!HR74,"AAAAAG9/+9w=")</f>
        <v>#VALUE!</v>
      </c>
      <c r="HN112" t="e">
        <f>AND('UP133'!HS74,"AAAAAG9/+90=")</f>
        <v>#VALUE!</v>
      </c>
      <c r="HO112" t="e">
        <f>AND('UP133'!HT74,"AAAAAG9/+94=")</f>
        <v>#VALUE!</v>
      </c>
      <c r="HP112" t="e">
        <f>AND('UP133'!HU74,"AAAAAG9/+98=")</f>
        <v>#VALUE!</v>
      </c>
      <c r="HQ112" t="e">
        <f>AND('UP133'!HV74,"AAAAAG9/++A=")</f>
        <v>#VALUE!</v>
      </c>
      <c r="HR112" t="e">
        <f>AND('UP133'!HW74,"AAAAAG9/++E=")</f>
        <v>#VALUE!</v>
      </c>
      <c r="HS112" t="e">
        <f>AND('UP133'!HX74,"AAAAAG9/++I=")</f>
        <v>#VALUE!</v>
      </c>
      <c r="HT112" t="e">
        <f>AND('UP133'!HY74,"AAAAAG9/++M=")</f>
        <v>#VALUE!</v>
      </c>
      <c r="HU112" t="e">
        <f>AND('UP133'!HZ74,"AAAAAG9/++Q=")</f>
        <v>#VALUE!</v>
      </c>
      <c r="HV112" t="e">
        <f>AND('UP133'!IA74,"AAAAAG9/++U=")</f>
        <v>#VALUE!</v>
      </c>
      <c r="HW112" t="e">
        <f>AND('UP133'!IB74,"AAAAAG9/++Y=")</f>
        <v>#VALUE!</v>
      </c>
      <c r="HX112" t="e">
        <f>AND('UP133'!IC74,"AAAAAG9/++c=")</f>
        <v>#VALUE!</v>
      </c>
      <c r="HY112" t="e">
        <f>AND('UP133'!ID74,"AAAAAG9/++g=")</f>
        <v>#VALUE!</v>
      </c>
      <c r="HZ112" t="e">
        <f>AND('UP133'!IE74,"AAAAAG9/++k=")</f>
        <v>#VALUE!</v>
      </c>
      <c r="IA112" t="e">
        <f>AND('UP133'!IF74,"AAAAAG9/++o=")</f>
        <v>#VALUE!</v>
      </c>
      <c r="IB112" t="e">
        <f>AND('UP133'!IG74,"AAAAAG9/++s=")</f>
        <v>#VALUE!</v>
      </c>
      <c r="IC112" t="e">
        <f>AND('UP133'!IH74,"AAAAAG9/++w=")</f>
        <v>#VALUE!</v>
      </c>
      <c r="ID112" t="e">
        <f>AND('UP133'!II74,"AAAAAG9/++0=")</f>
        <v>#VALUE!</v>
      </c>
      <c r="IE112" t="e">
        <f>AND('UP133'!IJ74,"AAAAAG9/++4=")</f>
        <v>#VALUE!</v>
      </c>
      <c r="IF112" t="e">
        <f>AND('UP133'!IK74,"AAAAAG9/++8=")</f>
        <v>#VALUE!</v>
      </c>
      <c r="IG112" t="e">
        <f>AND('UP133'!IL74,"AAAAAG9/+/A=")</f>
        <v>#VALUE!</v>
      </c>
      <c r="IH112" t="e">
        <f>AND('UP133'!IM74,"AAAAAG9/+/E=")</f>
        <v>#VALUE!</v>
      </c>
      <c r="II112" t="e">
        <f>AND('UP133'!IN74,"AAAAAG9/+/I=")</f>
        <v>#VALUE!</v>
      </c>
      <c r="IJ112" t="e">
        <f>AND('UP133'!IO74,"AAAAAG9/+/M=")</f>
        <v>#VALUE!</v>
      </c>
      <c r="IK112" t="e">
        <f>AND('UP133'!IP74,"AAAAAG9/+/Q=")</f>
        <v>#VALUE!</v>
      </c>
      <c r="IL112" t="e">
        <f>AND('UP133'!IQ74,"AAAAAG9/+/U=")</f>
        <v>#VALUE!</v>
      </c>
      <c r="IM112">
        <f>IF('UP133'!75:75,"AAAAAG9/+/Y=",0)</f>
        <v>0</v>
      </c>
      <c r="IN112" t="e">
        <f>AND('UP133'!A75,"AAAAAG9/+/c=")</f>
        <v>#VALUE!</v>
      </c>
      <c r="IO112" t="e">
        <f>AND('UP133'!B75,"AAAAAG9/+/g=")</f>
        <v>#VALUE!</v>
      </c>
      <c r="IP112" t="e">
        <f>AND('UP133'!C75,"AAAAAG9/+/k=")</f>
        <v>#VALUE!</v>
      </c>
      <c r="IQ112" t="e">
        <f>AND('UP133'!D75,"AAAAAG9/+/o=")</f>
        <v>#VALUE!</v>
      </c>
      <c r="IR112" t="e">
        <f>AND('UP133'!E75,"AAAAAG9/+/s=")</f>
        <v>#VALUE!</v>
      </c>
      <c r="IS112" t="e">
        <f>AND('UP133'!F75,"AAAAAG9/+/w=")</f>
        <v>#VALUE!</v>
      </c>
      <c r="IT112" t="e">
        <f>AND('UP133'!G75,"AAAAAG9/+/0=")</f>
        <v>#VALUE!</v>
      </c>
      <c r="IU112" t="e">
        <f>AND('UP133'!H75,"AAAAAG9/+/4=")</f>
        <v>#VALUE!</v>
      </c>
      <c r="IV112" t="e">
        <f>AND('UP133'!I75,"AAAAAG9/+/8=")</f>
        <v>#VALUE!</v>
      </c>
    </row>
    <row r="113" spans="1:256">
      <c r="A113" t="e">
        <f>AND('UP133'!J75,"AAAAAH/9jgA=")</f>
        <v>#VALUE!</v>
      </c>
      <c r="B113" t="e">
        <f>AND('UP133'!K75,"AAAAAH/9jgE=")</f>
        <v>#VALUE!</v>
      </c>
      <c r="C113" t="e">
        <f>AND('UP133'!L75,"AAAAAH/9jgI=")</f>
        <v>#VALUE!</v>
      </c>
      <c r="D113" t="e">
        <f>AND('UP133'!M75,"AAAAAH/9jgM=")</f>
        <v>#VALUE!</v>
      </c>
      <c r="E113" t="e">
        <f>AND('UP133'!N75,"AAAAAH/9jgQ=")</f>
        <v>#VALUE!</v>
      </c>
      <c r="F113" t="e">
        <f>AND('UP133'!O75,"AAAAAH/9jgU=")</f>
        <v>#VALUE!</v>
      </c>
      <c r="G113" t="e">
        <f>AND('UP133'!P75,"AAAAAH/9jgY=")</f>
        <v>#VALUE!</v>
      </c>
      <c r="H113" t="e">
        <f>AND('UP133'!Q75,"AAAAAH/9jgc=")</f>
        <v>#VALUE!</v>
      </c>
      <c r="I113" t="e">
        <f>AND('UP133'!R75,"AAAAAH/9jgg=")</f>
        <v>#VALUE!</v>
      </c>
      <c r="J113" t="e">
        <f>AND('UP133'!S75,"AAAAAH/9jgk=")</f>
        <v>#VALUE!</v>
      </c>
      <c r="K113" t="e">
        <f>AND('UP133'!T75,"AAAAAH/9jgo=")</f>
        <v>#VALUE!</v>
      </c>
      <c r="L113" t="e">
        <f>AND('UP133'!U75,"AAAAAH/9jgs=")</f>
        <v>#VALUE!</v>
      </c>
      <c r="M113" t="e">
        <f>AND('UP133'!V75,"AAAAAH/9jgw=")</f>
        <v>#VALUE!</v>
      </c>
      <c r="N113" t="e">
        <f>AND('UP133'!W75,"AAAAAH/9jg0=")</f>
        <v>#VALUE!</v>
      </c>
      <c r="O113" t="e">
        <f>AND('UP133'!X75,"AAAAAH/9jg4=")</f>
        <v>#VALUE!</v>
      </c>
      <c r="P113" t="e">
        <f>AND('UP133'!Y75,"AAAAAH/9jg8=")</f>
        <v>#VALUE!</v>
      </c>
      <c r="Q113" t="e">
        <f>AND('UP133'!Z75,"AAAAAH/9jhA=")</f>
        <v>#VALUE!</v>
      </c>
      <c r="R113" t="e">
        <f>AND('UP133'!AA75,"AAAAAH/9jhE=")</f>
        <v>#VALUE!</v>
      </c>
      <c r="S113" t="e">
        <f>AND('UP133'!AB75,"AAAAAH/9jhI=")</f>
        <v>#VALUE!</v>
      </c>
      <c r="T113" t="e">
        <f>AND('UP133'!AC75,"AAAAAH/9jhM=")</f>
        <v>#VALUE!</v>
      </c>
      <c r="U113" t="e">
        <f>AND('UP133'!AD75,"AAAAAH/9jhQ=")</f>
        <v>#VALUE!</v>
      </c>
      <c r="V113" t="e">
        <f>AND('UP133'!AE75,"AAAAAH/9jhU=")</f>
        <v>#VALUE!</v>
      </c>
      <c r="W113" t="e">
        <f>AND('UP133'!AF75,"AAAAAH/9jhY=")</f>
        <v>#VALUE!</v>
      </c>
      <c r="X113" t="e">
        <f>AND('UP133'!AG75,"AAAAAH/9jhc=")</f>
        <v>#VALUE!</v>
      </c>
      <c r="Y113" t="e">
        <f>AND('UP133'!AH75,"AAAAAH/9jhg=")</f>
        <v>#VALUE!</v>
      </c>
      <c r="Z113" t="e">
        <f>AND('UP133'!AI75,"AAAAAH/9jhk=")</f>
        <v>#VALUE!</v>
      </c>
      <c r="AA113" t="e">
        <f>AND('UP133'!AJ75,"AAAAAH/9jho=")</f>
        <v>#VALUE!</v>
      </c>
      <c r="AB113" t="e">
        <f>AND('UP133'!AK75,"AAAAAH/9jhs=")</f>
        <v>#VALUE!</v>
      </c>
      <c r="AC113" t="e">
        <f>AND('UP133'!AL75,"AAAAAH/9jhw=")</f>
        <v>#VALUE!</v>
      </c>
      <c r="AD113" t="e">
        <f>AND('UP133'!AM75,"AAAAAH/9jh0=")</f>
        <v>#VALUE!</v>
      </c>
      <c r="AE113" t="e">
        <f>AND('UP133'!AN75,"AAAAAH/9jh4=")</f>
        <v>#VALUE!</v>
      </c>
      <c r="AF113" t="e">
        <f>AND('UP133'!AO75,"AAAAAH/9jh8=")</f>
        <v>#VALUE!</v>
      </c>
      <c r="AG113" t="e">
        <f>AND('UP133'!AP75,"AAAAAH/9jiA=")</f>
        <v>#VALUE!</v>
      </c>
      <c r="AH113" t="e">
        <f>AND('UP133'!AQ75,"AAAAAH/9jiE=")</f>
        <v>#VALUE!</v>
      </c>
      <c r="AI113" t="e">
        <f>AND('UP133'!AR75,"AAAAAH/9jiI=")</f>
        <v>#VALUE!</v>
      </c>
      <c r="AJ113" t="e">
        <f>AND('UP133'!AS75,"AAAAAH/9jiM=")</f>
        <v>#VALUE!</v>
      </c>
      <c r="AK113" t="e">
        <f>AND('UP133'!AT75,"AAAAAH/9jiQ=")</f>
        <v>#VALUE!</v>
      </c>
      <c r="AL113" t="e">
        <f>AND('UP133'!AU75,"AAAAAH/9jiU=")</f>
        <v>#VALUE!</v>
      </c>
      <c r="AM113" t="e">
        <f>AND('UP133'!AV75,"AAAAAH/9jiY=")</f>
        <v>#VALUE!</v>
      </c>
      <c r="AN113" t="e">
        <f>AND('UP133'!AW75,"AAAAAH/9jic=")</f>
        <v>#VALUE!</v>
      </c>
      <c r="AO113" t="e">
        <f>AND('UP133'!AX75,"AAAAAH/9jig=")</f>
        <v>#VALUE!</v>
      </c>
      <c r="AP113" t="e">
        <f>AND('UP133'!AY75,"AAAAAH/9jik=")</f>
        <v>#VALUE!</v>
      </c>
      <c r="AQ113" t="e">
        <f>AND('UP133'!AZ75,"AAAAAH/9jio=")</f>
        <v>#VALUE!</v>
      </c>
      <c r="AR113" t="e">
        <f>AND('UP133'!BA75,"AAAAAH/9jis=")</f>
        <v>#VALUE!</v>
      </c>
      <c r="AS113" t="e">
        <f>AND('UP133'!BB75,"AAAAAH/9jiw=")</f>
        <v>#VALUE!</v>
      </c>
      <c r="AT113" t="e">
        <f>AND('UP133'!BC75,"AAAAAH/9ji0=")</f>
        <v>#VALUE!</v>
      </c>
      <c r="AU113" t="e">
        <f>AND('UP133'!BD75,"AAAAAH/9ji4=")</f>
        <v>#VALUE!</v>
      </c>
      <c r="AV113" t="e">
        <f>AND('UP133'!BE75,"AAAAAH/9ji8=")</f>
        <v>#VALUE!</v>
      </c>
      <c r="AW113" t="e">
        <f>AND('UP133'!BF75,"AAAAAH/9jjA=")</f>
        <v>#VALUE!</v>
      </c>
      <c r="AX113" t="e">
        <f>AND('UP133'!BG75,"AAAAAH/9jjE=")</f>
        <v>#VALUE!</v>
      </c>
      <c r="AY113" t="e">
        <f>AND('UP133'!BH75,"AAAAAH/9jjI=")</f>
        <v>#VALUE!</v>
      </c>
      <c r="AZ113" t="e">
        <f>AND('UP133'!BI75,"AAAAAH/9jjM=")</f>
        <v>#VALUE!</v>
      </c>
      <c r="BA113" t="e">
        <f>AND('UP133'!BJ75,"AAAAAH/9jjQ=")</f>
        <v>#VALUE!</v>
      </c>
      <c r="BB113" t="e">
        <f>AND('UP133'!BK75,"AAAAAH/9jjU=")</f>
        <v>#VALUE!</v>
      </c>
      <c r="BC113" t="e">
        <f>AND('UP133'!BL75,"AAAAAH/9jjY=")</f>
        <v>#VALUE!</v>
      </c>
      <c r="BD113" t="e">
        <f>AND('UP133'!BM75,"AAAAAH/9jjc=")</f>
        <v>#VALUE!</v>
      </c>
      <c r="BE113" t="e">
        <f>AND('UP133'!BN75,"AAAAAH/9jjg=")</f>
        <v>#VALUE!</v>
      </c>
      <c r="BF113" t="e">
        <f>AND('UP133'!BO75,"AAAAAH/9jjk=")</f>
        <v>#VALUE!</v>
      </c>
      <c r="BG113" t="e">
        <f>AND('UP133'!BP75,"AAAAAH/9jjo=")</f>
        <v>#VALUE!</v>
      </c>
      <c r="BH113" t="e">
        <f>AND('UP133'!BQ75,"AAAAAH/9jjs=")</f>
        <v>#VALUE!</v>
      </c>
      <c r="BI113" t="e">
        <f>AND('UP133'!BR75,"AAAAAH/9jjw=")</f>
        <v>#VALUE!</v>
      </c>
      <c r="BJ113" t="e">
        <f>AND('UP133'!BS75,"AAAAAH/9jj0=")</f>
        <v>#VALUE!</v>
      </c>
      <c r="BK113" t="e">
        <f>AND('UP133'!BT75,"AAAAAH/9jj4=")</f>
        <v>#VALUE!</v>
      </c>
      <c r="BL113" t="e">
        <f>AND('UP133'!BU75,"AAAAAH/9jj8=")</f>
        <v>#VALUE!</v>
      </c>
      <c r="BM113" t="e">
        <f>AND('UP133'!BV75,"AAAAAH/9jkA=")</f>
        <v>#VALUE!</v>
      </c>
      <c r="BN113" t="e">
        <f>AND('UP133'!BW75,"AAAAAH/9jkE=")</f>
        <v>#VALUE!</v>
      </c>
      <c r="BO113" t="e">
        <f>AND('UP133'!BX75,"AAAAAH/9jkI=")</f>
        <v>#VALUE!</v>
      </c>
      <c r="BP113" t="e">
        <f>AND('UP133'!BY75,"AAAAAH/9jkM=")</f>
        <v>#VALUE!</v>
      </c>
      <c r="BQ113" t="e">
        <f>AND('UP133'!BZ75,"AAAAAH/9jkQ=")</f>
        <v>#VALUE!</v>
      </c>
      <c r="BR113" t="e">
        <f>AND('UP133'!CA75,"AAAAAH/9jkU=")</f>
        <v>#VALUE!</v>
      </c>
      <c r="BS113" t="e">
        <f>AND('UP133'!CB75,"AAAAAH/9jkY=")</f>
        <v>#VALUE!</v>
      </c>
      <c r="BT113" t="e">
        <f>AND('UP133'!CC75,"AAAAAH/9jkc=")</f>
        <v>#VALUE!</v>
      </c>
      <c r="BU113" t="e">
        <f>AND('UP133'!CD75,"AAAAAH/9jkg=")</f>
        <v>#VALUE!</v>
      </c>
      <c r="BV113" t="e">
        <f>AND('UP133'!CE75,"AAAAAH/9jkk=")</f>
        <v>#VALUE!</v>
      </c>
      <c r="BW113" t="e">
        <f>AND('UP133'!CF75,"AAAAAH/9jko=")</f>
        <v>#VALUE!</v>
      </c>
      <c r="BX113" t="e">
        <f>AND('UP133'!CG75,"AAAAAH/9jks=")</f>
        <v>#VALUE!</v>
      </c>
      <c r="BY113" t="e">
        <f>AND('UP133'!CH75,"AAAAAH/9jkw=")</f>
        <v>#VALUE!</v>
      </c>
      <c r="BZ113" t="e">
        <f>AND('UP133'!CI75,"AAAAAH/9jk0=")</f>
        <v>#VALUE!</v>
      </c>
      <c r="CA113" t="e">
        <f>AND('UP133'!CJ75,"AAAAAH/9jk4=")</f>
        <v>#VALUE!</v>
      </c>
      <c r="CB113" t="e">
        <f>AND('UP133'!CK75,"AAAAAH/9jk8=")</f>
        <v>#VALUE!</v>
      </c>
      <c r="CC113" t="e">
        <f>AND('UP133'!CL75,"AAAAAH/9jlA=")</f>
        <v>#VALUE!</v>
      </c>
      <c r="CD113" t="e">
        <f>AND('UP133'!CM75,"AAAAAH/9jlE=")</f>
        <v>#VALUE!</v>
      </c>
      <c r="CE113" t="e">
        <f>AND('UP133'!CN75,"AAAAAH/9jlI=")</f>
        <v>#VALUE!</v>
      </c>
      <c r="CF113" t="e">
        <f>AND('UP133'!CO75,"AAAAAH/9jlM=")</f>
        <v>#VALUE!</v>
      </c>
      <c r="CG113" t="e">
        <f>AND('UP133'!CP75,"AAAAAH/9jlQ=")</f>
        <v>#VALUE!</v>
      </c>
      <c r="CH113" t="e">
        <f>AND('UP133'!CQ75,"AAAAAH/9jlU=")</f>
        <v>#VALUE!</v>
      </c>
      <c r="CI113" t="e">
        <f>AND('UP133'!CR75,"AAAAAH/9jlY=")</f>
        <v>#VALUE!</v>
      </c>
      <c r="CJ113" t="e">
        <f>AND('UP133'!CS75,"AAAAAH/9jlc=")</f>
        <v>#VALUE!</v>
      </c>
      <c r="CK113" t="e">
        <f>AND('UP133'!CT75,"AAAAAH/9jlg=")</f>
        <v>#VALUE!</v>
      </c>
      <c r="CL113" t="e">
        <f>AND('UP133'!CU75,"AAAAAH/9jlk=")</f>
        <v>#VALUE!</v>
      </c>
      <c r="CM113" t="e">
        <f>AND('UP133'!CV75,"AAAAAH/9jlo=")</f>
        <v>#VALUE!</v>
      </c>
      <c r="CN113" t="e">
        <f>AND('UP133'!CW75,"AAAAAH/9jls=")</f>
        <v>#VALUE!</v>
      </c>
      <c r="CO113" t="e">
        <f>AND('UP133'!CX75,"AAAAAH/9jlw=")</f>
        <v>#VALUE!</v>
      </c>
      <c r="CP113" t="e">
        <f>AND('UP133'!CY75,"AAAAAH/9jl0=")</f>
        <v>#VALUE!</v>
      </c>
      <c r="CQ113" t="e">
        <f>AND('UP133'!CZ75,"AAAAAH/9jl4=")</f>
        <v>#VALUE!</v>
      </c>
      <c r="CR113" t="e">
        <f>AND('UP133'!DA75,"AAAAAH/9jl8=")</f>
        <v>#VALUE!</v>
      </c>
      <c r="CS113" t="e">
        <f>AND('UP133'!DB75,"AAAAAH/9jmA=")</f>
        <v>#VALUE!</v>
      </c>
      <c r="CT113" t="e">
        <f>AND('UP133'!DC75,"AAAAAH/9jmE=")</f>
        <v>#VALUE!</v>
      </c>
      <c r="CU113" t="e">
        <f>AND('UP133'!DD75,"AAAAAH/9jmI=")</f>
        <v>#VALUE!</v>
      </c>
      <c r="CV113" t="e">
        <f>AND('UP133'!DE75,"AAAAAH/9jmM=")</f>
        <v>#VALUE!</v>
      </c>
      <c r="CW113" t="e">
        <f>AND('UP133'!DF75,"AAAAAH/9jmQ=")</f>
        <v>#VALUE!</v>
      </c>
      <c r="CX113" t="e">
        <f>AND('UP133'!DG75,"AAAAAH/9jmU=")</f>
        <v>#VALUE!</v>
      </c>
      <c r="CY113" t="e">
        <f>AND('UP133'!DH75,"AAAAAH/9jmY=")</f>
        <v>#VALUE!</v>
      </c>
      <c r="CZ113" t="e">
        <f>AND('UP133'!DI75,"AAAAAH/9jmc=")</f>
        <v>#VALUE!</v>
      </c>
      <c r="DA113" t="e">
        <f>AND('UP133'!DJ75,"AAAAAH/9jmg=")</f>
        <v>#VALUE!</v>
      </c>
      <c r="DB113" t="e">
        <f>AND('UP133'!DK75,"AAAAAH/9jmk=")</f>
        <v>#VALUE!</v>
      </c>
      <c r="DC113" t="e">
        <f>AND('UP133'!DL75,"AAAAAH/9jmo=")</f>
        <v>#VALUE!</v>
      </c>
      <c r="DD113" t="e">
        <f>AND('UP133'!DM75,"AAAAAH/9jms=")</f>
        <v>#VALUE!</v>
      </c>
      <c r="DE113" t="e">
        <f>AND('UP133'!DN75,"AAAAAH/9jmw=")</f>
        <v>#VALUE!</v>
      </c>
      <c r="DF113" t="e">
        <f>AND('UP133'!DO75,"AAAAAH/9jm0=")</f>
        <v>#VALUE!</v>
      </c>
      <c r="DG113" t="e">
        <f>AND('UP133'!DP75,"AAAAAH/9jm4=")</f>
        <v>#VALUE!</v>
      </c>
      <c r="DH113" t="e">
        <f>AND('UP133'!DQ75,"AAAAAH/9jm8=")</f>
        <v>#VALUE!</v>
      </c>
      <c r="DI113" t="e">
        <f>AND('UP133'!DR75,"AAAAAH/9jnA=")</f>
        <v>#VALUE!</v>
      </c>
      <c r="DJ113" t="e">
        <f>AND('UP133'!DS75,"AAAAAH/9jnE=")</f>
        <v>#VALUE!</v>
      </c>
      <c r="DK113" t="e">
        <f>AND('UP133'!DT75,"AAAAAH/9jnI=")</f>
        <v>#VALUE!</v>
      </c>
      <c r="DL113" t="e">
        <f>AND('UP133'!DU75,"AAAAAH/9jnM=")</f>
        <v>#VALUE!</v>
      </c>
      <c r="DM113" t="e">
        <f>AND('UP133'!DV75,"AAAAAH/9jnQ=")</f>
        <v>#VALUE!</v>
      </c>
      <c r="DN113" t="e">
        <f>AND('UP133'!DW75,"AAAAAH/9jnU=")</f>
        <v>#VALUE!</v>
      </c>
      <c r="DO113" t="e">
        <f>AND('UP133'!DX75,"AAAAAH/9jnY=")</f>
        <v>#VALUE!</v>
      </c>
      <c r="DP113" t="e">
        <f>AND('UP133'!DY75,"AAAAAH/9jnc=")</f>
        <v>#VALUE!</v>
      </c>
      <c r="DQ113" t="e">
        <f>AND('UP133'!DZ75,"AAAAAH/9jng=")</f>
        <v>#VALUE!</v>
      </c>
      <c r="DR113" t="e">
        <f>AND('UP133'!EA75,"AAAAAH/9jnk=")</f>
        <v>#VALUE!</v>
      </c>
      <c r="DS113" t="e">
        <f>AND('UP133'!EB75,"AAAAAH/9jno=")</f>
        <v>#VALUE!</v>
      </c>
      <c r="DT113" t="e">
        <f>AND('UP133'!EC75,"AAAAAH/9jns=")</f>
        <v>#VALUE!</v>
      </c>
      <c r="DU113" t="e">
        <f>AND('UP133'!ED75,"AAAAAH/9jnw=")</f>
        <v>#VALUE!</v>
      </c>
      <c r="DV113" t="e">
        <f>AND('UP133'!EE75,"AAAAAH/9jn0=")</f>
        <v>#VALUE!</v>
      </c>
      <c r="DW113" t="e">
        <f>AND('UP133'!EF75,"AAAAAH/9jn4=")</f>
        <v>#VALUE!</v>
      </c>
      <c r="DX113" t="e">
        <f>AND('UP133'!EG75,"AAAAAH/9jn8=")</f>
        <v>#VALUE!</v>
      </c>
      <c r="DY113" t="e">
        <f>AND('UP133'!EH75,"AAAAAH/9joA=")</f>
        <v>#VALUE!</v>
      </c>
      <c r="DZ113" t="e">
        <f>AND('UP133'!EI75,"AAAAAH/9joE=")</f>
        <v>#VALUE!</v>
      </c>
      <c r="EA113" t="e">
        <f>AND('UP133'!EJ75,"AAAAAH/9joI=")</f>
        <v>#VALUE!</v>
      </c>
      <c r="EB113" t="e">
        <f>AND('UP133'!EK75,"AAAAAH/9joM=")</f>
        <v>#VALUE!</v>
      </c>
      <c r="EC113" t="e">
        <f>AND('UP133'!EL75,"AAAAAH/9joQ=")</f>
        <v>#VALUE!</v>
      </c>
      <c r="ED113" t="e">
        <f>AND('UP133'!EM75,"AAAAAH/9joU=")</f>
        <v>#VALUE!</v>
      </c>
      <c r="EE113" t="e">
        <f>AND('UP133'!EN75,"AAAAAH/9joY=")</f>
        <v>#VALUE!</v>
      </c>
      <c r="EF113" t="e">
        <f>AND('UP133'!EO75,"AAAAAH/9joc=")</f>
        <v>#VALUE!</v>
      </c>
      <c r="EG113" t="e">
        <f>AND('UP133'!EP75,"AAAAAH/9jog=")</f>
        <v>#VALUE!</v>
      </c>
      <c r="EH113" t="e">
        <f>AND('UP133'!EQ75,"AAAAAH/9jok=")</f>
        <v>#VALUE!</v>
      </c>
      <c r="EI113" t="e">
        <f>AND('UP133'!ER75,"AAAAAH/9joo=")</f>
        <v>#VALUE!</v>
      </c>
      <c r="EJ113" t="e">
        <f>AND('UP133'!ES75,"AAAAAH/9jos=")</f>
        <v>#VALUE!</v>
      </c>
      <c r="EK113" t="e">
        <f>AND('UP133'!ET75,"AAAAAH/9jow=")</f>
        <v>#VALUE!</v>
      </c>
      <c r="EL113" t="e">
        <f>AND('UP133'!EU75,"AAAAAH/9jo0=")</f>
        <v>#VALUE!</v>
      </c>
      <c r="EM113" t="e">
        <f>AND('UP133'!EV75,"AAAAAH/9jo4=")</f>
        <v>#VALUE!</v>
      </c>
      <c r="EN113" t="e">
        <f>AND('UP133'!EW75,"AAAAAH/9jo8=")</f>
        <v>#VALUE!</v>
      </c>
      <c r="EO113" t="e">
        <f>AND('UP133'!EX75,"AAAAAH/9jpA=")</f>
        <v>#VALUE!</v>
      </c>
      <c r="EP113" t="e">
        <f>AND('UP133'!EY75,"AAAAAH/9jpE=")</f>
        <v>#VALUE!</v>
      </c>
      <c r="EQ113" t="e">
        <f>AND('UP133'!EZ75,"AAAAAH/9jpI=")</f>
        <v>#VALUE!</v>
      </c>
      <c r="ER113" t="e">
        <f>AND('UP133'!FA75,"AAAAAH/9jpM=")</f>
        <v>#VALUE!</v>
      </c>
      <c r="ES113" t="e">
        <f>AND('UP133'!FB75,"AAAAAH/9jpQ=")</f>
        <v>#VALUE!</v>
      </c>
      <c r="ET113" t="e">
        <f>AND('UP133'!FC75,"AAAAAH/9jpU=")</f>
        <v>#VALUE!</v>
      </c>
      <c r="EU113" t="e">
        <f>AND('UP133'!FD75,"AAAAAH/9jpY=")</f>
        <v>#VALUE!</v>
      </c>
      <c r="EV113" t="e">
        <f>AND('UP133'!FE75,"AAAAAH/9jpc=")</f>
        <v>#VALUE!</v>
      </c>
      <c r="EW113" t="e">
        <f>AND('UP133'!FF75,"AAAAAH/9jpg=")</f>
        <v>#VALUE!</v>
      </c>
      <c r="EX113" t="e">
        <f>AND('UP133'!FG75,"AAAAAH/9jpk=")</f>
        <v>#VALUE!</v>
      </c>
      <c r="EY113" t="e">
        <f>AND('UP133'!FH75,"AAAAAH/9jpo=")</f>
        <v>#VALUE!</v>
      </c>
      <c r="EZ113" t="e">
        <f>AND('UP133'!FI75,"AAAAAH/9jps=")</f>
        <v>#VALUE!</v>
      </c>
      <c r="FA113" t="e">
        <f>AND('UP133'!FJ75,"AAAAAH/9jpw=")</f>
        <v>#VALUE!</v>
      </c>
      <c r="FB113" t="e">
        <f>AND('UP133'!FK75,"AAAAAH/9jp0=")</f>
        <v>#VALUE!</v>
      </c>
      <c r="FC113" t="e">
        <f>AND('UP133'!FL75,"AAAAAH/9jp4=")</f>
        <v>#VALUE!</v>
      </c>
      <c r="FD113" t="e">
        <f>AND('UP133'!FM75,"AAAAAH/9jp8=")</f>
        <v>#VALUE!</v>
      </c>
      <c r="FE113" t="e">
        <f>AND('UP133'!FN75,"AAAAAH/9jqA=")</f>
        <v>#VALUE!</v>
      </c>
      <c r="FF113" t="e">
        <f>AND('UP133'!FO75,"AAAAAH/9jqE=")</f>
        <v>#VALUE!</v>
      </c>
      <c r="FG113" t="e">
        <f>AND('UP133'!FP75,"AAAAAH/9jqI=")</f>
        <v>#VALUE!</v>
      </c>
      <c r="FH113" t="e">
        <f>AND('UP133'!FQ75,"AAAAAH/9jqM=")</f>
        <v>#VALUE!</v>
      </c>
      <c r="FI113" t="e">
        <f>AND('UP133'!FR75,"AAAAAH/9jqQ=")</f>
        <v>#VALUE!</v>
      </c>
      <c r="FJ113" t="e">
        <f>AND('UP133'!FS75,"AAAAAH/9jqU=")</f>
        <v>#VALUE!</v>
      </c>
      <c r="FK113" t="e">
        <f>AND('UP133'!FT75,"AAAAAH/9jqY=")</f>
        <v>#VALUE!</v>
      </c>
      <c r="FL113" t="e">
        <f>AND('UP133'!FU75,"AAAAAH/9jqc=")</f>
        <v>#VALUE!</v>
      </c>
      <c r="FM113" t="e">
        <f>AND('UP133'!FV75,"AAAAAH/9jqg=")</f>
        <v>#VALUE!</v>
      </c>
      <c r="FN113" t="e">
        <f>AND('UP133'!FW75,"AAAAAH/9jqk=")</f>
        <v>#VALUE!</v>
      </c>
      <c r="FO113" t="e">
        <f>AND('UP133'!FX75,"AAAAAH/9jqo=")</f>
        <v>#VALUE!</v>
      </c>
      <c r="FP113" t="e">
        <f>AND('UP133'!FY75,"AAAAAH/9jqs=")</f>
        <v>#VALUE!</v>
      </c>
      <c r="FQ113" t="e">
        <f>AND('UP133'!FZ75,"AAAAAH/9jqw=")</f>
        <v>#VALUE!</v>
      </c>
      <c r="FR113" t="e">
        <f>AND('UP133'!GA75,"AAAAAH/9jq0=")</f>
        <v>#VALUE!</v>
      </c>
      <c r="FS113" t="e">
        <f>AND('UP133'!GB75,"AAAAAH/9jq4=")</f>
        <v>#VALUE!</v>
      </c>
      <c r="FT113" t="e">
        <f>AND('UP133'!GC75,"AAAAAH/9jq8=")</f>
        <v>#VALUE!</v>
      </c>
      <c r="FU113" t="e">
        <f>AND('UP133'!GD75,"AAAAAH/9jrA=")</f>
        <v>#VALUE!</v>
      </c>
      <c r="FV113" t="e">
        <f>AND('UP133'!GE75,"AAAAAH/9jrE=")</f>
        <v>#VALUE!</v>
      </c>
      <c r="FW113" t="e">
        <f>AND('UP133'!GF75,"AAAAAH/9jrI=")</f>
        <v>#VALUE!</v>
      </c>
      <c r="FX113" t="e">
        <f>AND('UP133'!GG75,"AAAAAH/9jrM=")</f>
        <v>#VALUE!</v>
      </c>
      <c r="FY113" t="e">
        <f>AND('UP133'!GH75,"AAAAAH/9jrQ=")</f>
        <v>#VALUE!</v>
      </c>
      <c r="FZ113" t="e">
        <f>AND('UP133'!GI75,"AAAAAH/9jrU=")</f>
        <v>#VALUE!</v>
      </c>
      <c r="GA113" t="e">
        <f>AND('UP133'!GJ75,"AAAAAH/9jrY=")</f>
        <v>#VALUE!</v>
      </c>
      <c r="GB113" t="e">
        <f>AND('UP133'!GK75,"AAAAAH/9jrc=")</f>
        <v>#VALUE!</v>
      </c>
      <c r="GC113" t="e">
        <f>AND('UP133'!GL75,"AAAAAH/9jrg=")</f>
        <v>#VALUE!</v>
      </c>
      <c r="GD113" t="e">
        <f>AND('UP133'!GM75,"AAAAAH/9jrk=")</f>
        <v>#VALUE!</v>
      </c>
      <c r="GE113" t="e">
        <f>AND('UP133'!GN75,"AAAAAH/9jro=")</f>
        <v>#VALUE!</v>
      </c>
      <c r="GF113" t="e">
        <f>AND('UP133'!GO75,"AAAAAH/9jrs=")</f>
        <v>#VALUE!</v>
      </c>
      <c r="GG113" t="e">
        <f>AND('UP133'!GP75,"AAAAAH/9jrw=")</f>
        <v>#VALUE!</v>
      </c>
      <c r="GH113" t="e">
        <f>AND('UP133'!GQ75,"AAAAAH/9jr0=")</f>
        <v>#VALUE!</v>
      </c>
      <c r="GI113" t="e">
        <f>AND('UP133'!GR75,"AAAAAH/9jr4=")</f>
        <v>#VALUE!</v>
      </c>
      <c r="GJ113" t="e">
        <f>AND('UP133'!GS75,"AAAAAH/9jr8=")</f>
        <v>#VALUE!</v>
      </c>
      <c r="GK113" t="e">
        <f>AND('UP133'!GT75,"AAAAAH/9jsA=")</f>
        <v>#VALUE!</v>
      </c>
      <c r="GL113" t="e">
        <f>AND('UP133'!GU75,"AAAAAH/9jsE=")</f>
        <v>#VALUE!</v>
      </c>
      <c r="GM113" t="e">
        <f>AND('UP133'!GV75,"AAAAAH/9jsI=")</f>
        <v>#VALUE!</v>
      </c>
      <c r="GN113" t="e">
        <f>AND('UP133'!GW75,"AAAAAH/9jsM=")</f>
        <v>#VALUE!</v>
      </c>
      <c r="GO113" t="e">
        <f>AND('UP133'!GX75,"AAAAAH/9jsQ=")</f>
        <v>#VALUE!</v>
      </c>
      <c r="GP113" t="e">
        <f>AND('UP133'!GY75,"AAAAAH/9jsU=")</f>
        <v>#VALUE!</v>
      </c>
      <c r="GQ113" t="e">
        <f>AND('UP133'!GZ75,"AAAAAH/9jsY=")</f>
        <v>#VALUE!</v>
      </c>
      <c r="GR113" t="e">
        <f>AND('UP133'!HA75,"AAAAAH/9jsc=")</f>
        <v>#VALUE!</v>
      </c>
      <c r="GS113" t="e">
        <f>AND('UP133'!HB75,"AAAAAH/9jsg=")</f>
        <v>#VALUE!</v>
      </c>
      <c r="GT113" t="e">
        <f>AND('UP133'!HC75,"AAAAAH/9jsk=")</f>
        <v>#VALUE!</v>
      </c>
      <c r="GU113" t="e">
        <f>AND('UP133'!HD75,"AAAAAH/9jso=")</f>
        <v>#VALUE!</v>
      </c>
      <c r="GV113" t="e">
        <f>AND('UP133'!HE75,"AAAAAH/9jss=")</f>
        <v>#VALUE!</v>
      </c>
      <c r="GW113" t="e">
        <f>AND('UP133'!HF75,"AAAAAH/9jsw=")</f>
        <v>#VALUE!</v>
      </c>
      <c r="GX113" t="e">
        <f>AND('UP133'!HG75,"AAAAAH/9js0=")</f>
        <v>#VALUE!</v>
      </c>
      <c r="GY113" t="e">
        <f>AND('UP133'!HH75,"AAAAAH/9js4=")</f>
        <v>#VALUE!</v>
      </c>
      <c r="GZ113" t="e">
        <f>AND('UP133'!HI75,"AAAAAH/9js8=")</f>
        <v>#VALUE!</v>
      </c>
      <c r="HA113" t="e">
        <f>AND('UP133'!HJ75,"AAAAAH/9jtA=")</f>
        <v>#VALUE!</v>
      </c>
      <c r="HB113" t="e">
        <f>AND('UP133'!HK75,"AAAAAH/9jtE=")</f>
        <v>#VALUE!</v>
      </c>
      <c r="HC113" t="e">
        <f>AND('UP133'!HL75,"AAAAAH/9jtI=")</f>
        <v>#VALUE!</v>
      </c>
      <c r="HD113" t="e">
        <f>AND('UP133'!HM75,"AAAAAH/9jtM=")</f>
        <v>#VALUE!</v>
      </c>
      <c r="HE113" t="e">
        <f>AND('UP133'!HN75,"AAAAAH/9jtQ=")</f>
        <v>#VALUE!</v>
      </c>
      <c r="HF113" t="e">
        <f>AND('UP133'!HO75,"AAAAAH/9jtU=")</f>
        <v>#VALUE!</v>
      </c>
      <c r="HG113" t="e">
        <f>AND('UP133'!HP75,"AAAAAH/9jtY=")</f>
        <v>#VALUE!</v>
      </c>
      <c r="HH113" t="e">
        <f>AND('UP133'!HQ75,"AAAAAH/9jtc=")</f>
        <v>#VALUE!</v>
      </c>
      <c r="HI113" t="e">
        <f>AND('UP133'!HR75,"AAAAAH/9jtg=")</f>
        <v>#VALUE!</v>
      </c>
      <c r="HJ113" t="e">
        <f>AND('UP133'!HS75,"AAAAAH/9jtk=")</f>
        <v>#VALUE!</v>
      </c>
      <c r="HK113" t="e">
        <f>AND('UP133'!HT75,"AAAAAH/9jto=")</f>
        <v>#VALUE!</v>
      </c>
      <c r="HL113" t="e">
        <f>AND('UP133'!HU75,"AAAAAH/9jts=")</f>
        <v>#VALUE!</v>
      </c>
      <c r="HM113" t="e">
        <f>AND('UP133'!HV75,"AAAAAH/9jtw=")</f>
        <v>#VALUE!</v>
      </c>
      <c r="HN113" t="e">
        <f>AND('UP133'!HW75,"AAAAAH/9jt0=")</f>
        <v>#VALUE!</v>
      </c>
      <c r="HO113" t="e">
        <f>AND('UP133'!HX75,"AAAAAH/9jt4=")</f>
        <v>#VALUE!</v>
      </c>
      <c r="HP113" t="e">
        <f>AND('UP133'!HY75,"AAAAAH/9jt8=")</f>
        <v>#VALUE!</v>
      </c>
      <c r="HQ113" t="e">
        <f>AND('UP133'!HZ75,"AAAAAH/9juA=")</f>
        <v>#VALUE!</v>
      </c>
      <c r="HR113" t="e">
        <f>AND('UP133'!IA75,"AAAAAH/9juE=")</f>
        <v>#VALUE!</v>
      </c>
      <c r="HS113" t="e">
        <f>AND('UP133'!IB75,"AAAAAH/9juI=")</f>
        <v>#VALUE!</v>
      </c>
      <c r="HT113" t="e">
        <f>AND('UP133'!IC75,"AAAAAH/9juM=")</f>
        <v>#VALUE!</v>
      </c>
      <c r="HU113" t="e">
        <f>AND('UP133'!ID75,"AAAAAH/9juQ=")</f>
        <v>#VALUE!</v>
      </c>
      <c r="HV113" t="e">
        <f>AND('UP133'!IE75,"AAAAAH/9juU=")</f>
        <v>#VALUE!</v>
      </c>
      <c r="HW113" t="e">
        <f>AND('UP133'!IF75,"AAAAAH/9juY=")</f>
        <v>#VALUE!</v>
      </c>
      <c r="HX113" t="e">
        <f>AND('UP133'!IG75,"AAAAAH/9juc=")</f>
        <v>#VALUE!</v>
      </c>
      <c r="HY113" t="e">
        <f>AND('UP133'!IH75,"AAAAAH/9jug=")</f>
        <v>#VALUE!</v>
      </c>
      <c r="HZ113" t="e">
        <f>AND('UP133'!II75,"AAAAAH/9juk=")</f>
        <v>#VALUE!</v>
      </c>
      <c r="IA113" t="e">
        <f>AND('UP133'!IJ75,"AAAAAH/9juo=")</f>
        <v>#VALUE!</v>
      </c>
      <c r="IB113" t="e">
        <f>AND('UP133'!IK75,"AAAAAH/9jus=")</f>
        <v>#VALUE!</v>
      </c>
      <c r="IC113" t="e">
        <f>AND('UP133'!IL75,"AAAAAH/9juw=")</f>
        <v>#VALUE!</v>
      </c>
      <c r="ID113" t="e">
        <f>AND('UP133'!IM75,"AAAAAH/9ju0=")</f>
        <v>#VALUE!</v>
      </c>
      <c r="IE113" t="e">
        <f>AND('UP133'!IN75,"AAAAAH/9ju4=")</f>
        <v>#VALUE!</v>
      </c>
      <c r="IF113" t="e">
        <f>AND('UP133'!IO75,"AAAAAH/9ju8=")</f>
        <v>#VALUE!</v>
      </c>
      <c r="IG113" t="e">
        <f>AND('UP133'!IP75,"AAAAAH/9jvA=")</f>
        <v>#VALUE!</v>
      </c>
      <c r="IH113" t="e">
        <f>AND('UP133'!IQ75,"AAAAAH/9jvE=")</f>
        <v>#VALUE!</v>
      </c>
      <c r="II113">
        <f>IF('UP133'!76:76,"AAAAAH/9jvI=",0)</f>
        <v>0</v>
      </c>
      <c r="IJ113" t="e">
        <f>AND('UP133'!A76,"AAAAAH/9jvM=")</f>
        <v>#VALUE!</v>
      </c>
      <c r="IK113" t="e">
        <f>AND('UP133'!B76,"AAAAAH/9jvQ=")</f>
        <v>#VALUE!</v>
      </c>
      <c r="IL113" t="e">
        <f>AND('UP133'!C76,"AAAAAH/9jvU=")</f>
        <v>#VALUE!</v>
      </c>
      <c r="IM113" t="e">
        <f>AND('UP133'!D76,"AAAAAH/9jvY=")</f>
        <v>#VALUE!</v>
      </c>
      <c r="IN113" t="e">
        <f>AND('UP133'!E76,"AAAAAH/9jvc=")</f>
        <v>#VALUE!</v>
      </c>
      <c r="IO113" t="e">
        <f>AND('UP133'!F76,"AAAAAH/9jvg=")</f>
        <v>#VALUE!</v>
      </c>
      <c r="IP113" t="e">
        <f>AND('UP133'!G76,"AAAAAH/9jvk=")</f>
        <v>#VALUE!</v>
      </c>
      <c r="IQ113" t="e">
        <f>AND('UP133'!H76,"AAAAAH/9jvo=")</f>
        <v>#VALUE!</v>
      </c>
      <c r="IR113" t="e">
        <f>AND('UP133'!I76,"AAAAAH/9jvs=")</f>
        <v>#VALUE!</v>
      </c>
      <c r="IS113" t="e">
        <f>AND('UP133'!J76,"AAAAAH/9jvw=")</f>
        <v>#VALUE!</v>
      </c>
      <c r="IT113" t="e">
        <f>AND('UP133'!K76,"AAAAAH/9jv0=")</f>
        <v>#VALUE!</v>
      </c>
      <c r="IU113" t="e">
        <f>AND('UP133'!L76,"AAAAAH/9jv4=")</f>
        <v>#VALUE!</v>
      </c>
      <c r="IV113" t="e">
        <f>AND('UP133'!M76,"AAAAAH/9jv8=")</f>
        <v>#VALUE!</v>
      </c>
    </row>
    <row r="114" spans="1:256">
      <c r="A114" t="e">
        <f>AND('UP133'!N76,"AAAAAGd9+wA=")</f>
        <v>#VALUE!</v>
      </c>
      <c r="B114" t="e">
        <f>AND('UP133'!O76,"AAAAAGd9+wE=")</f>
        <v>#VALUE!</v>
      </c>
      <c r="C114" t="e">
        <f>AND('UP133'!P76,"AAAAAGd9+wI=")</f>
        <v>#VALUE!</v>
      </c>
      <c r="D114" t="e">
        <f>AND('UP133'!Q76,"AAAAAGd9+wM=")</f>
        <v>#VALUE!</v>
      </c>
      <c r="E114" t="e">
        <f>AND('UP133'!R76,"AAAAAGd9+wQ=")</f>
        <v>#VALUE!</v>
      </c>
      <c r="F114" t="e">
        <f>AND('UP133'!S76,"AAAAAGd9+wU=")</f>
        <v>#VALUE!</v>
      </c>
      <c r="G114" t="e">
        <f>AND('UP133'!T76,"AAAAAGd9+wY=")</f>
        <v>#VALUE!</v>
      </c>
      <c r="H114" t="e">
        <f>AND('UP133'!U76,"AAAAAGd9+wc=")</f>
        <v>#VALUE!</v>
      </c>
      <c r="I114" t="e">
        <f>AND('UP133'!V76,"AAAAAGd9+wg=")</f>
        <v>#VALUE!</v>
      </c>
      <c r="J114" t="e">
        <f>AND('UP133'!W76,"AAAAAGd9+wk=")</f>
        <v>#VALUE!</v>
      </c>
      <c r="K114" t="e">
        <f>AND('UP133'!X76,"AAAAAGd9+wo=")</f>
        <v>#VALUE!</v>
      </c>
      <c r="L114" t="e">
        <f>AND('UP133'!Y76,"AAAAAGd9+ws=")</f>
        <v>#VALUE!</v>
      </c>
      <c r="M114" t="e">
        <f>AND('UP133'!Z76,"AAAAAGd9+ww=")</f>
        <v>#VALUE!</v>
      </c>
      <c r="N114" t="e">
        <f>AND('UP133'!AA76,"AAAAAGd9+w0=")</f>
        <v>#VALUE!</v>
      </c>
      <c r="O114" t="e">
        <f>AND('UP133'!AB76,"AAAAAGd9+w4=")</f>
        <v>#VALUE!</v>
      </c>
      <c r="P114" t="e">
        <f>AND('UP133'!AC76,"AAAAAGd9+w8=")</f>
        <v>#VALUE!</v>
      </c>
      <c r="Q114" t="e">
        <f>AND('UP133'!AD76,"AAAAAGd9+xA=")</f>
        <v>#VALUE!</v>
      </c>
      <c r="R114" t="e">
        <f>AND('UP133'!AE76,"AAAAAGd9+xE=")</f>
        <v>#VALUE!</v>
      </c>
      <c r="S114" t="e">
        <f>AND('UP133'!AF76,"AAAAAGd9+xI=")</f>
        <v>#VALUE!</v>
      </c>
      <c r="T114" t="e">
        <f>AND('UP133'!AG76,"AAAAAGd9+xM=")</f>
        <v>#VALUE!</v>
      </c>
      <c r="U114" t="e">
        <f>AND('UP133'!AH76,"AAAAAGd9+xQ=")</f>
        <v>#VALUE!</v>
      </c>
      <c r="V114" t="e">
        <f>AND('UP133'!AI76,"AAAAAGd9+xU=")</f>
        <v>#VALUE!</v>
      </c>
      <c r="W114" t="e">
        <f>AND('UP133'!AJ76,"AAAAAGd9+xY=")</f>
        <v>#VALUE!</v>
      </c>
      <c r="X114" t="e">
        <f>AND('UP133'!AK76,"AAAAAGd9+xc=")</f>
        <v>#VALUE!</v>
      </c>
      <c r="Y114" t="e">
        <f>AND('UP133'!AL76,"AAAAAGd9+xg=")</f>
        <v>#VALUE!</v>
      </c>
      <c r="Z114" t="e">
        <f>AND('UP133'!AM76,"AAAAAGd9+xk=")</f>
        <v>#VALUE!</v>
      </c>
      <c r="AA114" t="e">
        <f>AND('UP133'!AN76,"AAAAAGd9+xo=")</f>
        <v>#VALUE!</v>
      </c>
      <c r="AB114" t="e">
        <f>AND('UP133'!AO76,"AAAAAGd9+xs=")</f>
        <v>#VALUE!</v>
      </c>
      <c r="AC114" t="e">
        <f>AND('UP133'!AP76,"AAAAAGd9+xw=")</f>
        <v>#VALUE!</v>
      </c>
      <c r="AD114" t="e">
        <f>AND('UP133'!AQ76,"AAAAAGd9+x0=")</f>
        <v>#VALUE!</v>
      </c>
      <c r="AE114" t="e">
        <f>AND('UP133'!AR76,"AAAAAGd9+x4=")</f>
        <v>#VALUE!</v>
      </c>
      <c r="AF114" t="e">
        <f>AND('UP133'!AS76,"AAAAAGd9+x8=")</f>
        <v>#VALUE!</v>
      </c>
      <c r="AG114" t="e">
        <f>AND('UP133'!AT76,"AAAAAGd9+yA=")</f>
        <v>#VALUE!</v>
      </c>
      <c r="AH114" t="e">
        <f>AND('UP133'!AU76,"AAAAAGd9+yE=")</f>
        <v>#VALUE!</v>
      </c>
      <c r="AI114" t="e">
        <f>AND('UP133'!AV76,"AAAAAGd9+yI=")</f>
        <v>#VALUE!</v>
      </c>
      <c r="AJ114" t="e">
        <f>AND('UP133'!AW76,"AAAAAGd9+yM=")</f>
        <v>#VALUE!</v>
      </c>
      <c r="AK114" t="e">
        <f>AND('UP133'!AX76,"AAAAAGd9+yQ=")</f>
        <v>#VALUE!</v>
      </c>
      <c r="AL114" t="e">
        <f>AND('UP133'!AY76,"AAAAAGd9+yU=")</f>
        <v>#VALUE!</v>
      </c>
      <c r="AM114" t="e">
        <f>AND('UP133'!AZ76,"AAAAAGd9+yY=")</f>
        <v>#VALUE!</v>
      </c>
      <c r="AN114" t="e">
        <f>AND('UP133'!BA76,"AAAAAGd9+yc=")</f>
        <v>#VALUE!</v>
      </c>
      <c r="AO114" t="e">
        <f>AND('UP133'!BB76,"AAAAAGd9+yg=")</f>
        <v>#VALUE!</v>
      </c>
      <c r="AP114" t="e">
        <f>AND('UP133'!BC76,"AAAAAGd9+yk=")</f>
        <v>#VALUE!</v>
      </c>
      <c r="AQ114" t="e">
        <f>AND('UP133'!BD76,"AAAAAGd9+yo=")</f>
        <v>#VALUE!</v>
      </c>
      <c r="AR114" t="e">
        <f>AND('UP133'!BE76,"AAAAAGd9+ys=")</f>
        <v>#VALUE!</v>
      </c>
      <c r="AS114" t="e">
        <f>AND('UP133'!BF76,"AAAAAGd9+yw=")</f>
        <v>#VALUE!</v>
      </c>
      <c r="AT114" t="e">
        <f>AND('UP133'!BG76,"AAAAAGd9+y0=")</f>
        <v>#VALUE!</v>
      </c>
      <c r="AU114" t="e">
        <f>AND('UP133'!BH76,"AAAAAGd9+y4=")</f>
        <v>#VALUE!</v>
      </c>
      <c r="AV114" t="e">
        <f>AND('UP133'!BI76,"AAAAAGd9+y8=")</f>
        <v>#VALUE!</v>
      </c>
      <c r="AW114" t="e">
        <f>AND('UP133'!BJ76,"AAAAAGd9+zA=")</f>
        <v>#VALUE!</v>
      </c>
      <c r="AX114" t="e">
        <f>AND('UP133'!BK76,"AAAAAGd9+zE=")</f>
        <v>#VALUE!</v>
      </c>
      <c r="AY114" t="e">
        <f>AND('UP133'!BL76,"AAAAAGd9+zI=")</f>
        <v>#VALUE!</v>
      </c>
      <c r="AZ114" t="e">
        <f>AND('UP133'!BM76,"AAAAAGd9+zM=")</f>
        <v>#VALUE!</v>
      </c>
      <c r="BA114" t="e">
        <f>AND('UP133'!BN76,"AAAAAGd9+zQ=")</f>
        <v>#VALUE!</v>
      </c>
      <c r="BB114" t="e">
        <f>AND('UP133'!BO76,"AAAAAGd9+zU=")</f>
        <v>#VALUE!</v>
      </c>
      <c r="BC114" t="e">
        <f>AND('UP133'!BP76,"AAAAAGd9+zY=")</f>
        <v>#VALUE!</v>
      </c>
      <c r="BD114" t="e">
        <f>AND('UP133'!BQ76,"AAAAAGd9+zc=")</f>
        <v>#VALUE!</v>
      </c>
      <c r="BE114" t="e">
        <f>AND('UP133'!BR76,"AAAAAGd9+zg=")</f>
        <v>#VALUE!</v>
      </c>
      <c r="BF114" t="e">
        <f>AND('UP133'!BS76,"AAAAAGd9+zk=")</f>
        <v>#VALUE!</v>
      </c>
      <c r="BG114" t="e">
        <f>AND('UP133'!BT76,"AAAAAGd9+zo=")</f>
        <v>#VALUE!</v>
      </c>
      <c r="BH114" t="e">
        <f>AND('UP133'!BU76,"AAAAAGd9+zs=")</f>
        <v>#VALUE!</v>
      </c>
      <c r="BI114" t="e">
        <f>AND('UP133'!BV76,"AAAAAGd9+zw=")</f>
        <v>#VALUE!</v>
      </c>
      <c r="BJ114" t="e">
        <f>AND('UP133'!BW76,"AAAAAGd9+z0=")</f>
        <v>#VALUE!</v>
      </c>
      <c r="BK114" t="e">
        <f>AND('UP133'!BX76,"AAAAAGd9+z4=")</f>
        <v>#VALUE!</v>
      </c>
      <c r="BL114" t="e">
        <f>AND('UP133'!BY76,"AAAAAGd9+z8=")</f>
        <v>#VALUE!</v>
      </c>
      <c r="BM114" t="e">
        <f>AND('UP133'!BZ76,"AAAAAGd9+0A=")</f>
        <v>#VALUE!</v>
      </c>
      <c r="BN114" t="e">
        <f>AND('UP133'!CA76,"AAAAAGd9+0E=")</f>
        <v>#VALUE!</v>
      </c>
      <c r="BO114" t="e">
        <f>AND('UP133'!CB76,"AAAAAGd9+0I=")</f>
        <v>#VALUE!</v>
      </c>
      <c r="BP114" t="e">
        <f>AND('UP133'!CC76,"AAAAAGd9+0M=")</f>
        <v>#VALUE!</v>
      </c>
      <c r="BQ114" t="e">
        <f>AND('UP133'!CD76,"AAAAAGd9+0Q=")</f>
        <v>#VALUE!</v>
      </c>
      <c r="BR114" t="e">
        <f>AND('UP133'!CE76,"AAAAAGd9+0U=")</f>
        <v>#VALUE!</v>
      </c>
      <c r="BS114" t="e">
        <f>AND('UP133'!CF76,"AAAAAGd9+0Y=")</f>
        <v>#VALUE!</v>
      </c>
      <c r="BT114" t="e">
        <f>AND('UP133'!CG76,"AAAAAGd9+0c=")</f>
        <v>#VALUE!</v>
      </c>
      <c r="BU114" t="e">
        <f>AND('UP133'!CH76,"AAAAAGd9+0g=")</f>
        <v>#VALUE!</v>
      </c>
      <c r="BV114" t="e">
        <f>AND('UP133'!CI76,"AAAAAGd9+0k=")</f>
        <v>#VALUE!</v>
      </c>
      <c r="BW114" t="e">
        <f>AND('UP133'!CJ76,"AAAAAGd9+0o=")</f>
        <v>#VALUE!</v>
      </c>
      <c r="BX114" t="e">
        <f>AND('UP133'!CK76,"AAAAAGd9+0s=")</f>
        <v>#VALUE!</v>
      </c>
      <c r="BY114" t="e">
        <f>AND('UP133'!CL76,"AAAAAGd9+0w=")</f>
        <v>#VALUE!</v>
      </c>
      <c r="BZ114" t="e">
        <f>AND('UP133'!CM76,"AAAAAGd9+00=")</f>
        <v>#VALUE!</v>
      </c>
      <c r="CA114" t="e">
        <f>AND('UP133'!CN76,"AAAAAGd9+04=")</f>
        <v>#VALUE!</v>
      </c>
      <c r="CB114" t="e">
        <f>AND('UP133'!CO76,"AAAAAGd9+08=")</f>
        <v>#VALUE!</v>
      </c>
      <c r="CC114" t="e">
        <f>AND('UP133'!CP76,"AAAAAGd9+1A=")</f>
        <v>#VALUE!</v>
      </c>
      <c r="CD114" t="e">
        <f>AND('UP133'!CQ76,"AAAAAGd9+1E=")</f>
        <v>#VALUE!</v>
      </c>
      <c r="CE114" t="e">
        <f>AND('UP133'!CR76,"AAAAAGd9+1I=")</f>
        <v>#VALUE!</v>
      </c>
      <c r="CF114" t="e">
        <f>AND('UP133'!CS76,"AAAAAGd9+1M=")</f>
        <v>#VALUE!</v>
      </c>
      <c r="CG114" t="e">
        <f>AND('UP133'!CT76,"AAAAAGd9+1Q=")</f>
        <v>#VALUE!</v>
      </c>
      <c r="CH114" t="e">
        <f>AND('UP133'!CU76,"AAAAAGd9+1U=")</f>
        <v>#VALUE!</v>
      </c>
      <c r="CI114" t="e">
        <f>AND('UP133'!CV76,"AAAAAGd9+1Y=")</f>
        <v>#VALUE!</v>
      </c>
      <c r="CJ114" t="e">
        <f>AND('UP133'!CW76,"AAAAAGd9+1c=")</f>
        <v>#VALUE!</v>
      </c>
      <c r="CK114" t="e">
        <f>AND('UP133'!CX76,"AAAAAGd9+1g=")</f>
        <v>#VALUE!</v>
      </c>
      <c r="CL114" t="e">
        <f>AND('UP133'!CY76,"AAAAAGd9+1k=")</f>
        <v>#VALUE!</v>
      </c>
      <c r="CM114" t="e">
        <f>AND('UP133'!CZ76,"AAAAAGd9+1o=")</f>
        <v>#VALUE!</v>
      </c>
      <c r="CN114" t="e">
        <f>AND('UP133'!DA76,"AAAAAGd9+1s=")</f>
        <v>#VALUE!</v>
      </c>
      <c r="CO114" t="e">
        <f>AND('UP133'!DB76,"AAAAAGd9+1w=")</f>
        <v>#VALUE!</v>
      </c>
      <c r="CP114" t="e">
        <f>AND('UP133'!DC76,"AAAAAGd9+10=")</f>
        <v>#VALUE!</v>
      </c>
      <c r="CQ114" t="e">
        <f>AND('UP133'!DD76,"AAAAAGd9+14=")</f>
        <v>#VALUE!</v>
      </c>
      <c r="CR114" t="e">
        <f>AND('UP133'!DE76,"AAAAAGd9+18=")</f>
        <v>#VALUE!</v>
      </c>
      <c r="CS114" t="e">
        <f>AND('UP133'!DF76,"AAAAAGd9+2A=")</f>
        <v>#VALUE!</v>
      </c>
      <c r="CT114" t="e">
        <f>AND('UP133'!DG76,"AAAAAGd9+2E=")</f>
        <v>#VALUE!</v>
      </c>
      <c r="CU114" t="e">
        <f>AND('UP133'!DH76,"AAAAAGd9+2I=")</f>
        <v>#VALUE!</v>
      </c>
      <c r="CV114" t="e">
        <f>AND('UP133'!DI76,"AAAAAGd9+2M=")</f>
        <v>#VALUE!</v>
      </c>
      <c r="CW114" t="e">
        <f>AND('UP133'!DJ76,"AAAAAGd9+2Q=")</f>
        <v>#VALUE!</v>
      </c>
      <c r="CX114" t="e">
        <f>AND('UP133'!DK76,"AAAAAGd9+2U=")</f>
        <v>#VALUE!</v>
      </c>
      <c r="CY114" t="e">
        <f>AND('UP133'!DL76,"AAAAAGd9+2Y=")</f>
        <v>#VALUE!</v>
      </c>
      <c r="CZ114" t="e">
        <f>AND('UP133'!DM76,"AAAAAGd9+2c=")</f>
        <v>#VALUE!</v>
      </c>
      <c r="DA114" t="e">
        <f>AND('UP133'!DN76,"AAAAAGd9+2g=")</f>
        <v>#VALUE!</v>
      </c>
      <c r="DB114" t="e">
        <f>AND('UP133'!DO76,"AAAAAGd9+2k=")</f>
        <v>#VALUE!</v>
      </c>
      <c r="DC114" t="e">
        <f>AND('UP133'!DP76,"AAAAAGd9+2o=")</f>
        <v>#VALUE!</v>
      </c>
      <c r="DD114" t="e">
        <f>AND('UP133'!DQ76,"AAAAAGd9+2s=")</f>
        <v>#VALUE!</v>
      </c>
      <c r="DE114" t="e">
        <f>AND('UP133'!DR76,"AAAAAGd9+2w=")</f>
        <v>#VALUE!</v>
      </c>
      <c r="DF114" t="e">
        <f>AND('UP133'!DS76,"AAAAAGd9+20=")</f>
        <v>#VALUE!</v>
      </c>
      <c r="DG114" t="e">
        <f>AND('UP133'!DT76,"AAAAAGd9+24=")</f>
        <v>#VALUE!</v>
      </c>
      <c r="DH114" t="e">
        <f>AND('UP133'!DU76,"AAAAAGd9+28=")</f>
        <v>#VALUE!</v>
      </c>
      <c r="DI114" t="e">
        <f>AND('UP133'!DV76,"AAAAAGd9+3A=")</f>
        <v>#VALUE!</v>
      </c>
      <c r="DJ114" t="e">
        <f>AND('UP133'!DW76,"AAAAAGd9+3E=")</f>
        <v>#VALUE!</v>
      </c>
      <c r="DK114" t="e">
        <f>AND('UP133'!DX76,"AAAAAGd9+3I=")</f>
        <v>#VALUE!</v>
      </c>
      <c r="DL114" t="e">
        <f>AND('UP133'!DY76,"AAAAAGd9+3M=")</f>
        <v>#VALUE!</v>
      </c>
      <c r="DM114" t="e">
        <f>AND('UP133'!DZ76,"AAAAAGd9+3Q=")</f>
        <v>#VALUE!</v>
      </c>
      <c r="DN114" t="e">
        <f>AND('UP133'!EA76,"AAAAAGd9+3U=")</f>
        <v>#VALUE!</v>
      </c>
      <c r="DO114" t="e">
        <f>AND('UP133'!EB76,"AAAAAGd9+3Y=")</f>
        <v>#VALUE!</v>
      </c>
      <c r="DP114" t="e">
        <f>AND('UP133'!EC76,"AAAAAGd9+3c=")</f>
        <v>#VALUE!</v>
      </c>
      <c r="DQ114" t="e">
        <f>AND('UP133'!ED76,"AAAAAGd9+3g=")</f>
        <v>#VALUE!</v>
      </c>
      <c r="DR114" t="e">
        <f>AND('UP133'!EE76,"AAAAAGd9+3k=")</f>
        <v>#VALUE!</v>
      </c>
      <c r="DS114" t="e">
        <f>AND('UP133'!EF76,"AAAAAGd9+3o=")</f>
        <v>#VALUE!</v>
      </c>
      <c r="DT114" t="e">
        <f>AND('UP133'!EG76,"AAAAAGd9+3s=")</f>
        <v>#VALUE!</v>
      </c>
      <c r="DU114" t="e">
        <f>AND('UP133'!EH76,"AAAAAGd9+3w=")</f>
        <v>#VALUE!</v>
      </c>
      <c r="DV114" t="e">
        <f>AND('UP133'!EI76,"AAAAAGd9+30=")</f>
        <v>#VALUE!</v>
      </c>
      <c r="DW114" t="e">
        <f>AND('UP133'!EJ76,"AAAAAGd9+34=")</f>
        <v>#VALUE!</v>
      </c>
      <c r="DX114" t="e">
        <f>AND('UP133'!EK76,"AAAAAGd9+38=")</f>
        <v>#VALUE!</v>
      </c>
      <c r="DY114" t="e">
        <f>AND('UP133'!EL76,"AAAAAGd9+4A=")</f>
        <v>#VALUE!</v>
      </c>
      <c r="DZ114" t="e">
        <f>AND('UP133'!EM76,"AAAAAGd9+4E=")</f>
        <v>#VALUE!</v>
      </c>
      <c r="EA114" t="e">
        <f>AND('UP133'!EN76,"AAAAAGd9+4I=")</f>
        <v>#VALUE!</v>
      </c>
      <c r="EB114" t="e">
        <f>AND('UP133'!EO76,"AAAAAGd9+4M=")</f>
        <v>#VALUE!</v>
      </c>
      <c r="EC114" t="e">
        <f>AND('UP133'!EP76,"AAAAAGd9+4Q=")</f>
        <v>#VALUE!</v>
      </c>
      <c r="ED114" t="e">
        <f>AND('UP133'!EQ76,"AAAAAGd9+4U=")</f>
        <v>#VALUE!</v>
      </c>
      <c r="EE114" t="e">
        <f>AND('UP133'!ER76,"AAAAAGd9+4Y=")</f>
        <v>#VALUE!</v>
      </c>
      <c r="EF114" t="e">
        <f>AND('UP133'!ES76,"AAAAAGd9+4c=")</f>
        <v>#VALUE!</v>
      </c>
      <c r="EG114" t="e">
        <f>AND('UP133'!ET76,"AAAAAGd9+4g=")</f>
        <v>#VALUE!</v>
      </c>
      <c r="EH114" t="e">
        <f>AND('UP133'!EU76,"AAAAAGd9+4k=")</f>
        <v>#VALUE!</v>
      </c>
      <c r="EI114" t="e">
        <f>AND('UP133'!EV76,"AAAAAGd9+4o=")</f>
        <v>#VALUE!</v>
      </c>
      <c r="EJ114" t="e">
        <f>AND('UP133'!EW76,"AAAAAGd9+4s=")</f>
        <v>#VALUE!</v>
      </c>
      <c r="EK114" t="e">
        <f>AND('UP133'!EX76,"AAAAAGd9+4w=")</f>
        <v>#VALUE!</v>
      </c>
      <c r="EL114" t="e">
        <f>AND('UP133'!EY76,"AAAAAGd9+40=")</f>
        <v>#VALUE!</v>
      </c>
      <c r="EM114" t="e">
        <f>AND('UP133'!EZ76,"AAAAAGd9+44=")</f>
        <v>#VALUE!</v>
      </c>
      <c r="EN114" t="e">
        <f>AND('UP133'!FA76,"AAAAAGd9+48=")</f>
        <v>#VALUE!</v>
      </c>
      <c r="EO114" t="e">
        <f>AND('UP133'!FB76,"AAAAAGd9+5A=")</f>
        <v>#VALUE!</v>
      </c>
      <c r="EP114" t="e">
        <f>AND('UP133'!FC76,"AAAAAGd9+5E=")</f>
        <v>#VALUE!</v>
      </c>
      <c r="EQ114" t="e">
        <f>AND('UP133'!FD76,"AAAAAGd9+5I=")</f>
        <v>#VALUE!</v>
      </c>
      <c r="ER114" t="e">
        <f>AND('UP133'!FE76,"AAAAAGd9+5M=")</f>
        <v>#VALUE!</v>
      </c>
      <c r="ES114" t="e">
        <f>AND('UP133'!FF76,"AAAAAGd9+5Q=")</f>
        <v>#VALUE!</v>
      </c>
      <c r="ET114" t="e">
        <f>AND('UP133'!FG76,"AAAAAGd9+5U=")</f>
        <v>#VALUE!</v>
      </c>
      <c r="EU114" t="e">
        <f>AND('UP133'!FH76,"AAAAAGd9+5Y=")</f>
        <v>#VALUE!</v>
      </c>
      <c r="EV114" t="e">
        <f>AND('UP133'!FI76,"AAAAAGd9+5c=")</f>
        <v>#VALUE!</v>
      </c>
      <c r="EW114" t="e">
        <f>AND('UP133'!FJ76,"AAAAAGd9+5g=")</f>
        <v>#VALUE!</v>
      </c>
      <c r="EX114" t="e">
        <f>AND('UP133'!FK76,"AAAAAGd9+5k=")</f>
        <v>#VALUE!</v>
      </c>
      <c r="EY114" t="e">
        <f>AND('UP133'!FL76,"AAAAAGd9+5o=")</f>
        <v>#VALUE!</v>
      </c>
      <c r="EZ114" t="e">
        <f>AND('UP133'!FM76,"AAAAAGd9+5s=")</f>
        <v>#VALUE!</v>
      </c>
      <c r="FA114" t="e">
        <f>AND('UP133'!FN76,"AAAAAGd9+5w=")</f>
        <v>#VALUE!</v>
      </c>
      <c r="FB114" t="e">
        <f>AND('UP133'!FO76,"AAAAAGd9+50=")</f>
        <v>#VALUE!</v>
      </c>
      <c r="FC114" t="e">
        <f>AND('UP133'!FP76,"AAAAAGd9+54=")</f>
        <v>#VALUE!</v>
      </c>
      <c r="FD114" t="e">
        <f>AND('UP133'!FQ76,"AAAAAGd9+58=")</f>
        <v>#VALUE!</v>
      </c>
      <c r="FE114" t="e">
        <f>AND('UP133'!FR76,"AAAAAGd9+6A=")</f>
        <v>#VALUE!</v>
      </c>
      <c r="FF114" t="e">
        <f>AND('UP133'!FS76,"AAAAAGd9+6E=")</f>
        <v>#VALUE!</v>
      </c>
      <c r="FG114" t="e">
        <f>AND('UP133'!FT76,"AAAAAGd9+6I=")</f>
        <v>#VALUE!</v>
      </c>
      <c r="FH114" t="e">
        <f>AND('UP133'!FU76,"AAAAAGd9+6M=")</f>
        <v>#VALUE!</v>
      </c>
      <c r="FI114" t="e">
        <f>AND('UP133'!FV76,"AAAAAGd9+6Q=")</f>
        <v>#VALUE!</v>
      </c>
      <c r="FJ114" t="e">
        <f>AND('UP133'!FW76,"AAAAAGd9+6U=")</f>
        <v>#VALUE!</v>
      </c>
      <c r="FK114" t="e">
        <f>AND('UP133'!FX76,"AAAAAGd9+6Y=")</f>
        <v>#VALUE!</v>
      </c>
      <c r="FL114" t="e">
        <f>AND('UP133'!FY76,"AAAAAGd9+6c=")</f>
        <v>#VALUE!</v>
      </c>
      <c r="FM114" t="e">
        <f>AND('UP133'!FZ76,"AAAAAGd9+6g=")</f>
        <v>#VALUE!</v>
      </c>
      <c r="FN114" t="e">
        <f>AND('UP133'!GA76,"AAAAAGd9+6k=")</f>
        <v>#VALUE!</v>
      </c>
      <c r="FO114" t="e">
        <f>AND('UP133'!GB76,"AAAAAGd9+6o=")</f>
        <v>#VALUE!</v>
      </c>
      <c r="FP114" t="e">
        <f>AND('UP133'!GC76,"AAAAAGd9+6s=")</f>
        <v>#VALUE!</v>
      </c>
      <c r="FQ114" t="e">
        <f>AND('UP133'!GD76,"AAAAAGd9+6w=")</f>
        <v>#VALUE!</v>
      </c>
      <c r="FR114" t="e">
        <f>AND('UP133'!GE76,"AAAAAGd9+60=")</f>
        <v>#VALUE!</v>
      </c>
      <c r="FS114" t="e">
        <f>AND('UP133'!GF76,"AAAAAGd9+64=")</f>
        <v>#VALUE!</v>
      </c>
      <c r="FT114" t="e">
        <f>AND('UP133'!GG76,"AAAAAGd9+68=")</f>
        <v>#VALUE!</v>
      </c>
      <c r="FU114" t="e">
        <f>AND('UP133'!GH76,"AAAAAGd9+7A=")</f>
        <v>#VALUE!</v>
      </c>
      <c r="FV114" t="e">
        <f>AND('UP133'!GI76,"AAAAAGd9+7E=")</f>
        <v>#VALUE!</v>
      </c>
      <c r="FW114" t="e">
        <f>AND('UP133'!GJ76,"AAAAAGd9+7I=")</f>
        <v>#VALUE!</v>
      </c>
      <c r="FX114" t="e">
        <f>AND('UP133'!GK76,"AAAAAGd9+7M=")</f>
        <v>#VALUE!</v>
      </c>
      <c r="FY114" t="e">
        <f>AND('UP133'!GL76,"AAAAAGd9+7Q=")</f>
        <v>#VALUE!</v>
      </c>
      <c r="FZ114" t="e">
        <f>AND('UP133'!GM76,"AAAAAGd9+7U=")</f>
        <v>#VALUE!</v>
      </c>
      <c r="GA114" t="e">
        <f>AND('UP133'!GN76,"AAAAAGd9+7Y=")</f>
        <v>#VALUE!</v>
      </c>
      <c r="GB114" t="e">
        <f>AND('UP133'!GO76,"AAAAAGd9+7c=")</f>
        <v>#VALUE!</v>
      </c>
      <c r="GC114" t="e">
        <f>AND('UP133'!GP76,"AAAAAGd9+7g=")</f>
        <v>#VALUE!</v>
      </c>
      <c r="GD114" t="e">
        <f>AND('UP133'!GQ76,"AAAAAGd9+7k=")</f>
        <v>#VALUE!</v>
      </c>
      <c r="GE114" t="e">
        <f>AND('UP133'!GR76,"AAAAAGd9+7o=")</f>
        <v>#VALUE!</v>
      </c>
      <c r="GF114" t="e">
        <f>AND('UP133'!GS76,"AAAAAGd9+7s=")</f>
        <v>#VALUE!</v>
      </c>
      <c r="GG114" t="e">
        <f>AND('UP133'!GT76,"AAAAAGd9+7w=")</f>
        <v>#VALUE!</v>
      </c>
      <c r="GH114" t="e">
        <f>AND('UP133'!GU76,"AAAAAGd9+70=")</f>
        <v>#VALUE!</v>
      </c>
      <c r="GI114" t="e">
        <f>AND('UP133'!GV76,"AAAAAGd9+74=")</f>
        <v>#VALUE!</v>
      </c>
      <c r="GJ114" t="e">
        <f>AND('UP133'!GW76,"AAAAAGd9+78=")</f>
        <v>#VALUE!</v>
      </c>
      <c r="GK114" t="e">
        <f>AND('UP133'!GX76,"AAAAAGd9+8A=")</f>
        <v>#VALUE!</v>
      </c>
      <c r="GL114" t="e">
        <f>AND('UP133'!GY76,"AAAAAGd9+8E=")</f>
        <v>#VALUE!</v>
      </c>
      <c r="GM114" t="e">
        <f>AND('UP133'!GZ76,"AAAAAGd9+8I=")</f>
        <v>#VALUE!</v>
      </c>
      <c r="GN114" t="e">
        <f>AND('UP133'!HA76,"AAAAAGd9+8M=")</f>
        <v>#VALUE!</v>
      </c>
      <c r="GO114" t="e">
        <f>AND('UP133'!HB76,"AAAAAGd9+8Q=")</f>
        <v>#VALUE!</v>
      </c>
      <c r="GP114" t="e">
        <f>AND('UP133'!HC76,"AAAAAGd9+8U=")</f>
        <v>#VALUE!</v>
      </c>
      <c r="GQ114" t="e">
        <f>AND('UP133'!HD76,"AAAAAGd9+8Y=")</f>
        <v>#VALUE!</v>
      </c>
      <c r="GR114" t="e">
        <f>AND('UP133'!HE76,"AAAAAGd9+8c=")</f>
        <v>#VALUE!</v>
      </c>
      <c r="GS114" t="e">
        <f>AND('UP133'!HF76,"AAAAAGd9+8g=")</f>
        <v>#VALUE!</v>
      </c>
      <c r="GT114" t="e">
        <f>AND('UP133'!HG76,"AAAAAGd9+8k=")</f>
        <v>#VALUE!</v>
      </c>
      <c r="GU114" t="e">
        <f>AND('UP133'!HH76,"AAAAAGd9+8o=")</f>
        <v>#VALUE!</v>
      </c>
      <c r="GV114" t="e">
        <f>AND('UP133'!HI76,"AAAAAGd9+8s=")</f>
        <v>#VALUE!</v>
      </c>
      <c r="GW114" t="e">
        <f>AND('UP133'!HJ76,"AAAAAGd9+8w=")</f>
        <v>#VALUE!</v>
      </c>
      <c r="GX114" t="e">
        <f>AND('UP133'!HK76,"AAAAAGd9+80=")</f>
        <v>#VALUE!</v>
      </c>
      <c r="GY114" t="e">
        <f>AND('UP133'!HL76,"AAAAAGd9+84=")</f>
        <v>#VALUE!</v>
      </c>
      <c r="GZ114" t="e">
        <f>AND('UP133'!HM76,"AAAAAGd9+88=")</f>
        <v>#VALUE!</v>
      </c>
      <c r="HA114" t="e">
        <f>AND('UP133'!HN76,"AAAAAGd9+9A=")</f>
        <v>#VALUE!</v>
      </c>
      <c r="HB114" t="e">
        <f>AND('UP133'!HO76,"AAAAAGd9+9E=")</f>
        <v>#VALUE!</v>
      </c>
      <c r="HC114" t="e">
        <f>AND('UP133'!HP76,"AAAAAGd9+9I=")</f>
        <v>#VALUE!</v>
      </c>
      <c r="HD114" t="e">
        <f>AND('UP133'!HQ76,"AAAAAGd9+9M=")</f>
        <v>#VALUE!</v>
      </c>
      <c r="HE114" t="e">
        <f>AND('UP133'!HR76,"AAAAAGd9+9Q=")</f>
        <v>#VALUE!</v>
      </c>
      <c r="HF114" t="e">
        <f>AND('UP133'!HS76,"AAAAAGd9+9U=")</f>
        <v>#VALUE!</v>
      </c>
      <c r="HG114" t="e">
        <f>AND('UP133'!HT76,"AAAAAGd9+9Y=")</f>
        <v>#VALUE!</v>
      </c>
      <c r="HH114" t="e">
        <f>AND('UP133'!HU76,"AAAAAGd9+9c=")</f>
        <v>#VALUE!</v>
      </c>
      <c r="HI114" t="e">
        <f>AND('UP133'!HV76,"AAAAAGd9+9g=")</f>
        <v>#VALUE!</v>
      </c>
      <c r="HJ114" t="e">
        <f>AND('UP133'!HW76,"AAAAAGd9+9k=")</f>
        <v>#VALUE!</v>
      </c>
      <c r="HK114" t="e">
        <f>AND('UP133'!HX76,"AAAAAGd9+9o=")</f>
        <v>#VALUE!</v>
      </c>
      <c r="HL114" t="e">
        <f>AND('UP133'!HY76,"AAAAAGd9+9s=")</f>
        <v>#VALUE!</v>
      </c>
      <c r="HM114" t="e">
        <f>AND('UP133'!HZ76,"AAAAAGd9+9w=")</f>
        <v>#VALUE!</v>
      </c>
      <c r="HN114" t="e">
        <f>AND('UP133'!IA76,"AAAAAGd9+90=")</f>
        <v>#VALUE!</v>
      </c>
      <c r="HO114" t="e">
        <f>AND('UP133'!IB76,"AAAAAGd9+94=")</f>
        <v>#VALUE!</v>
      </c>
      <c r="HP114" t="e">
        <f>AND('UP133'!IC76,"AAAAAGd9+98=")</f>
        <v>#VALUE!</v>
      </c>
      <c r="HQ114" t="e">
        <f>AND('UP133'!ID76,"AAAAAGd9++A=")</f>
        <v>#VALUE!</v>
      </c>
      <c r="HR114" t="e">
        <f>AND('UP133'!IE76,"AAAAAGd9++E=")</f>
        <v>#VALUE!</v>
      </c>
      <c r="HS114" t="e">
        <f>AND('UP133'!IF76,"AAAAAGd9++I=")</f>
        <v>#VALUE!</v>
      </c>
      <c r="HT114" t="e">
        <f>AND('UP133'!IG76,"AAAAAGd9++M=")</f>
        <v>#VALUE!</v>
      </c>
      <c r="HU114" t="e">
        <f>AND('UP133'!IH76,"AAAAAGd9++Q=")</f>
        <v>#VALUE!</v>
      </c>
      <c r="HV114" t="e">
        <f>AND('UP133'!II76,"AAAAAGd9++U=")</f>
        <v>#VALUE!</v>
      </c>
      <c r="HW114" t="e">
        <f>AND('UP133'!IJ76,"AAAAAGd9++Y=")</f>
        <v>#VALUE!</v>
      </c>
      <c r="HX114" t="e">
        <f>AND('UP133'!IK76,"AAAAAGd9++c=")</f>
        <v>#VALUE!</v>
      </c>
      <c r="HY114" t="e">
        <f>AND('UP133'!IL76,"AAAAAGd9++g=")</f>
        <v>#VALUE!</v>
      </c>
      <c r="HZ114" t="e">
        <f>AND('UP133'!IM76,"AAAAAGd9++k=")</f>
        <v>#VALUE!</v>
      </c>
      <c r="IA114" t="e">
        <f>AND('UP133'!IN76,"AAAAAGd9++o=")</f>
        <v>#VALUE!</v>
      </c>
      <c r="IB114" t="e">
        <f>AND('UP133'!IO76,"AAAAAGd9++s=")</f>
        <v>#VALUE!</v>
      </c>
      <c r="IC114" t="e">
        <f>AND('UP133'!IP76,"AAAAAGd9++w=")</f>
        <v>#VALUE!</v>
      </c>
      <c r="ID114" t="e">
        <f>AND('UP133'!IQ76,"AAAAAGd9++0=")</f>
        <v>#VALUE!</v>
      </c>
      <c r="IE114">
        <f>IF('UP133'!77:77,"AAAAAGd9++4=",0)</f>
        <v>0</v>
      </c>
      <c r="IF114" t="e">
        <f>AND('UP133'!A77,"AAAAAGd9++8=")</f>
        <v>#VALUE!</v>
      </c>
      <c r="IG114" t="e">
        <f>AND('UP133'!B77,"AAAAAGd9+/A=")</f>
        <v>#VALUE!</v>
      </c>
      <c r="IH114" t="e">
        <f>AND('UP133'!C77,"AAAAAGd9+/E=")</f>
        <v>#VALUE!</v>
      </c>
      <c r="II114" t="e">
        <f>AND('UP133'!D77,"AAAAAGd9+/I=")</f>
        <v>#VALUE!</v>
      </c>
      <c r="IJ114" t="e">
        <f>AND('UP133'!E77,"AAAAAGd9+/M=")</f>
        <v>#VALUE!</v>
      </c>
      <c r="IK114" t="e">
        <f>AND('UP133'!F77,"AAAAAGd9+/Q=")</f>
        <v>#VALUE!</v>
      </c>
      <c r="IL114" t="e">
        <f>AND('UP133'!G77,"AAAAAGd9+/U=")</f>
        <v>#VALUE!</v>
      </c>
      <c r="IM114" t="e">
        <f>AND('UP133'!H77,"AAAAAGd9+/Y=")</f>
        <v>#VALUE!</v>
      </c>
      <c r="IN114" t="e">
        <f>AND('UP133'!I77,"AAAAAGd9+/c=")</f>
        <v>#VALUE!</v>
      </c>
      <c r="IO114" t="e">
        <f>AND('UP133'!J77,"AAAAAGd9+/g=")</f>
        <v>#VALUE!</v>
      </c>
      <c r="IP114" t="e">
        <f>AND('UP133'!K77,"AAAAAGd9+/k=")</f>
        <v>#VALUE!</v>
      </c>
      <c r="IQ114" t="e">
        <f>AND('UP133'!L77,"AAAAAGd9+/o=")</f>
        <v>#VALUE!</v>
      </c>
      <c r="IR114" t="e">
        <f>AND('UP133'!M77,"AAAAAGd9+/s=")</f>
        <v>#VALUE!</v>
      </c>
      <c r="IS114" t="e">
        <f>AND('UP133'!N77,"AAAAAGd9+/w=")</f>
        <v>#VALUE!</v>
      </c>
      <c r="IT114" t="e">
        <f>AND('UP133'!O77,"AAAAAGd9+/0=")</f>
        <v>#VALUE!</v>
      </c>
      <c r="IU114" t="e">
        <f>AND('UP133'!P77,"AAAAAGd9+/4=")</f>
        <v>#VALUE!</v>
      </c>
      <c r="IV114" t="e">
        <f>AND('UP133'!Q77,"AAAAAGd9+/8=")</f>
        <v>#VALUE!</v>
      </c>
    </row>
    <row r="115" spans="1:256">
      <c r="A115" t="e">
        <f>AND('UP133'!R77,"AAAAAD7ffgA=")</f>
        <v>#VALUE!</v>
      </c>
      <c r="B115" t="e">
        <f>AND('UP133'!S77,"AAAAAD7ffgE=")</f>
        <v>#VALUE!</v>
      </c>
      <c r="C115" t="e">
        <f>AND('UP133'!T77,"AAAAAD7ffgI=")</f>
        <v>#VALUE!</v>
      </c>
      <c r="D115" t="e">
        <f>AND('UP133'!U77,"AAAAAD7ffgM=")</f>
        <v>#VALUE!</v>
      </c>
      <c r="E115" t="e">
        <f>AND('UP133'!V77,"AAAAAD7ffgQ=")</f>
        <v>#VALUE!</v>
      </c>
      <c r="F115" t="e">
        <f>AND('UP133'!W77,"AAAAAD7ffgU=")</f>
        <v>#VALUE!</v>
      </c>
      <c r="G115" t="e">
        <f>AND('UP133'!X77,"AAAAAD7ffgY=")</f>
        <v>#VALUE!</v>
      </c>
      <c r="H115" t="e">
        <f>AND('UP133'!Y77,"AAAAAD7ffgc=")</f>
        <v>#VALUE!</v>
      </c>
      <c r="I115" t="e">
        <f>AND('UP133'!Z77,"AAAAAD7ffgg=")</f>
        <v>#VALUE!</v>
      </c>
      <c r="J115" t="e">
        <f>AND('UP133'!AA77,"AAAAAD7ffgk=")</f>
        <v>#VALUE!</v>
      </c>
      <c r="K115" t="e">
        <f>AND('UP133'!AB77,"AAAAAD7ffgo=")</f>
        <v>#VALUE!</v>
      </c>
      <c r="L115" t="e">
        <f>AND('UP133'!AC77,"AAAAAD7ffgs=")</f>
        <v>#VALUE!</v>
      </c>
      <c r="M115" t="e">
        <f>AND('UP133'!AD77,"AAAAAD7ffgw=")</f>
        <v>#VALUE!</v>
      </c>
      <c r="N115" t="e">
        <f>AND('UP133'!AE77,"AAAAAD7ffg0=")</f>
        <v>#VALUE!</v>
      </c>
      <c r="O115" t="e">
        <f>AND('UP133'!AF77,"AAAAAD7ffg4=")</f>
        <v>#VALUE!</v>
      </c>
      <c r="P115" t="e">
        <f>AND('UP133'!AG77,"AAAAAD7ffg8=")</f>
        <v>#VALUE!</v>
      </c>
      <c r="Q115" t="e">
        <f>AND('UP133'!AH77,"AAAAAD7ffhA=")</f>
        <v>#VALUE!</v>
      </c>
      <c r="R115" t="e">
        <f>AND('UP133'!AI77,"AAAAAD7ffhE=")</f>
        <v>#VALUE!</v>
      </c>
      <c r="S115" t="e">
        <f>AND('UP133'!AJ77,"AAAAAD7ffhI=")</f>
        <v>#VALUE!</v>
      </c>
      <c r="T115" t="e">
        <f>AND('UP133'!AK77,"AAAAAD7ffhM=")</f>
        <v>#VALUE!</v>
      </c>
      <c r="U115" t="e">
        <f>AND('UP133'!AL77,"AAAAAD7ffhQ=")</f>
        <v>#VALUE!</v>
      </c>
      <c r="V115" t="e">
        <f>AND('UP133'!AM77,"AAAAAD7ffhU=")</f>
        <v>#VALUE!</v>
      </c>
      <c r="W115" t="e">
        <f>AND('UP133'!AN77,"AAAAAD7ffhY=")</f>
        <v>#VALUE!</v>
      </c>
      <c r="X115" t="e">
        <f>AND('UP133'!AO77,"AAAAAD7ffhc=")</f>
        <v>#VALUE!</v>
      </c>
      <c r="Y115" t="e">
        <f>AND('UP133'!AP77,"AAAAAD7ffhg=")</f>
        <v>#VALUE!</v>
      </c>
      <c r="Z115" t="e">
        <f>AND('UP133'!AQ77,"AAAAAD7ffhk=")</f>
        <v>#VALUE!</v>
      </c>
      <c r="AA115" t="e">
        <f>AND('UP133'!AR77,"AAAAAD7ffho=")</f>
        <v>#VALUE!</v>
      </c>
      <c r="AB115" t="e">
        <f>AND('UP133'!AS77,"AAAAAD7ffhs=")</f>
        <v>#VALUE!</v>
      </c>
      <c r="AC115" t="e">
        <f>AND('UP133'!AT77,"AAAAAD7ffhw=")</f>
        <v>#VALUE!</v>
      </c>
      <c r="AD115" t="e">
        <f>AND('UP133'!AU77,"AAAAAD7ffh0=")</f>
        <v>#VALUE!</v>
      </c>
      <c r="AE115" t="e">
        <f>AND('UP133'!AV77,"AAAAAD7ffh4=")</f>
        <v>#VALUE!</v>
      </c>
      <c r="AF115" t="e">
        <f>AND('UP133'!AW77,"AAAAAD7ffh8=")</f>
        <v>#VALUE!</v>
      </c>
      <c r="AG115" t="e">
        <f>AND('UP133'!AX77,"AAAAAD7ffiA=")</f>
        <v>#VALUE!</v>
      </c>
      <c r="AH115" t="e">
        <f>AND('UP133'!AY77,"AAAAAD7ffiE=")</f>
        <v>#VALUE!</v>
      </c>
      <c r="AI115" t="e">
        <f>AND('UP133'!AZ77,"AAAAAD7ffiI=")</f>
        <v>#VALUE!</v>
      </c>
      <c r="AJ115" t="e">
        <f>AND('UP133'!BA77,"AAAAAD7ffiM=")</f>
        <v>#VALUE!</v>
      </c>
      <c r="AK115" t="e">
        <f>AND('UP133'!BB77,"AAAAAD7ffiQ=")</f>
        <v>#VALUE!</v>
      </c>
      <c r="AL115" t="e">
        <f>AND('UP133'!BC77,"AAAAAD7ffiU=")</f>
        <v>#VALUE!</v>
      </c>
      <c r="AM115" t="e">
        <f>AND('UP133'!BD77,"AAAAAD7ffiY=")</f>
        <v>#VALUE!</v>
      </c>
      <c r="AN115" t="e">
        <f>AND('UP133'!BE77,"AAAAAD7ffic=")</f>
        <v>#VALUE!</v>
      </c>
      <c r="AO115" t="e">
        <f>AND('UP133'!BF77,"AAAAAD7ffig=")</f>
        <v>#VALUE!</v>
      </c>
      <c r="AP115" t="e">
        <f>AND('UP133'!BG77,"AAAAAD7ffik=")</f>
        <v>#VALUE!</v>
      </c>
      <c r="AQ115" t="e">
        <f>AND('UP133'!BH77,"AAAAAD7ffio=")</f>
        <v>#VALUE!</v>
      </c>
      <c r="AR115" t="e">
        <f>AND('UP133'!BI77,"AAAAAD7ffis=")</f>
        <v>#VALUE!</v>
      </c>
      <c r="AS115" t="e">
        <f>AND('UP133'!BJ77,"AAAAAD7ffiw=")</f>
        <v>#VALUE!</v>
      </c>
      <c r="AT115" t="e">
        <f>AND('UP133'!BK77,"AAAAAD7ffi0=")</f>
        <v>#VALUE!</v>
      </c>
      <c r="AU115" t="e">
        <f>AND('UP133'!BL77,"AAAAAD7ffi4=")</f>
        <v>#VALUE!</v>
      </c>
      <c r="AV115" t="e">
        <f>AND('UP133'!BM77,"AAAAAD7ffi8=")</f>
        <v>#VALUE!</v>
      </c>
      <c r="AW115" t="e">
        <f>AND('UP133'!BN77,"AAAAAD7ffjA=")</f>
        <v>#VALUE!</v>
      </c>
      <c r="AX115" t="e">
        <f>AND('UP133'!BO77,"AAAAAD7ffjE=")</f>
        <v>#VALUE!</v>
      </c>
      <c r="AY115" t="e">
        <f>AND('UP133'!BP77,"AAAAAD7ffjI=")</f>
        <v>#VALUE!</v>
      </c>
      <c r="AZ115" t="e">
        <f>AND('UP133'!BQ77,"AAAAAD7ffjM=")</f>
        <v>#VALUE!</v>
      </c>
      <c r="BA115" t="e">
        <f>AND('UP133'!BR77,"AAAAAD7ffjQ=")</f>
        <v>#VALUE!</v>
      </c>
      <c r="BB115" t="e">
        <f>AND('UP133'!BS77,"AAAAAD7ffjU=")</f>
        <v>#VALUE!</v>
      </c>
      <c r="BC115" t="e">
        <f>AND('UP133'!BT77,"AAAAAD7ffjY=")</f>
        <v>#VALUE!</v>
      </c>
      <c r="BD115" t="e">
        <f>AND('UP133'!BU77,"AAAAAD7ffjc=")</f>
        <v>#VALUE!</v>
      </c>
      <c r="BE115" t="e">
        <f>AND('UP133'!BV77,"AAAAAD7ffjg=")</f>
        <v>#VALUE!</v>
      </c>
      <c r="BF115" t="e">
        <f>AND('UP133'!BW77,"AAAAAD7ffjk=")</f>
        <v>#VALUE!</v>
      </c>
      <c r="BG115" t="e">
        <f>AND('UP133'!BX77,"AAAAAD7ffjo=")</f>
        <v>#VALUE!</v>
      </c>
      <c r="BH115" t="e">
        <f>AND('UP133'!BY77,"AAAAAD7ffjs=")</f>
        <v>#VALUE!</v>
      </c>
      <c r="BI115" t="e">
        <f>AND('UP133'!BZ77,"AAAAAD7ffjw=")</f>
        <v>#VALUE!</v>
      </c>
      <c r="BJ115" t="e">
        <f>AND('UP133'!CA77,"AAAAAD7ffj0=")</f>
        <v>#VALUE!</v>
      </c>
      <c r="BK115" t="e">
        <f>AND('UP133'!CB77,"AAAAAD7ffj4=")</f>
        <v>#VALUE!</v>
      </c>
      <c r="BL115" t="e">
        <f>AND('UP133'!CC77,"AAAAAD7ffj8=")</f>
        <v>#VALUE!</v>
      </c>
      <c r="BM115" t="e">
        <f>AND('UP133'!CD77,"AAAAAD7ffkA=")</f>
        <v>#VALUE!</v>
      </c>
      <c r="BN115" t="e">
        <f>AND('UP133'!CE77,"AAAAAD7ffkE=")</f>
        <v>#VALUE!</v>
      </c>
      <c r="BO115" t="e">
        <f>AND('UP133'!CF77,"AAAAAD7ffkI=")</f>
        <v>#VALUE!</v>
      </c>
      <c r="BP115" t="e">
        <f>AND('UP133'!CG77,"AAAAAD7ffkM=")</f>
        <v>#VALUE!</v>
      </c>
      <c r="BQ115" t="e">
        <f>AND('UP133'!CH77,"AAAAAD7ffkQ=")</f>
        <v>#VALUE!</v>
      </c>
      <c r="BR115" t="e">
        <f>AND('UP133'!CI77,"AAAAAD7ffkU=")</f>
        <v>#VALUE!</v>
      </c>
      <c r="BS115" t="e">
        <f>AND('UP133'!CJ77,"AAAAAD7ffkY=")</f>
        <v>#VALUE!</v>
      </c>
      <c r="BT115" t="e">
        <f>AND('UP133'!CK77,"AAAAAD7ffkc=")</f>
        <v>#VALUE!</v>
      </c>
      <c r="BU115" t="e">
        <f>AND('UP133'!CL77,"AAAAAD7ffkg=")</f>
        <v>#VALUE!</v>
      </c>
      <c r="BV115" t="e">
        <f>AND('UP133'!CM77,"AAAAAD7ffkk=")</f>
        <v>#VALUE!</v>
      </c>
      <c r="BW115" t="e">
        <f>AND('UP133'!CN77,"AAAAAD7ffko=")</f>
        <v>#VALUE!</v>
      </c>
      <c r="BX115" t="e">
        <f>AND('UP133'!CO77,"AAAAAD7ffks=")</f>
        <v>#VALUE!</v>
      </c>
      <c r="BY115" t="e">
        <f>AND('UP133'!CP77,"AAAAAD7ffkw=")</f>
        <v>#VALUE!</v>
      </c>
      <c r="BZ115" t="e">
        <f>AND('UP133'!CQ77,"AAAAAD7ffk0=")</f>
        <v>#VALUE!</v>
      </c>
      <c r="CA115" t="e">
        <f>AND('UP133'!CR77,"AAAAAD7ffk4=")</f>
        <v>#VALUE!</v>
      </c>
      <c r="CB115" t="e">
        <f>AND('UP133'!CS77,"AAAAAD7ffk8=")</f>
        <v>#VALUE!</v>
      </c>
      <c r="CC115" t="e">
        <f>AND('UP133'!CT77,"AAAAAD7fflA=")</f>
        <v>#VALUE!</v>
      </c>
      <c r="CD115" t="e">
        <f>AND('UP133'!CU77,"AAAAAD7fflE=")</f>
        <v>#VALUE!</v>
      </c>
      <c r="CE115" t="e">
        <f>AND('UP133'!CV77,"AAAAAD7fflI=")</f>
        <v>#VALUE!</v>
      </c>
      <c r="CF115" t="e">
        <f>AND('UP133'!CW77,"AAAAAD7fflM=")</f>
        <v>#VALUE!</v>
      </c>
      <c r="CG115" t="e">
        <f>AND('UP133'!CX77,"AAAAAD7fflQ=")</f>
        <v>#VALUE!</v>
      </c>
      <c r="CH115" t="e">
        <f>AND('UP133'!CY77,"AAAAAD7fflU=")</f>
        <v>#VALUE!</v>
      </c>
      <c r="CI115" t="e">
        <f>AND('UP133'!CZ77,"AAAAAD7fflY=")</f>
        <v>#VALUE!</v>
      </c>
      <c r="CJ115" t="e">
        <f>AND('UP133'!DA77,"AAAAAD7fflc=")</f>
        <v>#VALUE!</v>
      </c>
      <c r="CK115" t="e">
        <f>AND('UP133'!DB77,"AAAAAD7fflg=")</f>
        <v>#VALUE!</v>
      </c>
      <c r="CL115" t="e">
        <f>AND('UP133'!DC77,"AAAAAD7fflk=")</f>
        <v>#VALUE!</v>
      </c>
      <c r="CM115" t="e">
        <f>AND('UP133'!DD77,"AAAAAD7fflo=")</f>
        <v>#VALUE!</v>
      </c>
      <c r="CN115" t="e">
        <f>AND('UP133'!DE77,"AAAAAD7ffls=")</f>
        <v>#VALUE!</v>
      </c>
      <c r="CO115" t="e">
        <f>AND('UP133'!DF77,"AAAAAD7fflw=")</f>
        <v>#VALUE!</v>
      </c>
      <c r="CP115" t="e">
        <f>AND('UP133'!DG77,"AAAAAD7ffl0=")</f>
        <v>#VALUE!</v>
      </c>
      <c r="CQ115" t="e">
        <f>AND('UP133'!DH77,"AAAAAD7ffl4=")</f>
        <v>#VALUE!</v>
      </c>
      <c r="CR115" t="e">
        <f>AND('UP133'!DI77,"AAAAAD7ffl8=")</f>
        <v>#VALUE!</v>
      </c>
      <c r="CS115" t="e">
        <f>AND('UP133'!DJ77,"AAAAAD7ffmA=")</f>
        <v>#VALUE!</v>
      </c>
      <c r="CT115" t="e">
        <f>AND('UP133'!DK77,"AAAAAD7ffmE=")</f>
        <v>#VALUE!</v>
      </c>
      <c r="CU115" t="e">
        <f>AND('UP133'!DL77,"AAAAAD7ffmI=")</f>
        <v>#VALUE!</v>
      </c>
      <c r="CV115" t="e">
        <f>AND('UP133'!DM77,"AAAAAD7ffmM=")</f>
        <v>#VALUE!</v>
      </c>
      <c r="CW115" t="e">
        <f>AND('UP133'!DN77,"AAAAAD7ffmQ=")</f>
        <v>#VALUE!</v>
      </c>
      <c r="CX115" t="e">
        <f>AND('UP133'!DO77,"AAAAAD7ffmU=")</f>
        <v>#VALUE!</v>
      </c>
      <c r="CY115" t="e">
        <f>AND('UP133'!DP77,"AAAAAD7ffmY=")</f>
        <v>#VALUE!</v>
      </c>
      <c r="CZ115" t="e">
        <f>AND('UP133'!DQ77,"AAAAAD7ffmc=")</f>
        <v>#VALUE!</v>
      </c>
      <c r="DA115" t="e">
        <f>AND('UP133'!DR77,"AAAAAD7ffmg=")</f>
        <v>#VALUE!</v>
      </c>
      <c r="DB115" t="e">
        <f>AND('UP133'!DS77,"AAAAAD7ffmk=")</f>
        <v>#VALUE!</v>
      </c>
      <c r="DC115" t="e">
        <f>AND('UP133'!DT77,"AAAAAD7ffmo=")</f>
        <v>#VALUE!</v>
      </c>
      <c r="DD115" t="e">
        <f>AND('UP133'!DU77,"AAAAAD7ffms=")</f>
        <v>#VALUE!</v>
      </c>
      <c r="DE115" t="e">
        <f>AND('UP133'!DV77,"AAAAAD7ffmw=")</f>
        <v>#VALUE!</v>
      </c>
      <c r="DF115" t="e">
        <f>AND('UP133'!DW77,"AAAAAD7ffm0=")</f>
        <v>#VALUE!</v>
      </c>
      <c r="DG115" t="e">
        <f>AND('UP133'!DX77,"AAAAAD7ffm4=")</f>
        <v>#VALUE!</v>
      </c>
      <c r="DH115" t="e">
        <f>AND('UP133'!DY77,"AAAAAD7ffm8=")</f>
        <v>#VALUE!</v>
      </c>
      <c r="DI115" t="e">
        <f>AND('UP133'!DZ77,"AAAAAD7ffnA=")</f>
        <v>#VALUE!</v>
      </c>
      <c r="DJ115" t="e">
        <f>AND('UP133'!EA77,"AAAAAD7ffnE=")</f>
        <v>#VALUE!</v>
      </c>
      <c r="DK115" t="e">
        <f>AND('UP133'!EB77,"AAAAAD7ffnI=")</f>
        <v>#VALUE!</v>
      </c>
      <c r="DL115" t="e">
        <f>AND('UP133'!EC77,"AAAAAD7ffnM=")</f>
        <v>#VALUE!</v>
      </c>
      <c r="DM115" t="e">
        <f>AND('UP133'!ED77,"AAAAAD7ffnQ=")</f>
        <v>#VALUE!</v>
      </c>
      <c r="DN115" t="e">
        <f>AND('UP133'!EE77,"AAAAAD7ffnU=")</f>
        <v>#VALUE!</v>
      </c>
      <c r="DO115" t="e">
        <f>AND('UP133'!EF77,"AAAAAD7ffnY=")</f>
        <v>#VALUE!</v>
      </c>
      <c r="DP115" t="e">
        <f>AND('UP133'!EG77,"AAAAAD7ffnc=")</f>
        <v>#VALUE!</v>
      </c>
      <c r="DQ115" t="e">
        <f>AND('UP133'!EH77,"AAAAAD7ffng=")</f>
        <v>#VALUE!</v>
      </c>
      <c r="DR115" t="e">
        <f>AND('UP133'!EI77,"AAAAAD7ffnk=")</f>
        <v>#VALUE!</v>
      </c>
      <c r="DS115" t="e">
        <f>AND('UP133'!EJ77,"AAAAAD7ffno=")</f>
        <v>#VALUE!</v>
      </c>
      <c r="DT115" t="e">
        <f>AND('UP133'!EK77,"AAAAAD7ffns=")</f>
        <v>#VALUE!</v>
      </c>
      <c r="DU115" t="e">
        <f>AND('UP133'!EL77,"AAAAAD7ffnw=")</f>
        <v>#VALUE!</v>
      </c>
      <c r="DV115" t="e">
        <f>AND('UP133'!EM77,"AAAAAD7ffn0=")</f>
        <v>#VALUE!</v>
      </c>
      <c r="DW115" t="e">
        <f>AND('UP133'!EN77,"AAAAAD7ffn4=")</f>
        <v>#VALUE!</v>
      </c>
      <c r="DX115" t="e">
        <f>AND('UP133'!EO77,"AAAAAD7ffn8=")</f>
        <v>#VALUE!</v>
      </c>
      <c r="DY115" t="e">
        <f>AND('UP133'!EP77,"AAAAAD7ffoA=")</f>
        <v>#VALUE!</v>
      </c>
      <c r="DZ115" t="e">
        <f>AND('UP133'!EQ77,"AAAAAD7ffoE=")</f>
        <v>#VALUE!</v>
      </c>
      <c r="EA115" t="e">
        <f>AND('UP133'!ER77,"AAAAAD7ffoI=")</f>
        <v>#VALUE!</v>
      </c>
      <c r="EB115" t="e">
        <f>AND('UP133'!ES77,"AAAAAD7ffoM=")</f>
        <v>#VALUE!</v>
      </c>
      <c r="EC115" t="e">
        <f>AND('UP133'!ET77,"AAAAAD7ffoQ=")</f>
        <v>#VALUE!</v>
      </c>
      <c r="ED115" t="e">
        <f>AND('UP133'!EU77,"AAAAAD7ffoU=")</f>
        <v>#VALUE!</v>
      </c>
      <c r="EE115" t="e">
        <f>AND('UP133'!EV77,"AAAAAD7ffoY=")</f>
        <v>#VALUE!</v>
      </c>
      <c r="EF115" t="e">
        <f>AND('UP133'!EW77,"AAAAAD7ffoc=")</f>
        <v>#VALUE!</v>
      </c>
      <c r="EG115" t="e">
        <f>AND('UP133'!EX77,"AAAAAD7ffog=")</f>
        <v>#VALUE!</v>
      </c>
      <c r="EH115" t="e">
        <f>AND('UP133'!EY77,"AAAAAD7ffok=")</f>
        <v>#VALUE!</v>
      </c>
      <c r="EI115" t="e">
        <f>AND('UP133'!EZ77,"AAAAAD7ffoo=")</f>
        <v>#VALUE!</v>
      </c>
      <c r="EJ115" t="e">
        <f>AND('UP133'!FA77,"AAAAAD7ffos=")</f>
        <v>#VALUE!</v>
      </c>
      <c r="EK115" t="e">
        <f>AND('UP133'!FB77,"AAAAAD7ffow=")</f>
        <v>#VALUE!</v>
      </c>
      <c r="EL115" t="e">
        <f>AND('UP133'!FC77,"AAAAAD7ffo0=")</f>
        <v>#VALUE!</v>
      </c>
      <c r="EM115" t="e">
        <f>AND('UP133'!FD77,"AAAAAD7ffo4=")</f>
        <v>#VALUE!</v>
      </c>
      <c r="EN115" t="e">
        <f>AND('UP133'!FE77,"AAAAAD7ffo8=")</f>
        <v>#VALUE!</v>
      </c>
      <c r="EO115" t="e">
        <f>AND('UP133'!FF77,"AAAAAD7ffpA=")</f>
        <v>#VALUE!</v>
      </c>
      <c r="EP115" t="e">
        <f>AND('UP133'!FG77,"AAAAAD7ffpE=")</f>
        <v>#VALUE!</v>
      </c>
      <c r="EQ115" t="e">
        <f>AND('UP133'!FH77,"AAAAAD7ffpI=")</f>
        <v>#VALUE!</v>
      </c>
      <c r="ER115" t="e">
        <f>AND('UP133'!FI77,"AAAAAD7ffpM=")</f>
        <v>#VALUE!</v>
      </c>
      <c r="ES115" t="e">
        <f>AND('UP133'!FJ77,"AAAAAD7ffpQ=")</f>
        <v>#VALUE!</v>
      </c>
      <c r="ET115" t="e">
        <f>AND('UP133'!FK77,"AAAAAD7ffpU=")</f>
        <v>#VALUE!</v>
      </c>
      <c r="EU115" t="e">
        <f>AND('UP133'!FL77,"AAAAAD7ffpY=")</f>
        <v>#VALUE!</v>
      </c>
      <c r="EV115" t="e">
        <f>AND('UP133'!FM77,"AAAAAD7ffpc=")</f>
        <v>#VALUE!</v>
      </c>
      <c r="EW115" t="e">
        <f>AND('UP133'!FN77,"AAAAAD7ffpg=")</f>
        <v>#VALUE!</v>
      </c>
      <c r="EX115" t="e">
        <f>AND('UP133'!FO77,"AAAAAD7ffpk=")</f>
        <v>#VALUE!</v>
      </c>
      <c r="EY115" t="e">
        <f>AND('UP133'!FP77,"AAAAAD7ffpo=")</f>
        <v>#VALUE!</v>
      </c>
      <c r="EZ115" t="e">
        <f>AND('UP133'!FQ77,"AAAAAD7ffps=")</f>
        <v>#VALUE!</v>
      </c>
      <c r="FA115" t="e">
        <f>AND('UP133'!FR77,"AAAAAD7ffpw=")</f>
        <v>#VALUE!</v>
      </c>
      <c r="FB115" t="e">
        <f>AND('UP133'!FS77,"AAAAAD7ffp0=")</f>
        <v>#VALUE!</v>
      </c>
      <c r="FC115" t="e">
        <f>AND('UP133'!FT77,"AAAAAD7ffp4=")</f>
        <v>#VALUE!</v>
      </c>
      <c r="FD115" t="e">
        <f>AND('UP133'!FU77,"AAAAAD7ffp8=")</f>
        <v>#VALUE!</v>
      </c>
      <c r="FE115" t="e">
        <f>AND('UP133'!FV77,"AAAAAD7ffqA=")</f>
        <v>#VALUE!</v>
      </c>
      <c r="FF115" t="e">
        <f>AND('UP133'!FW77,"AAAAAD7ffqE=")</f>
        <v>#VALUE!</v>
      </c>
      <c r="FG115" t="e">
        <f>AND('UP133'!FX77,"AAAAAD7ffqI=")</f>
        <v>#VALUE!</v>
      </c>
      <c r="FH115" t="e">
        <f>AND('UP133'!FY77,"AAAAAD7ffqM=")</f>
        <v>#VALUE!</v>
      </c>
      <c r="FI115" t="e">
        <f>AND('UP133'!FZ77,"AAAAAD7ffqQ=")</f>
        <v>#VALUE!</v>
      </c>
      <c r="FJ115" t="e">
        <f>AND('UP133'!GA77,"AAAAAD7ffqU=")</f>
        <v>#VALUE!</v>
      </c>
      <c r="FK115" t="e">
        <f>AND('UP133'!GB77,"AAAAAD7ffqY=")</f>
        <v>#VALUE!</v>
      </c>
      <c r="FL115" t="e">
        <f>AND('UP133'!GC77,"AAAAAD7ffqc=")</f>
        <v>#VALUE!</v>
      </c>
      <c r="FM115" t="e">
        <f>AND('UP133'!GD77,"AAAAAD7ffqg=")</f>
        <v>#VALUE!</v>
      </c>
      <c r="FN115" t="e">
        <f>AND('UP133'!GE77,"AAAAAD7ffqk=")</f>
        <v>#VALUE!</v>
      </c>
      <c r="FO115" t="e">
        <f>AND('UP133'!GF77,"AAAAAD7ffqo=")</f>
        <v>#VALUE!</v>
      </c>
      <c r="FP115" t="e">
        <f>AND('UP133'!GG77,"AAAAAD7ffqs=")</f>
        <v>#VALUE!</v>
      </c>
      <c r="FQ115" t="e">
        <f>AND('UP133'!GH77,"AAAAAD7ffqw=")</f>
        <v>#VALUE!</v>
      </c>
      <c r="FR115" t="e">
        <f>AND('UP133'!GI77,"AAAAAD7ffq0=")</f>
        <v>#VALUE!</v>
      </c>
      <c r="FS115" t="e">
        <f>AND('UP133'!GJ77,"AAAAAD7ffq4=")</f>
        <v>#VALUE!</v>
      </c>
      <c r="FT115" t="e">
        <f>AND('UP133'!GK77,"AAAAAD7ffq8=")</f>
        <v>#VALUE!</v>
      </c>
      <c r="FU115" t="e">
        <f>AND('UP133'!GL77,"AAAAAD7ffrA=")</f>
        <v>#VALUE!</v>
      </c>
      <c r="FV115" t="e">
        <f>AND('UP133'!GM77,"AAAAAD7ffrE=")</f>
        <v>#VALUE!</v>
      </c>
      <c r="FW115" t="e">
        <f>AND('UP133'!GN77,"AAAAAD7ffrI=")</f>
        <v>#VALUE!</v>
      </c>
      <c r="FX115" t="e">
        <f>AND('UP133'!GO77,"AAAAAD7ffrM=")</f>
        <v>#VALUE!</v>
      </c>
      <c r="FY115" t="e">
        <f>AND('UP133'!GP77,"AAAAAD7ffrQ=")</f>
        <v>#VALUE!</v>
      </c>
      <c r="FZ115" t="e">
        <f>AND('UP133'!GQ77,"AAAAAD7ffrU=")</f>
        <v>#VALUE!</v>
      </c>
      <c r="GA115" t="e">
        <f>AND('UP133'!GR77,"AAAAAD7ffrY=")</f>
        <v>#VALUE!</v>
      </c>
      <c r="GB115" t="e">
        <f>AND('UP133'!GS77,"AAAAAD7ffrc=")</f>
        <v>#VALUE!</v>
      </c>
      <c r="GC115" t="e">
        <f>AND('UP133'!GT77,"AAAAAD7ffrg=")</f>
        <v>#VALUE!</v>
      </c>
      <c r="GD115" t="e">
        <f>AND('UP133'!GU77,"AAAAAD7ffrk=")</f>
        <v>#VALUE!</v>
      </c>
      <c r="GE115" t="e">
        <f>AND('UP133'!GV77,"AAAAAD7ffro=")</f>
        <v>#VALUE!</v>
      </c>
      <c r="GF115" t="e">
        <f>AND('UP133'!GW77,"AAAAAD7ffrs=")</f>
        <v>#VALUE!</v>
      </c>
      <c r="GG115" t="e">
        <f>AND('UP133'!GX77,"AAAAAD7ffrw=")</f>
        <v>#VALUE!</v>
      </c>
      <c r="GH115" t="e">
        <f>AND('UP133'!GY77,"AAAAAD7ffr0=")</f>
        <v>#VALUE!</v>
      </c>
      <c r="GI115" t="e">
        <f>AND('UP133'!GZ77,"AAAAAD7ffr4=")</f>
        <v>#VALUE!</v>
      </c>
      <c r="GJ115" t="e">
        <f>AND('UP133'!HA77,"AAAAAD7ffr8=")</f>
        <v>#VALUE!</v>
      </c>
      <c r="GK115" t="e">
        <f>AND('UP133'!HB77,"AAAAAD7ffsA=")</f>
        <v>#VALUE!</v>
      </c>
      <c r="GL115" t="e">
        <f>AND('UP133'!HC77,"AAAAAD7ffsE=")</f>
        <v>#VALUE!</v>
      </c>
      <c r="GM115" t="e">
        <f>AND('UP133'!HD77,"AAAAAD7ffsI=")</f>
        <v>#VALUE!</v>
      </c>
      <c r="GN115" t="e">
        <f>AND('UP133'!HE77,"AAAAAD7ffsM=")</f>
        <v>#VALUE!</v>
      </c>
      <c r="GO115" t="e">
        <f>AND('UP133'!HF77,"AAAAAD7ffsQ=")</f>
        <v>#VALUE!</v>
      </c>
      <c r="GP115" t="e">
        <f>AND('UP133'!HG77,"AAAAAD7ffsU=")</f>
        <v>#VALUE!</v>
      </c>
      <c r="GQ115" t="e">
        <f>AND('UP133'!HH77,"AAAAAD7ffsY=")</f>
        <v>#VALUE!</v>
      </c>
      <c r="GR115" t="e">
        <f>AND('UP133'!HI77,"AAAAAD7ffsc=")</f>
        <v>#VALUE!</v>
      </c>
      <c r="GS115" t="e">
        <f>AND('UP133'!HJ77,"AAAAAD7ffsg=")</f>
        <v>#VALUE!</v>
      </c>
      <c r="GT115" t="e">
        <f>AND('UP133'!HK77,"AAAAAD7ffsk=")</f>
        <v>#VALUE!</v>
      </c>
      <c r="GU115" t="e">
        <f>AND('UP133'!HL77,"AAAAAD7ffso=")</f>
        <v>#VALUE!</v>
      </c>
      <c r="GV115" t="e">
        <f>AND('UP133'!HM77,"AAAAAD7ffss=")</f>
        <v>#VALUE!</v>
      </c>
      <c r="GW115" t="e">
        <f>AND('UP133'!HN77,"AAAAAD7ffsw=")</f>
        <v>#VALUE!</v>
      </c>
      <c r="GX115" t="e">
        <f>AND('UP133'!HO77,"AAAAAD7ffs0=")</f>
        <v>#VALUE!</v>
      </c>
      <c r="GY115" t="e">
        <f>AND('UP133'!HP77,"AAAAAD7ffs4=")</f>
        <v>#VALUE!</v>
      </c>
      <c r="GZ115" t="e">
        <f>AND('UP133'!HQ77,"AAAAAD7ffs8=")</f>
        <v>#VALUE!</v>
      </c>
      <c r="HA115" t="e">
        <f>AND('UP133'!HR77,"AAAAAD7fftA=")</f>
        <v>#VALUE!</v>
      </c>
      <c r="HB115" t="e">
        <f>AND('UP133'!HS77,"AAAAAD7fftE=")</f>
        <v>#VALUE!</v>
      </c>
      <c r="HC115" t="e">
        <f>AND('UP133'!HT77,"AAAAAD7fftI=")</f>
        <v>#VALUE!</v>
      </c>
      <c r="HD115" t="e">
        <f>AND('UP133'!HU77,"AAAAAD7fftM=")</f>
        <v>#VALUE!</v>
      </c>
      <c r="HE115" t="e">
        <f>AND('UP133'!HV77,"AAAAAD7fftQ=")</f>
        <v>#VALUE!</v>
      </c>
      <c r="HF115" t="e">
        <f>AND('UP133'!HW77,"AAAAAD7fftU=")</f>
        <v>#VALUE!</v>
      </c>
      <c r="HG115" t="e">
        <f>AND('UP133'!HX77,"AAAAAD7fftY=")</f>
        <v>#VALUE!</v>
      </c>
      <c r="HH115" t="e">
        <f>AND('UP133'!HY77,"AAAAAD7fftc=")</f>
        <v>#VALUE!</v>
      </c>
      <c r="HI115" t="e">
        <f>AND('UP133'!HZ77,"AAAAAD7fftg=")</f>
        <v>#VALUE!</v>
      </c>
      <c r="HJ115" t="e">
        <f>AND('UP133'!IA77,"AAAAAD7fftk=")</f>
        <v>#VALUE!</v>
      </c>
      <c r="HK115" t="e">
        <f>AND('UP133'!IB77,"AAAAAD7ffto=")</f>
        <v>#VALUE!</v>
      </c>
      <c r="HL115" t="e">
        <f>AND('UP133'!IC77,"AAAAAD7ffts=")</f>
        <v>#VALUE!</v>
      </c>
      <c r="HM115" t="e">
        <f>AND('UP133'!ID77,"AAAAAD7fftw=")</f>
        <v>#VALUE!</v>
      </c>
      <c r="HN115" t="e">
        <f>AND('UP133'!IE77,"AAAAAD7fft0=")</f>
        <v>#VALUE!</v>
      </c>
      <c r="HO115" t="e">
        <f>AND('UP133'!IF77,"AAAAAD7fft4=")</f>
        <v>#VALUE!</v>
      </c>
      <c r="HP115" t="e">
        <f>AND('UP133'!IG77,"AAAAAD7fft8=")</f>
        <v>#VALUE!</v>
      </c>
      <c r="HQ115" t="e">
        <f>AND('UP133'!IH77,"AAAAAD7ffuA=")</f>
        <v>#VALUE!</v>
      </c>
      <c r="HR115" t="e">
        <f>AND('UP133'!II77,"AAAAAD7ffuE=")</f>
        <v>#VALUE!</v>
      </c>
      <c r="HS115" t="e">
        <f>AND('UP133'!IJ77,"AAAAAD7ffuI=")</f>
        <v>#VALUE!</v>
      </c>
      <c r="HT115" t="e">
        <f>AND('UP133'!IK77,"AAAAAD7ffuM=")</f>
        <v>#VALUE!</v>
      </c>
      <c r="HU115" t="e">
        <f>AND('UP133'!IL77,"AAAAAD7ffuQ=")</f>
        <v>#VALUE!</v>
      </c>
      <c r="HV115" t="e">
        <f>AND('UP133'!IM77,"AAAAAD7ffuU=")</f>
        <v>#VALUE!</v>
      </c>
      <c r="HW115" t="e">
        <f>AND('UP133'!IN77,"AAAAAD7ffuY=")</f>
        <v>#VALUE!</v>
      </c>
      <c r="HX115" t="e">
        <f>AND('UP133'!IO77,"AAAAAD7ffuc=")</f>
        <v>#VALUE!</v>
      </c>
      <c r="HY115" t="e">
        <f>AND('UP133'!IP77,"AAAAAD7ffug=")</f>
        <v>#VALUE!</v>
      </c>
      <c r="HZ115" t="e">
        <f>AND('UP133'!IQ77,"AAAAAD7ffuk=")</f>
        <v>#VALUE!</v>
      </c>
      <c r="IA115">
        <f>IF('UP133'!78:78,"AAAAAD7ffuo=",0)</f>
        <v>0</v>
      </c>
      <c r="IB115" t="e">
        <f>AND('UP133'!A78,"AAAAAD7ffus=")</f>
        <v>#VALUE!</v>
      </c>
      <c r="IC115" t="e">
        <f>AND('UP133'!B78,"AAAAAD7ffuw=")</f>
        <v>#VALUE!</v>
      </c>
      <c r="ID115" t="e">
        <f>AND('UP133'!C78,"AAAAAD7ffu0=")</f>
        <v>#VALUE!</v>
      </c>
      <c r="IE115" t="e">
        <f>AND('UP133'!D78,"AAAAAD7ffu4=")</f>
        <v>#VALUE!</v>
      </c>
      <c r="IF115" t="e">
        <f>AND('UP133'!E78,"AAAAAD7ffu8=")</f>
        <v>#VALUE!</v>
      </c>
      <c r="IG115" t="e">
        <f>AND('UP133'!F78,"AAAAAD7ffvA=")</f>
        <v>#VALUE!</v>
      </c>
      <c r="IH115" t="e">
        <f>AND('UP133'!G78,"AAAAAD7ffvE=")</f>
        <v>#VALUE!</v>
      </c>
      <c r="II115" t="e">
        <f>AND('UP133'!H78,"AAAAAD7ffvI=")</f>
        <v>#VALUE!</v>
      </c>
      <c r="IJ115" t="e">
        <f>AND('UP133'!I78,"AAAAAD7ffvM=")</f>
        <v>#VALUE!</v>
      </c>
      <c r="IK115" t="e">
        <f>AND('UP133'!J78,"AAAAAD7ffvQ=")</f>
        <v>#VALUE!</v>
      </c>
      <c r="IL115" t="e">
        <f>AND('UP133'!K78,"AAAAAD7ffvU=")</f>
        <v>#VALUE!</v>
      </c>
      <c r="IM115" t="e">
        <f>AND('UP133'!L78,"AAAAAD7ffvY=")</f>
        <v>#VALUE!</v>
      </c>
      <c r="IN115" t="e">
        <f>AND('UP133'!M78,"AAAAAD7ffvc=")</f>
        <v>#VALUE!</v>
      </c>
      <c r="IO115" t="e">
        <f>AND('UP133'!N78,"AAAAAD7ffvg=")</f>
        <v>#VALUE!</v>
      </c>
      <c r="IP115" t="e">
        <f>AND('UP133'!O78,"AAAAAD7ffvk=")</f>
        <v>#VALUE!</v>
      </c>
      <c r="IQ115" t="e">
        <f>AND('UP133'!P78,"AAAAAD7ffvo=")</f>
        <v>#VALUE!</v>
      </c>
      <c r="IR115" t="e">
        <f>AND('UP133'!Q78,"AAAAAD7ffvs=")</f>
        <v>#VALUE!</v>
      </c>
      <c r="IS115" t="e">
        <f>AND('UP133'!R78,"AAAAAD7ffvw=")</f>
        <v>#VALUE!</v>
      </c>
      <c r="IT115" t="e">
        <f>AND('UP133'!S78,"AAAAAD7ffv0=")</f>
        <v>#VALUE!</v>
      </c>
      <c r="IU115" t="e">
        <f>AND('UP133'!T78,"AAAAAD7ffv4=")</f>
        <v>#VALUE!</v>
      </c>
      <c r="IV115" t="e">
        <f>AND('UP133'!U78,"AAAAAD7ffv8=")</f>
        <v>#VALUE!</v>
      </c>
    </row>
    <row r="116" spans="1:256">
      <c r="A116" t="e">
        <f>AND('UP133'!V78,"AAAAAHvf/wA=")</f>
        <v>#VALUE!</v>
      </c>
      <c r="B116" t="e">
        <f>AND('UP133'!W78,"AAAAAHvf/wE=")</f>
        <v>#VALUE!</v>
      </c>
      <c r="C116" t="e">
        <f>AND('UP133'!X78,"AAAAAHvf/wI=")</f>
        <v>#VALUE!</v>
      </c>
      <c r="D116" t="e">
        <f>AND('UP133'!Y78,"AAAAAHvf/wM=")</f>
        <v>#VALUE!</v>
      </c>
      <c r="E116" t="e">
        <f>AND('UP133'!Z78,"AAAAAHvf/wQ=")</f>
        <v>#VALUE!</v>
      </c>
      <c r="F116" t="e">
        <f>AND('UP133'!AA78,"AAAAAHvf/wU=")</f>
        <v>#VALUE!</v>
      </c>
      <c r="G116" t="e">
        <f>AND('UP133'!AB78,"AAAAAHvf/wY=")</f>
        <v>#VALUE!</v>
      </c>
      <c r="H116" t="e">
        <f>AND('UP133'!AC78,"AAAAAHvf/wc=")</f>
        <v>#VALUE!</v>
      </c>
      <c r="I116" t="e">
        <f>AND('UP133'!AD78,"AAAAAHvf/wg=")</f>
        <v>#VALUE!</v>
      </c>
      <c r="J116" t="e">
        <f>AND('UP133'!AE78,"AAAAAHvf/wk=")</f>
        <v>#VALUE!</v>
      </c>
      <c r="K116" t="e">
        <f>AND('UP133'!AF78,"AAAAAHvf/wo=")</f>
        <v>#VALUE!</v>
      </c>
      <c r="L116" t="e">
        <f>AND('UP133'!AG78,"AAAAAHvf/ws=")</f>
        <v>#VALUE!</v>
      </c>
      <c r="M116" t="e">
        <f>AND('UP133'!AH78,"AAAAAHvf/ww=")</f>
        <v>#VALUE!</v>
      </c>
      <c r="N116" t="e">
        <f>AND('UP133'!AI78,"AAAAAHvf/w0=")</f>
        <v>#VALUE!</v>
      </c>
      <c r="O116" t="e">
        <f>AND('UP133'!AJ78,"AAAAAHvf/w4=")</f>
        <v>#VALUE!</v>
      </c>
      <c r="P116" t="e">
        <f>AND('UP133'!AK78,"AAAAAHvf/w8=")</f>
        <v>#VALUE!</v>
      </c>
      <c r="Q116" t="e">
        <f>AND('UP133'!AL78,"AAAAAHvf/xA=")</f>
        <v>#VALUE!</v>
      </c>
      <c r="R116" t="e">
        <f>AND('UP133'!AM78,"AAAAAHvf/xE=")</f>
        <v>#VALUE!</v>
      </c>
      <c r="S116" t="e">
        <f>AND('UP133'!AN78,"AAAAAHvf/xI=")</f>
        <v>#VALUE!</v>
      </c>
      <c r="T116" t="e">
        <f>AND('UP133'!AO78,"AAAAAHvf/xM=")</f>
        <v>#VALUE!</v>
      </c>
      <c r="U116" t="e">
        <f>AND('UP133'!AP78,"AAAAAHvf/xQ=")</f>
        <v>#VALUE!</v>
      </c>
      <c r="V116" t="e">
        <f>AND('UP133'!AQ78,"AAAAAHvf/xU=")</f>
        <v>#VALUE!</v>
      </c>
      <c r="W116" t="e">
        <f>AND('UP133'!AR78,"AAAAAHvf/xY=")</f>
        <v>#VALUE!</v>
      </c>
      <c r="X116" t="e">
        <f>AND('UP133'!AS78,"AAAAAHvf/xc=")</f>
        <v>#VALUE!</v>
      </c>
      <c r="Y116" t="e">
        <f>AND('UP133'!AT78,"AAAAAHvf/xg=")</f>
        <v>#VALUE!</v>
      </c>
      <c r="Z116" t="e">
        <f>AND('UP133'!AU78,"AAAAAHvf/xk=")</f>
        <v>#VALUE!</v>
      </c>
      <c r="AA116" t="e">
        <f>AND('UP133'!AV78,"AAAAAHvf/xo=")</f>
        <v>#VALUE!</v>
      </c>
      <c r="AB116" t="e">
        <f>AND('UP133'!AW78,"AAAAAHvf/xs=")</f>
        <v>#VALUE!</v>
      </c>
      <c r="AC116" t="e">
        <f>AND('UP133'!AX78,"AAAAAHvf/xw=")</f>
        <v>#VALUE!</v>
      </c>
      <c r="AD116" t="e">
        <f>AND('UP133'!AY78,"AAAAAHvf/x0=")</f>
        <v>#VALUE!</v>
      </c>
      <c r="AE116" t="e">
        <f>AND('UP133'!AZ78,"AAAAAHvf/x4=")</f>
        <v>#VALUE!</v>
      </c>
      <c r="AF116" t="e">
        <f>AND('UP133'!BA78,"AAAAAHvf/x8=")</f>
        <v>#VALUE!</v>
      </c>
      <c r="AG116" t="e">
        <f>AND('UP133'!BB78,"AAAAAHvf/yA=")</f>
        <v>#VALUE!</v>
      </c>
      <c r="AH116" t="e">
        <f>AND('UP133'!BC78,"AAAAAHvf/yE=")</f>
        <v>#VALUE!</v>
      </c>
      <c r="AI116" t="e">
        <f>AND('UP133'!BD78,"AAAAAHvf/yI=")</f>
        <v>#VALUE!</v>
      </c>
      <c r="AJ116" t="e">
        <f>AND('UP133'!BE78,"AAAAAHvf/yM=")</f>
        <v>#VALUE!</v>
      </c>
      <c r="AK116" t="e">
        <f>AND('UP133'!BF78,"AAAAAHvf/yQ=")</f>
        <v>#VALUE!</v>
      </c>
      <c r="AL116" t="e">
        <f>AND('UP133'!BG78,"AAAAAHvf/yU=")</f>
        <v>#VALUE!</v>
      </c>
      <c r="AM116" t="e">
        <f>AND('UP133'!BH78,"AAAAAHvf/yY=")</f>
        <v>#VALUE!</v>
      </c>
      <c r="AN116" t="e">
        <f>AND('UP133'!BI78,"AAAAAHvf/yc=")</f>
        <v>#VALUE!</v>
      </c>
      <c r="AO116" t="e">
        <f>AND('UP133'!BJ78,"AAAAAHvf/yg=")</f>
        <v>#VALUE!</v>
      </c>
      <c r="AP116" t="e">
        <f>AND('UP133'!BK78,"AAAAAHvf/yk=")</f>
        <v>#VALUE!</v>
      </c>
      <c r="AQ116" t="e">
        <f>AND('UP133'!BL78,"AAAAAHvf/yo=")</f>
        <v>#VALUE!</v>
      </c>
      <c r="AR116" t="e">
        <f>AND('UP133'!BM78,"AAAAAHvf/ys=")</f>
        <v>#VALUE!</v>
      </c>
      <c r="AS116" t="e">
        <f>AND('UP133'!BN78,"AAAAAHvf/yw=")</f>
        <v>#VALUE!</v>
      </c>
      <c r="AT116" t="e">
        <f>AND('UP133'!BO78,"AAAAAHvf/y0=")</f>
        <v>#VALUE!</v>
      </c>
      <c r="AU116" t="e">
        <f>AND('UP133'!BP78,"AAAAAHvf/y4=")</f>
        <v>#VALUE!</v>
      </c>
      <c r="AV116" t="e">
        <f>AND('UP133'!BQ78,"AAAAAHvf/y8=")</f>
        <v>#VALUE!</v>
      </c>
      <c r="AW116" t="e">
        <f>AND('UP133'!BR78,"AAAAAHvf/zA=")</f>
        <v>#VALUE!</v>
      </c>
      <c r="AX116" t="e">
        <f>AND('UP133'!BS78,"AAAAAHvf/zE=")</f>
        <v>#VALUE!</v>
      </c>
      <c r="AY116" t="e">
        <f>AND('UP133'!BT78,"AAAAAHvf/zI=")</f>
        <v>#VALUE!</v>
      </c>
      <c r="AZ116" t="e">
        <f>AND('UP133'!BU78,"AAAAAHvf/zM=")</f>
        <v>#VALUE!</v>
      </c>
      <c r="BA116" t="e">
        <f>AND('UP133'!BV78,"AAAAAHvf/zQ=")</f>
        <v>#VALUE!</v>
      </c>
      <c r="BB116" t="e">
        <f>AND('UP133'!BW78,"AAAAAHvf/zU=")</f>
        <v>#VALUE!</v>
      </c>
      <c r="BC116" t="e">
        <f>AND('UP133'!BX78,"AAAAAHvf/zY=")</f>
        <v>#VALUE!</v>
      </c>
      <c r="BD116" t="e">
        <f>AND('UP133'!BY78,"AAAAAHvf/zc=")</f>
        <v>#VALUE!</v>
      </c>
      <c r="BE116" t="e">
        <f>AND('UP133'!BZ78,"AAAAAHvf/zg=")</f>
        <v>#VALUE!</v>
      </c>
      <c r="BF116" t="e">
        <f>AND('UP133'!CA78,"AAAAAHvf/zk=")</f>
        <v>#VALUE!</v>
      </c>
      <c r="BG116" t="e">
        <f>AND('UP133'!CB78,"AAAAAHvf/zo=")</f>
        <v>#VALUE!</v>
      </c>
      <c r="BH116" t="e">
        <f>AND('UP133'!CC78,"AAAAAHvf/zs=")</f>
        <v>#VALUE!</v>
      </c>
      <c r="BI116" t="e">
        <f>AND('UP133'!CD78,"AAAAAHvf/zw=")</f>
        <v>#VALUE!</v>
      </c>
      <c r="BJ116" t="e">
        <f>AND('UP133'!CE78,"AAAAAHvf/z0=")</f>
        <v>#VALUE!</v>
      </c>
      <c r="BK116" t="e">
        <f>AND('UP133'!CF78,"AAAAAHvf/z4=")</f>
        <v>#VALUE!</v>
      </c>
      <c r="BL116" t="e">
        <f>AND('UP133'!CG78,"AAAAAHvf/z8=")</f>
        <v>#VALUE!</v>
      </c>
      <c r="BM116" t="e">
        <f>AND('UP133'!CH78,"AAAAAHvf/0A=")</f>
        <v>#VALUE!</v>
      </c>
      <c r="BN116" t="e">
        <f>AND('UP133'!CI78,"AAAAAHvf/0E=")</f>
        <v>#VALUE!</v>
      </c>
      <c r="BO116" t="e">
        <f>AND('UP133'!CJ78,"AAAAAHvf/0I=")</f>
        <v>#VALUE!</v>
      </c>
      <c r="BP116" t="e">
        <f>AND('UP133'!CK78,"AAAAAHvf/0M=")</f>
        <v>#VALUE!</v>
      </c>
      <c r="BQ116" t="e">
        <f>AND('UP133'!CL78,"AAAAAHvf/0Q=")</f>
        <v>#VALUE!</v>
      </c>
      <c r="BR116" t="e">
        <f>AND('UP133'!CM78,"AAAAAHvf/0U=")</f>
        <v>#VALUE!</v>
      </c>
      <c r="BS116" t="e">
        <f>AND('UP133'!CN78,"AAAAAHvf/0Y=")</f>
        <v>#VALUE!</v>
      </c>
      <c r="BT116" t="e">
        <f>AND('UP133'!CO78,"AAAAAHvf/0c=")</f>
        <v>#VALUE!</v>
      </c>
      <c r="BU116" t="e">
        <f>AND('UP133'!CP78,"AAAAAHvf/0g=")</f>
        <v>#VALUE!</v>
      </c>
      <c r="BV116" t="e">
        <f>AND('UP133'!CQ78,"AAAAAHvf/0k=")</f>
        <v>#VALUE!</v>
      </c>
      <c r="BW116" t="e">
        <f>AND('UP133'!CR78,"AAAAAHvf/0o=")</f>
        <v>#VALUE!</v>
      </c>
      <c r="BX116" t="e">
        <f>AND('UP133'!CS78,"AAAAAHvf/0s=")</f>
        <v>#VALUE!</v>
      </c>
      <c r="BY116" t="e">
        <f>AND('UP133'!CT78,"AAAAAHvf/0w=")</f>
        <v>#VALUE!</v>
      </c>
      <c r="BZ116" t="e">
        <f>AND('UP133'!CU78,"AAAAAHvf/00=")</f>
        <v>#VALUE!</v>
      </c>
      <c r="CA116" t="e">
        <f>AND('UP133'!CV78,"AAAAAHvf/04=")</f>
        <v>#VALUE!</v>
      </c>
      <c r="CB116" t="e">
        <f>AND('UP133'!CW78,"AAAAAHvf/08=")</f>
        <v>#VALUE!</v>
      </c>
      <c r="CC116" t="e">
        <f>AND('UP133'!CX78,"AAAAAHvf/1A=")</f>
        <v>#VALUE!</v>
      </c>
      <c r="CD116" t="e">
        <f>AND('UP133'!CY78,"AAAAAHvf/1E=")</f>
        <v>#VALUE!</v>
      </c>
      <c r="CE116" t="e">
        <f>AND('UP133'!CZ78,"AAAAAHvf/1I=")</f>
        <v>#VALUE!</v>
      </c>
      <c r="CF116" t="e">
        <f>AND('UP133'!DA78,"AAAAAHvf/1M=")</f>
        <v>#VALUE!</v>
      </c>
      <c r="CG116" t="e">
        <f>AND('UP133'!DB78,"AAAAAHvf/1Q=")</f>
        <v>#VALUE!</v>
      </c>
      <c r="CH116" t="e">
        <f>AND('UP133'!DC78,"AAAAAHvf/1U=")</f>
        <v>#VALUE!</v>
      </c>
      <c r="CI116" t="e">
        <f>AND('UP133'!DD78,"AAAAAHvf/1Y=")</f>
        <v>#VALUE!</v>
      </c>
      <c r="CJ116" t="e">
        <f>AND('UP133'!DE78,"AAAAAHvf/1c=")</f>
        <v>#VALUE!</v>
      </c>
      <c r="CK116" t="e">
        <f>AND('UP133'!DF78,"AAAAAHvf/1g=")</f>
        <v>#VALUE!</v>
      </c>
      <c r="CL116" t="e">
        <f>AND('UP133'!DG78,"AAAAAHvf/1k=")</f>
        <v>#VALUE!</v>
      </c>
      <c r="CM116" t="e">
        <f>AND('UP133'!DH78,"AAAAAHvf/1o=")</f>
        <v>#VALUE!</v>
      </c>
      <c r="CN116" t="e">
        <f>AND('UP133'!DI78,"AAAAAHvf/1s=")</f>
        <v>#VALUE!</v>
      </c>
      <c r="CO116" t="e">
        <f>AND('UP133'!DJ78,"AAAAAHvf/1w=")</f>
        <v>#VALUE!</v>
      </c>
      <c r="CP116" t="e">
        <f>AND('UP133'!DK78,"AAAAAHvf/10=")</f>
        <v>#VALUE!</v>
      </c>
      <c r="CQ116" t="e">
        <f>AND('UP133'!DL78,"AAAAAHvf/14=")</f>
        <v>#VALUE!</v>
      </c>
      <c r="CR116" t="e">
        <f>AND('UP133'!DM78,"AAAAAHvf/18=")</f>
        <v>#VALUE!</v>
      </c>
      <c r="CS116" t="e">
        <f>AND('UP133'!DN78,"AAAAAHvf/2A=")</f>
        <v>#VALUE!</v>
      </c>
      <c r="CT116" t="e">
        <f>AND('UP133'!DO78,"AAAAAHvf/2E=")</f>
        <v>#VALUE!</v>
      </c>
      <c r="CU116" t="e">
        <f>AND('UP133'!DP78,"AAAAAHvf/2I=")</f>
        <v>#VALUE!</v>
      </c>
      <c r="CV116" t="e">
        <f>AND('UP133'!DQ78,"AAAAAHvf/2M=")</f>
        <v>#VALUE!</v>
      </c>
      <c r="CW116" t="e">
        <f>AND('UP133'!DR78,"AAAAAHvf/2Q=")</f>
        <v>#VALUE!</v>
      </c>
      <c r="CX116" t="e">
        <f>AND('UP133'!DS78,"AAAAAHvf/2U=")</f>
        <v>#VALUE!</v>
      </c>
      <c r="CY116" t="e">
        <f>AND('UP133'!DT78,"AAAAAHvf/2Y=")</f>
        <v>#VALUE!</v>
      </c>
      <c r="CZ116" t="e">
        <f>AND('UP133'!DU78,"AAAAAHvf/2c=")</f>
        <v>#VALUE!</v>
      </c>
      <c r="DA116" t="e">
        <f>AND('UP133'!DV78,"AAAAAHvf/2g=")</f>
        <v>#VALUE!</v>
      </c>
      <c r="DB116" t="e">
        <f>AND('UP133'!DW78,"AAAAAHvf/2k=")</f>
        <v>#VALUE!</v>
      </c>
      <c r="DC116" t="e">
        <f>AND('UP133'!DX78,"AAAAAHvf/2o=")</f>
        <v>#VALUE!</v>
      </c>
      <c r="DD116" t="e">
        <f>AND('UP133'!DY78,"AAAAAHvf/2s=")</f>
        <v>#VALUE!</v>
      </c>
      <c r="DE116" t="e">
        <f>AND('UP133'!DZ78,"AAAAAHvf/2w=")</f>
        <v>#VALUE!</v>
      </c>
      <c r="DF116" t="e">
        <f>AND('UP133'!EA78,"AAAAAHvf/20=")</f>
        <v>#VALUE!</v>
      </c>
      <c r="DG116" t="e">
        <f>AND('UP133'!EB78,"AAAAAHvf/24=")</f>
        <v>#VALUE!</v>
      </c>
      <c r="DH116" t="e">
        <f>AND('UP133'!EC78,"AAAAAHvf/28=")</f>
        <v>#VALUE!</v>
      </c>
      <c r="DI116" t="e">
        <f>AND('UP133'!ED78,"AAAAAHvf/3A=")</f>
        <v>#VALUE!</v>
      </c>
      <c r="DJ116" t="e">
        <f>AND('UP133'!EE78,"AAAAAHvf/3E=")</f>
        <v>#VALUE!</v>
      </c>
      <c r="DK116" t="e">
        <f>AND('UP133'!EF78,"AAAAAHvf/3I=")</f>
        <v>#VALUE!</v>
      </c>
      <c r="DL116" t="e">
        <f>AND('UP133'!EG78,"AAAAAHvf/3M=")</f>
        <v>#VALUE!</v>
      </c>
      <c r="DM116" t="e">
        <f>AND('UP133'!EH78,"AAAAAHvf/3Q=")</f>
        <v>#VALUE!</v>
      </c>
      <c r="DN116" t="e">
        <f>AND('UP133'!EI78,"AAAAAHvf/3U=")</f>
        <v>#VALUE!</v>
      </c>
      <c r="DO116" t="e">
        <f>AND('UP133'!EJ78,"AAAAAHvf/3Y=")</f>
        <v>#VALUE!</v>
      </c>
      <c r="DP116" t="e">
        <f>AND('UP133'!EK78,"AAAAAHvf/3c=")</f>
        <v>#VALUE!</v>
      </c>
      <c r="DQ116" t="e">
        <f>AND('UP133'!EL78,"AAAAAHvf/3g=")</f>
        <v>#VALUE!</v>
      </c>
      <c r="DR116" t="e">
        <f>AND('UP133'!EM78,"AAAAAHvf/3k=")</f>
        <v>#VALUE!</v>
      </c>
      <c r="DS116" t="e">
        <f>AND('UP133'!EN78,"AAAAAHvf/3o=")</f>
        <v>#VALUE!</v>
      </c>
      <c r="DT116" t="e">
        <f>AND('UP133'!EO78,"AAAAAHvf/3s=")</f>
        <v>#VALUE!</v>
      </c>
      <c r="DU116" t="e">
        <f>AND('UP133'!EP78,"AAAAAHvf/3w=")</f>
        <v>#VALUE!</v>
      </c>
      <c r="DV116" t="e">
        <f>AND('UP133'!EQ78,"AAAAAHvf/30=")</f>
        <v>#VALUE!</v>
      </c>
      <c r="DW116" t="e">
        <f>AND('UP133'!ER78,"AAAAAHvf/34=")</f>
        <v>#VALUE!</v>
      </c>
      <c r="DX116" t="e">
        <f>AND('UP133'!ES78,"AAAAAHvf/38=")</f>
        <v>#VALUE!</v>
      </c>
      <c r="DY116" t="e">
        <f>AND('UP133'!ET78,"AAAAAHvf/4A=")</f>
        <v>#VALUE!</v>
      </c>
      <c r="DZ116" t="e">
        <f>AND('UP133'!EU78,"AAAAAHvf/4E=")</f>
        <v>#VALUE!</v>
      </c>
      <c r="EA116" t="e">
        <f>AND('UP133'!EV78,"AAAAAHvf/4I=")</f>
        <v>#VALUE!</v>
      </c>
      <c r="EB116" t="e">
        <f>AND('UP133'!EW78,"AAAAAHvf/4M=")</f>
        <v>#VALUE!</v>
      </c>
      <c r="EC116" t="e">
        <f>AND('UP133'!EX78,"AAAAAHvf/4Q=")</f>
        <v>#VALUE!</v>
      </c>
      <c r="ED116" t="e">
        <f>AND('UP133'!EY78,"AAAAAHvf/4U=")</f>
        <v>#VALUE!</v>
      </c>
      <c r="EE116" t="e">
        <f>AND('UP133'!EZ78,"AAAAAHvf/4Y=")</f>
        <v>#VALUE!</v>
      </c>
      <c r="EF116" t="e">
        <f>AND('UP133'!FA78,"AAAAAHvf/4c=")</f>
        <v>#VALUE!</v>
      </c>
      <c r="EG116" t="e">
        <f>AND('UP133'!FB78,"AAAAAHvf/4g=")</f>
        <v>#VALUE!</v>
      </c>
      <c r="EH116" t="e">
        <f>AND('UP133'!FC78,"AAAAAHvf/4k=")</f>
        <v>#VALUE!</v>
      </c>
      <c r="EI116" t="e">
        <f>AND('UP133'!FD78,"AAAAAHvf/4o=")</f>
        <v>#VALUE!</v>
      </c>
      <c r="EJ116" t="e">
        <f>AND('UP133'!FE78,"AAAAAHvf/4s=")</f>
        <v>#VALUE!</v>
      </c>
      <c r="EK116" t="e">
        <f>AND('UP133'!FF78,"AAAAAHvf/4w=")</f>
        <v>#VALUE!</v>
      </c>
      <c r="EL116" t="e">
        <f>AND('UP133'!FG78,"AAAAAHvf/40=")</f>
        <v>#VALUE!</v>
      </c>
      <c r="EM116" t="e">
        <f>AND('UP133'!FH78,"AAAAAHvf/44=")</f>
        <v>#VALUE!</v>
      </c>
      <c r="EN116" t="e">
        <f>AND('UP133'!FI78,"AAAAAHvf/48=")</f>
        <v>#VALUE!</v>
      </c>
      <c r="EO116" t="e">
        <f>AND('UP133'!FJ78,"AAAAAHvf/5A=")</f>
        <v>#VALUE!</v>
      </c>
      <c r="EP116" t="e">
        <f>AND('UP133'!FK78,"AAAAAHvf/5E=")</f>
        <v>#VALUE!</v>
      </c>
      <c r="EQ116" t="e">
        <f>AND('UP133'!FL78,"AAAAAHvf/5I=")</f>
        <v>#VALUE!</v>
      </c>
      <c r="ER116" t="e">
        <f>AND('UP133'!FM78,"AAAAAHvf/5M=")</f>
        <v>#VALUE!</v>
      </c>
      <c r="ES116" t="e">
        <f>AND('UP133'!FN78,"AAAAAHvf/5Q=")</f>
        <v>#VALUE!</v>
      </c>
      <c r="ET116" t="e">
        <f>AND('UP133'!FO78,"AAAAAHvf/5U=")</f>
        <v>#VALUE!</v>
      </c>
      <c r="EU116" t="e">
        <f>AND('UP133'!FP78,"AAAAAHvf/5Y=")</f>
        <v>#VALUE!</v>
      </c>
      <c r="EV116" t="e">
        <f>AND('UP133'!FQ78,"AAAAAHvf/5c=")</f>
        <v>#VALUE!</v>
      </c>
      <c r="EW116" t="e">
        <f>AND('UP133'!FR78,"AAAAAHvf/5g=")</f>
        <v>#VALUE!</v>
      </c>
      <c r="EX116" t="e">
        <f>AND('UP133'!FS78,"AAAAAHvf/5k=")</f>
        <v>#VALUE!</v>
      </c>
      <c r="EY116" t="e">
        <f>AND('UP133'!FT78,"AAAAAHvf/5o=")</f>
        <v>#VALUE!</v>
      </c>
      <c r="EZ116" t="e">
        <f>AND('UP133'!FU78,"AAAAAHvf/5s=")</f>
        <v>#VALUE!</v>
      </c>
      <c r="FA116" t="e">
        <f>AND('UP133'!FV78,"AAAAAHvf/5w=")</f>
        <v>#VALUE!</v>
      </c>
      <c r="FB116" t="e">
        <f>AND('UP133'!FW78,"AAAAAHvf/50=")</f>
        <v>#VALUE!</v>
      </c>
      <c r="FC116" t="e">
        <f>AND('UP133'!FX78,"AAAAAHvf/54=")</f>
        <v>#VALUE!</v>
      </c>
      <c r="FD116" t="e">
        <f>AND('UP133'!FY78,"AAAAAHvf/58=")</f>
        <v>#VALUE!</v>
      </c>
      <c r="FE116" t="e">
        <f>AND('UP133'!FZ78,"AAAAAHvf/6A=")</f>
        <v>#VALUE!</v>
      </c>
      <c r="FF116" t="e">
        <f>AND('UP133'!GA78,"AAAAAHvf/6E=")</f>
        <v>#VALUE!</v>
      </c>
      <c r="FG116" t="e">
        <f>AND('UP133'!GB78,"AAAAAHvf/6I=")</f>
        <v>#VALUE!</v>
      </c>
      <c r="FH116" t="e">
        <f>AND('UP133'!GC78,"AAAAAHvf/6M=")</f>
        <v>#VALUE!</v>
      </c>
      <c r="FI116" t="e">
        <f>AND('UP133'!GD78,"AAAAAHvf/6Q=")</f>
        <v>#VALUE!</v>
      </c>
      <c r="FJ116" t="e">
        <f>AND('UP133'!GE78,"AAAAAHvf/6U=")</f>
        <v>#VALUE!</v>
      </c>
      <c r="FK116" t="e">
        <f>AND('UP133'!GF78,"AAAAAHvf/6Y=")</f>
        <v>#VALUE!</v>
      </c>
      <c r="FL116" t="e">
        <f>AND('UP133'!GG78,"AAAAAHvf/6c=")</f>
        <v>#VALUE!</v>
      </c>
      <c r="FM116" t="e">
        <f>AND('UP133'!GH78,"AAAAAHvf/6g=")</f>
        <v>#VALUE!</v>
      </c>
      <c r="FN116" t="e">
        <f>AND('UP133'!GI78,"AAAAAHvf/6k=")</f>
        <v>#VALUE!</v>
      </c>
      <c r="FO116" t="e">
        <f>AND('UP133'!GJ78,"AAAAAHvf/6o=")</f>
        <v>#VALUE!</v>
      </c>
      <c r="FP116" t="e">
        <f>AND('UP133'!GK78,"AAAAAHvf/6s=")</f>
        <v>#VALUE!</v>
      </c>
      <c r="FQ116" t="e">
        <f>AND('UP133'!GL78,"AAAAAHvf/6w=")</f>
        <v>#VALUE!</v>
      </c>
      <c r="FR116" t="e">
        <f>AND('UP133'!GM78,"AAAAAHvf/60=")</f>
        <v>#VALUE!</v>
      </c>
      <c r="FS116" t="e">
        <f>AND('UP133'!GN78,"AAAAAHvf/64=")</f>
        <v>#VALUE!</v>
      </c>
      <c r="FT116" t="e">
        <f>AND('UP133'!GO78,"AAAAAHvf/68=")</f>
        <v>#VALUE!</v>
      </c>
      <c r="FU116" t="e">
        <f>AND('UP133'!GP78,"AAAAAHvf/7A=")</f>
        <v>#VALUE!</v>
      </c>
      <c r="FV116" t="e">
        <f>AND('UP133'!GQ78,"AAAAAHvf/7E=")</f>
        <v>#VALUE!</v>
      </c>
      <c r="FW116" t="e">
        <f>AND('UP133'!GR78,"AAAAAHvf/7I=")</f>
        <v>#VALUE!</v>
      </c>
      <c r="FX116" t="e">
        <f>AND('UP133'!GS78,"AAAAAHvf/7M=")</f>
        <v>#VALUE!</v>
      </c>
      <c r="FY116" t="e">
        <f>AND('UP133'!GT78,"AAAAAHvf/7Q=")</f>
        <v>#VALUE!</v>
      </c>
      <c r="FZ116" t="e">
        <f>AND('UP133'!GU78,"AAAAAHvf/7U=")</f>
        <v>#VALUE!</v>
      </c>
      <c r="GA116" t="e">
        <f>AND('UP133'!GV78,"AAAAAHvf/7Y=")</f>
        <v>#VALUE!</v>
      </c>
      <c r="GB116" t="e">
        <f>AND('UP133'!GW78,"AAAAAHvf/7c=")</f>
        <v>#VALUE!</v>
      </c>
      <c r="GC116" t="e">
        <f>AND('UP133'!GX78,"AAAAAHvf/7g=")</f>
        <v>#VALUE!</v>
      </c>
      <c r="GD116" t="e">
        <f>AND('UP133'!GY78,"AAAAAHvf/7k=")</f>
        <v>#VALUE!</v>
      </c>
      <c r="GE116" t="e">
        <f>AND('UP133'!GZ78,"AAAAAHvf/7o=")</f>
        <v>#VALUE!</v>
      </c>
      <c r="GF116" t="e">
        <f>AND('UP133'!HA78,"AAAAAHvf/7s=")</f>
        <v>#VALUE!</v>
      </c>
      <c r="GG116" t="e">
        <f>AND('UP133'!HB78,"AAAAAHvf/7w=")</f>
        <v>#VALUE!</v>
      </c>
      <c r="GH116" t="e">
        <f>AND('UP133'!HC78,"AAAAAHvf/70=")</f>
        <v>#VALUE!</v>
      </c>
      <c r="GI116" t="e">
        <f>AND('UP133'!HD78,"AAAAAHvf/74=")</f>
        <v>#VALUE!</v>
      </c>
      <c r="GJ116" t="e">
        <f>AND('UP133'!HE78,"AAAAAHvf/78=")</f>
        <v>#VALUE!</v>
      </c>
      <c r="GK116" t="e">
        <f>AND('UP133'!HF78,"AAAAAHvf/8A=")</f>
        <v>#VALUE!</v>
      </c>
      <c r="GL116" t="e">
        <f>AND('UP133'!HG78,"AAAAAHvf/8E=")</f>
        <v>#VALUE!</v>
      </c>
      <c r="GM116" t="e">
        <f>AND('UP133'!HH78,"AAAAAHvf/8I=")</f>
        <v>#VALUE!</v>
      </c>
      <c r="GN116" t="e">
        <f>AND('UP133'!HI78,"AAAAAHvf/8M=")</f>
        <v>#VALUE!</v>
      </c>
      <c r="GO116" t="e">
        <f>AND('UP133'!HJ78,"AAAAAHvf/8Q=")</f>
        <v>#VALUE!</v>
      </c>
      <c r="GP116" t="e">
        <f>AND('UP133'!HK78,"AAAAAHvf/8U=")</f>
        <v>#VALUE!</v>
      </c>
      <c r="GQ116" t="e">
        <f>AND('UP133'!HL78,"AAAAAHvf/8Y=")</f>
        <v>#VALUE!</v>
      </c>
      <c r="GR116" t="e">
        <f>AND('UP133'!HM78,"AAAAAHvf/8c=")</f>
        <v>#VALUE!</v>
      </c>
      <c r="GS116" t="e">
        <f>AND('UP133'!HN78,"AAAAAHvf/8g=")</f>
        <v>#VALUE!</v>
      </c>
      <c r="GT116" t="e">
        <f>AND('UP133'!HO78,"AAAAAHvf/8k=")</f>
        <v>#VALUE!</v>
      </c>
      <c r="GU116" t="e">
        <f>AND('UP133'!HP78,"AAAAAHvf/8o=")</f>
        <v>#VALUE!</v>
      </c>
      <c r="GV116" t="e">
        <f>AND('UP133'!HQ78,"AAAAAHvf/8s=")</f>
        <v>#VALUE!</v>
      </c>
      <c r="GW116" t="e">
        <f>AND('UP133'!HR78,"AAAAAHvf/8w=")</f>
        <v>#VALUE!</v>
      </c>
      <c r="GX116" t="e">
        <f>AND('UP133'!HS78,"AAAAAHvf/80=")</f>
        <v>#VALUE!</v>
      </c>
      <c r="GY116" t="e">
        <f>AND('UP133'!HT78,"AAAAAHvf/84=")</f>
        <v>#VALUE!</v>
      </c>
      <c r="GZ116" t="e">
        <f>AND('UP133'!HU78,"AAAAAHvf/88=")</f>
        <v>#VALUE!</v>
      </c>
      <c r="HA116" t="e">
        <f>AND('UP133'!HV78,"AAAAAHvf/9A=")</f>
        <v>#VALUE!</v>
      </c>
      <c r="HB116" t="e">
        <f>AND('UP133'!HW78,"AAAAAHvf/9E=")</f>
        <v>#VALUE!</v>
      </c>
      <c r="HC116" t="e">
        <f>AND('UP133'!HX78,"AAAAAHvf/9I=")</f>
        <v>#VALUE!</v>
      </c>
      <c r="HD116" t="e">
        <f>AND('UP133'!HY78,"AAAAAHvf/9M=")</f>
        <v>#VALUE!</v>
      </c>
      <c r="HE116" t="e">
        <f>AND('UP133'!HZ78,"AAAAAHvf/9Q=")</f>
        <v>#VALUE!</v>
      </c>
      <c r="HF116" t="e">
        <f>AND('UP133'!IA78,"AAAAAHvf/9U=")</f>
        <v>#VALUE!</v>
      </c>
      <c r="HG116" t="e">
        <f>AND('UP133'!IB78,"AAAAAHvf/9Y=")</f>
        <v>#VALUE!</v>
      </c>
      <c r="HH116" t="e">
        <f>AND('UP133'!IC78,"AAAAAHvf/9c=")</f>
        <v>#VALUE!</v>
      </c>
      <c r="HI116" t="e">
        <f>AND('UP133'!ID78,"AAAAAHvf/9g=")</f>
        <v>#VALUE!</v>
      </c>
      <c r="HJ116" t="e">
        <f>AND('UP133'!IE78,"AAAAAHvf/9k=")</f>
        <v>#VALUE!</v>
      </c>
      <c r="HK116" t="e">
        <f>AND('UP133'!IF78,"AAAAAHvf/9o=")</f>
        <v>#VALUE!</v>
      </c>
      <c r="HL116" t="e">
        <f>AND('UP133'!IG78,"AAAAAHvf/9s=")</f>
        <v>#VALUE!</v>
      </c>
      <c r="HM116" t="e">
        <f>AND('UP133'!IH78,"AAAAAHvf/9w=")</f>
        <v>#VALUE!</v>
      </c>
      <c r="HN116" t="e">
        <f>AND('UP133'!II78,"AAAAAHvf/90=")</f>
        <v>#VALUE!</v>
      </c>
      <c r="HO116" t="e">
        <f>AND('UP133'!IJ78,"AAAAAHvf/94=")</f>
        <v>#VALUE!</v>
      </c>
      <c r="HP116" t="e">
        <f>AND('UP133'!IK78,"AAAAAHvf/98=")</f>
        <v>#VALUE!</v>
      </c>
      <c r="HQ116" t="e">
        <f>AND('UP133'!IL78,"AAAAAHvf/+A=")</f>
        <v>#VALUE!</v>
      </c>
      <c r="HR116" t="e">
        <f>AND('UP133'!IM78,"AAAAAHvf/+E=")</f>
        <v>#VALUE!</v>
      </c>
      <c r="HS116" t="e">
        <f>AND('UP133'!IN78,"AAAAAHvf/+I=")</f>
        <v>#VALUE!</v>
      </c>
      <c r="HT116" t="e">
        <f>AND('UP133'!IO78,"AAAAAHvf/+M=")</f>
        <v>#VALUE!</v>
      </c>
      <c r="HU116" t="e">
        <f>AND('UP133'!IP78,"AAAAAHvf/+Q=")</f>
        <v>#VALUE!</v>
      </c>
      <c r="HV116" t="e">
        <f>AND('UP133'!IQ78,"AAAAAHvf/+U=")</f>
        <v>#VALUE!</v>
      </c>
      <c r="HW116">
        <f>IF('UP133'!79:79,"AAAAAHvf/+Y=",0)</f>
        <v>0</v>
      </c>
      <c r="HX116" t="e">
        <f>AND('UP133'!A79,"AAAAAHvf/+c=")</f>
        <v>#VALUE!</v>
      </c>
      <c r="HY116" t="e">
        <f>AND('UP133'!B79,"AAAAAHvf/+g=")</f>
        <v>#VALUE!</v>
      </c>
      <c r="HZ116" t="e">
        <f>AND('UP133'!C79,"AAAAAHvf/+k=")</f>
        <v>#VALUE!</v>
      </c>
      <c r="IA116" t="e">
        <f>AND('UP133'!D79,"AAAAAHvf/+o=")</f>
        <v>#VALUE!</v>
      </c>
      <c r="IB116" t="e">
        <f>AND('UP133'!E79,"AAAAAHvf/+s=")</f>
        <v>#VALUE!</v>
      </c>
      <c r="IC116" t="e">
        <f>AND('UP133'!F79,"AAAAAHvf/+w=")</f>
        <v>#VALUE!</v>
      </c>
      <c r="ID116" t="e">
        <f>AND('UP133'!G79,"AAAAAHvf/+0=")</f>
        <v>#VALUE!</v>
      </c>
      <c r="IE116" t="e">
        <f>AND('UP133'!H79,"AAAAAHvf/+4=")</f>
        <v>#VALUE!</v>
      </c>
      <c r="IF116" t="e">
        <f>AND('UP133'!I79,"AAAAAHvf/+8=")</f>
        <v>#VALUE!</v>
      </c>
      <c r="IG116" t="e">
        <f>AND('UP133'!J79,"AAAAAHvf//A=")</f>
        <v>#VALUE!</v>
      </c>
      <c r="IH116" t="e">
        <f>AND('UP133'!K79,"AAAAAHvf//E=")</f>
        <v>#VALUE!</v>
      </c>
      <c r="II116" t="e">
        <f>AND('UP133'!L79,"AAAAAHvf//I=")</f>
        <v>#VALUE!</v>
      </c>
      <c r="IJ116" t="e">
        <f>AND('UP133'!M79,"AAAAAHvf//M=")</f>
        <v>#VALUE!</v>
      </c>
      <c r="IK116" t="e">
        <f>AND('UP133'!N79,"AAAAAHvf//Q=")</f>
        <v>#VALUE!</v>
      </c>
      <c r="IL116" t="e">
        <f>AND('UP133'!O79,"AAAAAHvf//U=")</f>
        <v>#VALUE!</v>
      </c>
      <c r="IM116" t="e">
        <f>AND('UP133'!P79,"AAAAAHvf//Y=")</f>
        <v>#VALUE!</v>
      </c>
      <c r="IN116" t="e">
        <f>AND('UP133'!Q79,"AAAAAHvf//c=")</f>
        <v>#VALUE!</v>
      </c>
      <c r="IO116" t="e">
        <f>AND('UP133'!R79,"AAAAAHvf//g=")</f>
        <v>#VALUE!</v>
      </c>
      <c r="IP116" t="e">
        <f>AND('UP133'!S79,"AAAAAHvf//k=")</f>
        <v>#VALUE!</v>
      </c>
      <c r="IQ116" t="e">
        <f>AND('UP133'!T79,"AAAAAHvf//o=")</f>
        <v>#VALUE!</v>
      </c>
      <c r="IR116" t="e">
        <f>AND('UP133'!U79,"AAAAAHvf//s=")</f>
        <v>#VALUE!</v>
      </c>
      <c r="IS116" t="e">
        <f>AND('UP133'!V79,"AAAAAHvf//w=")</f>
        <v>#VALUE!</v>
      </c>
      <c r="IT116" t="e">
        <f>AND('UP133'!W79,"AAAAAHvf//0=")</f>
        <v>#VALUE!</v>
      </c>
      <c r="IU116" t="e">
        <f>AND('UP133'!X79,"AAAAAHvf//4=")</f>
        <v>#VALUE!</v>
      </c>
      <c r="IV116" t="e">
        <f>AND('UP133'!Y79,"AAAAAHvf//8=")</f>
        <v>#VALUE!</v>
      </c>
    </row>
    <row r="117" spans="1:256">
      <c r="A117" t="e">
        <f>AND('UP133'!Z79,"AAAAAHvrvwA=")</f>
        <v>#VALUE!</v>
      </c>
      <c r="B117" t="e">
        <f>AND('UP133'!AA79,"AAAAAHvrvwE=")</f>
        <v>#VALUE!</v>
      </c>
      <c r="C117" t="e">
        <f>AND('UP133'!AB79,"AAAAAHvrvwI=")</f>
        <v>#VALUE!</v>
      </c>
      <c r="D117" t="e">
        <f>AND('UP133'!AC79,"AAAAAHvrvwM=")</f>
        <v>#VALUE!</v>
      </c>
      <c r="E117" t="e">
        <f>AND('UP133'!AD79,"AAAAAHvrvwQ=")</f>
        <v>#VALUE!</v>
      </c>
      <c r="F117" t="e">
        <f>AND('UP133'!AE79,"AAAAAHvrvwU=")</f>
        <v>#VALUE!</v>
      </c>
      <c r="G117" t="e">
        <f>AND('UP133'!AF79,"AAAAAHvrvwY=")</f>
        <v>#VALUE!</v>
      </c>
      <c r="H117" t="e">
        <f>AND('UP133'!AG79,"AAAAAHvrvwc=")</f>
        <v>#VALUE!</v>
      </c>
      <c r="I117" t="e">
        <f>AND('UP133'!AH79,"AAAAAHvrvwg=")</f>
        <v>#VALUE!</v>
      </c>
      <c r="J117" t="e">
        <f>AND('UP133'!AI79,"AAAAAHvrvwk=")</f>
        <v>#VALUE!</v>
      </c>
      <c r="K117" t="e">
        <f>AND('UP133'!AJ79,"AAAAAHvrvwo=")</f>
        <v>#VALUE!</v>
      </c>
      <c r="L117" t="e">
        <f>AND('UP133'!AK79,"AAAAAHvrvws=")</f>
        <v>#VALUE!</v>
      </c>
      <c r="M117" t="e">
        <f>AND('UP133'!AL79,"AAAAAHvrvww=")</f>
        <v>#VALUE!</v>
      </c>
      <c r="N117" t="e">
        <f>AND('UP133'!AM79,"AAAAAHvrvw0=")</f>
        <v>#VALUE!</v>
      </c>
      <c r="O117" t="e">
        <f>AND('UP133'!AN79,"AAAAAHvrvw4=")</f>
        <v>#VALUE!</v>
      </c>
      <c r="P117" t="e">
        <f>AND('UP133'!AO79,"AAAAAHvrvw8=")</f>
        <v>#VALUE!</v>
      </c>
      <c r="Q117" t="e">
        <f>AND('UP133'!AP79,"AAAAAHvrvxA=")</f>
        <v>#VALUE!</v>
      </c>
      <c r="R117" t="e">
        <f>AND('UP133'!AQ79,"AAAAAHvrvxE=")</f>
        <v>#VALUE!</v>
      </c>
      <c r="S117" t="e">
        <f>AND('UP133'!AR79,"AAAAAHvrvxI=")</f>
        <v>#VALUE!</v>
      </c>
      <c r="T117" t="e">
        <f>AND('UP133'!AS79,"AAAAAHvrvxM=")</f>
        <v>#VALUE!</v>
      </c>
      <c r="U117" t="e">
        <f>AND('UP133'!AT79,"AAAAAHvrvxQ=")</f>
        <v>#VALUE!</v>
      </c>
      <c r="V117" t="e">
        <f>AND('UP133'!AU79,"AAAAAHvrvxU=")</f>
        <v>#VALUE!</v>
      </c>
      <c r="W117" t="e">
        <f>AND('UP133'!AV79,"AAAAAHvrvxY=")</f>
        <v>#VALUE!</v>
      </c>
      <c r="X117" t="e">
        <f>AND('UP133'!AW79,"AAAAAHvrvxc=")</f>
        <v>#VALUE!</v>
      </c>
      <c r="Y117" t="e">
        <f>AND('UP133'!AX79,"AAAAAHvrvxg=")</f>
        <v>#VALUE!</v>
      </c>
      <c r="Z117" t="e">
        <f>AND('UP133'!AY79,"AAAAAHvrvxk=")</f>
        <v>#VALUE!</v>
      </c>
      <c r="AA117" t="e">
        <f>AND('UP133'!AZ79,"AAAAAHvrvxo=")</f>
        <v>#VALUE!</v>
      </c>
      <c r="AB117" t="e">
        <f>AND('UP133'!BA79,"AAAAAHvrvxs=")</f>
        <v>#VALUE!</v>
      </c>
      <c r="AC117" t="e">
        <f>AND('UP133'!BB79,"AAAAAHvrvxw=")</f>
        <v>#VALUE!</v>
      </c>
      <c r="AD117" t="e">
        <f>AND('UP133'!BC79,"AAAAAHvrvx0=")</f>
        <v>#VALUE!</v>
      </c>
      <c r="AE117" t="e">
        <f>AND('UP133'!BD79,"AAAAAHvrvx4=")</f>
        <v>#VALUE!</v>
      </c>
      <c r="AF117" t="e">
        <f>AND('UP133'!BE79,"AAAAAHvrvx8=")</f>
        <v>#VALUE!</v>
      </c>
      <c r="AG117" t="e">
        <f>AND('UP133'!BF79,"AAAAAHvrvyA=")</f>
        <v>#VALUE!</v>
      </c>
      <c r="AH117" t="e">
        <f>AND('UP133'!BG79,"AAAAAHvrvyE=")</f>
        <v>#VALUE!</v>
      </c>
      <c r="AI117" t="e">
        <f>AND('UP133'!BH79,"AAAAAHvrvyI=")</f>
        <v>#VALUE!</v>
      </c>
      <c r="AJ117" t="e">
        <f>AND('UP133'!BI79,"AAAAAHvrvyM=")</f>
        <v>#VALUE!</v>
      </c>
      <c r="AK117" t="e">
        <f>AND('UP133'!BJ79,"AAAAAHvrvyQ=")</f>
        <v>#VALUE!</v>
      </c>
      <c r="AL117" t="e">
        <f>AND('UP133'!BK79,"AAAAAHvrvyU=")</f>
        <v>#VALUE!</v>
      </c>
      <c r="AM117" t="e">
        <f>AND('UP133'!BL79,"AAAAAHvrvyY=")</f>
        <v>#VALUE!</v>
      </c>
      <c r="AN117" t="e">
        <f>AND('UP133'!BM79,"AAAAAHvrvyc=")</f>
        <v>#VALUE!</v>
      </c>
      <c r="AO117" t="e">
        <f>AND('UP133'!BN79,"AAAAAHvrvyg=")</f>
        <v>#VALUE!</v>
      </c>
      <c r="AP117" t="e">
        <f>AND('UP133'!BO79,"AAAAAHvrvyk=")</f>
        <v>#VALUE!</v>
      </c>
      <c r="AQ117" t="e">
        <f>AND('UP133'!BP79,"AAAAAHvrvyo=")</f>
        <v>#VALUE!</v>
      </c>
      <c r="AR117" t="e">
        <f>AND('UP133'!BQ79,"AAAAAHvrvys=")</f>
        <v>#VALUE!</v>
      </c>
      <c r="AS117" t="e">
        <f>AND('UP133'!BR79,"AAAAAHvrvyw=")</f>
        <v>#VALUE!</v>
      </c>
      <c r="AT117" t="e">
        <f>AND('UP133'!BS79,"AAAAAHvrvy0=")</f>
        <v>#VALUE!</v>
      </c>
      <c r="AU117" t="e">
        <f>AND('UP133'!BT79,"AAAAAHvrvy4=")</f>
        <v>#VALUE!</v>
      </c>
      <c r="AV117" t="e">
        <f>AND('UP133'!BU79,"AAAAAHvrvy8=")</f>
        <v>#VALUE!</v>
      </c>
      <c r="AW117" t="e">
        <f>AND('UP133'!BV79,"AAAAAHvrvzA=")</f>
        <v>#VALUE!</v>
      </c>
      <c r="AX117" t="e">
        <f>AND('UP133'!BW79,"AAAAAHvrvzE=")</f>
        <v>#VALUE!</v>
      </c>
      <c r="AY117" t="e">
        <f>AND('UP133'!BX79,"AAAAAHvrvzI=")</f>
        <v>#VALUE!</v>
      </c>
      <c r="AZ117" t="e">
        <f>AND('UP133'!BY79,"AAAAAHvrvzM=")</f>
        <v>#VALUE!</v>
      </c>
      <c r="BA117" t="e">
        <f>AND('UP133'!BZ79,"AAAAAHvrvzQ=")</f>
        <v>#VALUE!</v>
      </c>
      <c r="BB117" t="e">
        <f>AND('UP133'!CA79,"AAAAAHvrvzU=")</f>
        <v>#VALUE!</v>
      </c>
      <c r="BC117" t="e">
        <f>AND('UP133'!CB79,"AAAAAHvrvzY=")</f>
        <v>#VALUE!</v>
      </c>
      <c r="BD117" t="e">
        <f>AND('UP133'!CC79,"AAAAAHvrvzc=")</f>
        <v>#VALUE!</v>
      </c>
      <c r="BE117" t="e">
        <f>AND('UP133'!CD79,"AAAAAHvrvzg=")</f>
        <v>#VALUE!</v>
      </c>
      <c r="BF117" t="e">
        <f>AND('UP133'!CE79,"AAAAAHvrvzk=")</f>
        <v>#VALUE!</v>
      </c>
      <c r="BG117" t="e">
        <f>AND('UP133'!CF79,"AAAAAHvrvzo=")</f>
        <v>#VALUE!</v>
      </c>
      <c r="BH117" t="e">
        <f>AND('UP133'!CG79,"AAAAAHvrvzs=")</f>
        <v>#VALUE!</v>
      </c>
      <c r="BI117" t="e">
        <f>AND('UP133'!CH79,"AAAAAHvrvzw=")</f>
        <v>#VALUE!</v>
      </c>
      <c r="BJ117" t="e">
        <f>AND('UP133'!CI79,"AAAAAHvrvz0=")</f>
        <v>#VALUE!</v>
      </c>
      <c r="BK117" t="e">
        <f>AND('UP133'!CJ79,"AAAAAHvrvz4=")</f>
        <v>#VALUE!</v>
      </c>
      <c r="BL117" t="e">
        <f>AND('UP133'!CK79,"AAAAAHvrvz8=")</f>
        <v>#VALUE!</v>
      </c>
      <c r="BM117" t="e">
        <f>AND('UP133'!CL79,"AAAAAHvrv0A=")</f>
        <v>#VALUE!</v>
      </c>
      <c r="BN117" t="e">
        <f>AND('UP133'!CM79,"AAAAAHvrv0E=")</f>
        <v>#VALUE!</v>
      </c>
      <c r="BO117" t="e">
        <f>AND('UP133'!CN79,"AAAAAHvrv0I=")</f>
        <v>#VALUE!</v>
      </c>
      <c r="BP117" t="e">
        <f>AND('UP133'!CO79,"AAAAAHvrv0M=")</f>
        <v>#VALUE!</v>
      </c>
      <c r="BQ117" t="e">
        <f>AND('UP133'!CP79,"AAAAAHvrv0Q=")</f>
        <v>#VALUE!</v>
      </c>
      <c r="BR117" t="e">
        <f>AND('UP133'!CQ79,"AAAAAHvrv0U=")</f>
        <v>#VALUE!</v>
      </c>
      <c r="BS117" t="e">
        <f>AND('UP133'!CR79,"AAAAAHvrv0Y=")</f>
        <v>#VALUE!</v>
      </c>
      <c r="BT117" t="e">
        <f>AND('UP133'!CS79,"AAAAAHvrv0c=")</f>
        <v>#VALUE!</v>
      </c>
      <c r="BU117" t="e">
        <f>AND('UP133'!CT79,"AAAAAHvrv0g=")</f>
        <v>#VALUE!</v>
      </c>
      <c r="BV117" t="e">
        <f>AND('UP133'!CU79,"AAAAAHvrv0k=")</f>
        <v>#VALUE!</v>
      </c>
      <c r="BW117" t="e">
        <f>AND('UP133'!CV79,"AAAAAHvrv0o=")</f>
        <v>#VALUE!</v>
      </c>
      <c r="BX117" t="e">
        <f>AND('UP133'!CW79,"AAAAAHvrv0s=")</f>
        <v>#VALUE!</v>
      </c>
      <c r="BY117" t="e">
        <f>AND('UP133'!CX79,"AAAAAHvrv0w=")</f>
        <v>#VALUE!</v>
      </c>
      <c r="BZ117" t="e">
        <f>AND('UP133'!CY79,"AAAAAHvrv00=")</f>
        <v>#VALUE!</v>
      </c>
      <c r="CA117" t="e">
        <f>AND('UP133'!CZ79,"AAAAAHvrv04=")</f>
        <v>#VALUE!</v>
      </c>
      <c r="CB117" t="e">
        <f>AND('UP133'!DA79,"AAAAAHvrv08=")</f>
        <v>#VALUE!</v>
      </c>
      <c r="CC117" t="e">
        <f>AND('UP133'!DB79,"AAAAAHvrv1A=")</f>
        <v>#VALUE!</v>
      </c>
      <c r="CD117" t="e">
        <f>AND('UP133'!DC79,"AAAAAHvrv1E=")</f>
        <v>#VALUE!</v>
      </c>
      <c r="CE117" t="e">
        <f>AND('UP133'!DD79,"AAAAAHvrv1I=")</f>
        <v>#VALUE!</v>
      </c>
      <c r="CF117" t="e">
        <f>AND('UP133'!DE79,"AAAAAHvrv1M=")</f>
        <v>#VALUE!</v>
      </c>
      <c r="CG117" t="e">
        <f>AND('UP133'!DF79,"AAAAAHvrv1Q=")</f>
        <v>#VALUE!</v>
      </c>
      <c r="CH117" t="e">
        <f>AND('UP133'!DG79,"AAAAAHvrv1U=")</f>
        <v>#VALUE!</v>
      </c>
      <c r="CI117" t="e">
        <f>AND('UP133'!DH79,"AAAAAHvrv1Y=")</f>
        <v>#VALUE!</v>
      </c>
      <c r="CJ117" t="e">
        <f>AND('UP133'!DI79,"AAAAAHvrv1c=")</f>
        <v>#VALUE!</v>
      </c>
      <c r="CK117" t="e">
        <f>AND('UP133'!DJ79,"AAAAAHvrv1g=")</f>
        <v>#VALUE!</v>
      </c>
      <c r="CL117" t="e">
        <f>AND('UP133'!DK79,"AAAAAHvrv1k=")</f>
        <v>#VALUE!</v>
      </c>
      <c r="CM117" t="e">
        <f>AND('UP133'!DL79,"AAAAAHvrv1o=")</f>
        <v>#VALUE!</v>
      </c>
      <c r="CN117" t="e">
        <f>AND('UP133'!DM79,"AAAAAHvrv1s=")</f>
        <v>#VALUE!</v>
      </c>
      <c r="CO117" t="e">
        <f>AND('UP133'!DN79,"AAAAAHvrv1w=")</f>
        <v>#VALUE!</v>
      </c>
      <c r="CP117" t="e">
        <f>AND('UP133'!DO79,"AAAAAHvrv10=")</f>
        <v>#VALUE!</v>
      </c>
      <c r="CQ117" t="e">
        <f>AND('UP133'!DP79,"AAAAAHvrv14=")</f>
        <v>#VALUE!</v>
      </c>
      <c r="CR117" t="e">
        <f>AND('UP133'!DQ79,"AAAAAHvrv18=")</f>
        <v>#VALUE!</v>
      </c>
      <c r="CS117" t="e">
        <f>AND('UP133'!DR79,"AAAAAHvrv2A=")</f>
        <v>#VALUE!</v>
      </c>
      <c r="CT117" t="e">
        <f>AND('UP133'!DS79,"AAAAAHvrv2E=")</f>
        <v>#VALUE!</v>
      </c>
      <c r="CU117" t="e">
        <f>AND('UP133'!DT79,"AAAAAHvrv2I=")</f>
        <v>#VALUE!</v>
      </c>
      <c r="CV117" t="e">
        <f>AND('UP133'!DU79,"AAAAAHvrv2M=")</f>
        <v>#VALUE!</v>
      </c>
      <c r="CW117" t="e">
        <f>AND('UP133'!DV79,"AAAAAHvrv2Q=")</f>
        <v>#VALUE!</v>
      </c>
      <c r="CX117" t="e">
        <f>AND('UP133'!DW79,"AAAAAHvrv2U=")</f>
        <v>#VALUE!</v>
      </c>
      <c r="CY117" t="e">
        <f>AND('UP133'!DX79,"AAAAAHvrv2Y=")</f>
        <v>#VALUE!</v>
      </c>
      <c r="CZ117" t="e">
        <f>AND('UP133'!DY79,"AAAAAHvrv2c=")</f>
        <v>#VALUE!</v>
      </c>
      <c r="DA117" t="e">
        <f>AND('UP133'!DZ79,"AAAAAHvrv2g=")</f>
        <v>#VALUE!</v>
      </c>
      <c r="DB117" t="e">
        <f>AND('UP133'!EA79,"AAAAAHvrv2k=")</f>
        <v>#VALUE!</v>
      </c>
      <c r="DC117" t="e">
        <f>AND('UP133'!EB79,"AAAAAHvrv2o=")</f>
        <v>#VALUE!</v>
      </c>
      <c r="DD117" t="e">
        <f>AND('UP133'!EC79,"AAAAAHvrv2s=")</f>
        <v>#VALUE!</v>
      </c>
      <c r="DE117" t="e">
        <f>AND('UP133'!ED79,"AAAAAHvrv2w=")</f>
        <v>#VALUE!</v>
      </c>
      <c r="DF117" t="e">
        <f>AND('UP133'!EE79,"AAAAAHvrv20=")</f>
        <v>#VALUE!</v>
      </c>
      <c r="DG117" t="e">
        <f>AND('UP133'!EF79,"AAAAAHvrv24=")</f>
        <v>#VALUE!</v>
      </c>
      <c r="DH117" t="e">
        <f>AND('UP133'!EG79,"AAAAAHvrv28=")</f>
        <v>#VALUE!</v>
      </c>
      <c r="DI117" t="e">
        <f>AND('UP133'!EH79,"AAAAAHvrv3A=")</f>
        <v>#VALUE!</v>
      </c>
      <c r="DJ117" t="e">
        <f>AND('UP133'!EI79,"AAAAAHvrv3E=")</f>
        <v>#VALUE!</v>
      </c>
      <c r="DK117" t="e">
        <f>AND('UP133'!EJ79,"AAAAAHvrv3I=")</f>
        <v>#VALUE!</v>
      </c>
      <c r="DL117" t="e">
        <f>AND('UP133'!EK79,"AAAAAHvrv3M=")</f>
        <v>#VALUE!</v>
      </c>
      <c r="DM117" t="e">
        <f>AND('UP133'!EL79,"AAAAAHvrv3Q=")</f>
        <v>#VALUE!</v>
      </c>
      <c r="DN117" t="e">
        <f>AND('UP133'!EM79,"AAAAAHvrv3U=")</f>
        <v>#VALUE!</v>
      </c>
      <c r="DO117" t="e">
        <f>AND('UP133'!EN79,"AAAAAHvrv3Y=")</f>
        <v>#VALUE!</v>
      </c>
      <c r="DP117" t="e">
        <f>AND('UP133'!EO79,"AAAAAHvrv3c=")</f>
        <v>#VALUE!</v>
      </c>
      <c r="DQ117" t="e">
        <f>AND('UP133'!EP79,"AAAAAHvrv3g=")</f>
        <v>#VALUE!</v>
      </c>
      <c r="DR117" t="e">
        <f>AND('UP133'!EQ79,"AAAAAHvrv3k=")</f>
        <v>#VALUE!</v>
      </c>
      <c r="DS117" t="e">
        <f>AND('UP133'!ER79,"AAAAAHvrv3o=")</f>
        <v>#VALUE!</v>
      </c>
      <c r="DT117" t="e">
        <f>AND('UP133'!ES79,"AAAAAHvrv3s=")</f>
        <v>#VALUE!</v>
      </c>
      <c r="DU117" t="e">
        <f>AND('UP133'!ET79,"AAAAAHvrv3w=")</f>
        <v>#VALUE!</v>
      </c>
      <c r="DV117" t="e">
        <f>AND('UP133'!EU79,"AAAAAHvrv30=")</f>
        <v>#VALUE!</v>
      </c>
      <c r="DW117" t="e">
        <f>AND('UP133'!EV79,"AAAAAHvrv34=")</f>
        <v>#VALUE!</v>
      </c>
      <c r="DX117" t="e">
        <f>AND('UP133'!EW79,"AAAAAHvrv38=")</f>
        <v>#VALUE!</v>
      </c>
      <c r="DY117" t="e">
        <f>AND('UP133'!EX79,"AAAAAHvrv4A=")</f>
        <v>#VALUE!</v>
      </c>
      <c r="DZ117" t="e">
        <f>AND('UP133'!EY79,"AAAAAHvrv4E=")</f>
        <v>#VALUE!</v>
      </c>
      <c r="EA117" t="e">
        <f>AND('UP133'!EZ79,"AAAAAHvrv4I=")</f>
        <v>#VALUE!</v>
      </c>
      <c r="EB117" t="e">
        <f>AND('UP133'!FA79,"AAAAAHvrv4M=")</f>
        <v>#VALUE!</v>
      </c>
      <c r="EC117" t="e">
        <f>AND('UP133'!FB79,"AAAAAHvrv4Q=")</f>
        <v>#VALUE!</v>
      </c>
      <c r="ED117" t="e">
        <f>AND('UP133'!FC79,"AAAAAHvrv4U=")</f>
        <v>#VALUE!</v>
      </c>
      <c r="EE117" t="e">
        <f>AND('UP133'!FD79,"AAAAAHvrv4Y=")</f>
        <v>#VALUE!</v>
      </c>
      <c r="EF117" t="e">
        <f>AND('UP133'!FE79,"AAAAAHvrv4c=")</f>
        <v>#VALUE!</v>
      </c>
      <c r="EG117" t="e">
        <f>AND('UP133'!FF79,"AAAAAHvrv4g=")</f>
        <v>#VALUE!</v>
      </c>
      <c r="EH117" t="e">
        <f>AND('UP133'!FG79,"AAAAAHvrv4k=")</f>
        <v>#VALUE!</v>
      </c>
      <c r="EI117" t="e">
        <f>AND('UP133'!FH79,"AAAAAHvrv4o=")</f>
        <v>#VALUE!</v>
      </c>
      <c r="EJ117" t="e">
        <f>AND('UP133'!FI79,"AAAAAHvrv4s=")</f>
        <v>#VALUE!</v>
      </c>
      <c r="EK117" t="e">
        <f>AND('UP133'!FJ79,"AAAAAHvrv4w=")</f>
        <v>#VALUE!</v>
      </c>
      <c r="EL117" t="e">
        <f>AND('UP133'!FK79,"AAAAAHvrv40=")</f>
        <v>#VALUE!</v>
      </c>
      <c r="EM117" t="e">
        <f>AND('UP133'!FL79,"AAAAAHvrv44=")</f>
        <v>#VALUE!</v>
      </c>
      <c r="EN117" t="e">
        <f>AND('UP133'!FM79,"AAAAAHvrv48=")</f>
        <v>#VALUE!</v>
      </c>
      <c r="EO117" t="e">
        <f>AND('UP133'!FN79,"AAAAAHvrv5A=")</f>
        <v>#VALUE!</v>
      </c>
      <c r="EP117" t="e">
        <f>AND('UP133'!FO79,"AAAAAHvrv5E=")</f>
        <v>#VALUE!</v>
      </c>
      <c r="EQ117" t="e">
        <f>AND('UP133'!FP79,"AAAAAHvrv5I=")</f>
        <v>#VALUE!</v>
      </c>
      <c r="ER117" t="e">
        <f>AND('UP133'!FQ79,"AAAAAHvrv5M=")</f>
        <v>#VALUE!</v>
      </c>
      <c r="ES117" t="e">
        <f>AND('UP133'!FR79,"AAAAAHvrv5Q=")</f>
        <v>#VALUE!</v>
      </c>
      <c r="ET117" t="e">
        <f>AND('UP133'!FS79,"AAAAAHvrv5U=")</f>
        <v>#VALUE!</v>
      </c>
      <c r="EU117" t="e">
        <f>AND('UP133'!FT79,"AAAAAHvrv5Y=")</f>
        <v>#VALUE!</v>
      </c>
      <c r="EV117" t="e">
        <f>AND('UP133'!FU79,"AAAAAHvrv5c=")</f>
        <v>#VALUE!</v>
      </c>
      <c r="EW117" t="e">
        <f>AND('UP133'!FV79,"AAAAAHvrv5g=")</f>
        <v>#VALUE!</v>
      </c>
      <c r="EX117" t="e">
        <f>AND('UP133'!FW79,"AAAAAHvrv5k=")</f>
        <v>#VALUE!</v>
      </c>
      <c r="EY117" t="e">
        <f>AND('UP133'!FX79,"AAAAAHvrv5o=")</f>
        <v>#VALUE!</v>
      </c>
      <c r="EZ117" t="e">
        <f>AND('UP133'!FY79,"AAAAAHvrv5s=")</f>
        <v>#VALUE!</v>
      </c>
      <c r="FA117" t="e">
        <f>AND('UP133'!FZ79,"AAAAAHvrv5w=")</f>
        <v>#VALUE!</v>
      </c>
      <c r="FB117" t="e">
        <f>AND('UP133'!GA79,"AAAAAHvrv50=")</f>
        <v>#VALUE!</v>
      </c>
      <c r="FC117" t="e">
        <f>AND('UP133'!GB79,"AAAAAHvrv54=")</f>
        <v>#VALUE!</v>
      </c>
      <c r="FD117" t="e">
        <f>AND('UP133'!GC79,"AAAAAHvrv58=")</f>
        <v>#VALUE!</v>
      </c>
      <c r="FE117" t="e">
        <f>AND('UP133'!GD79,"AAAAAHvrv6A=")</f>
        <v>#VALUE!</v>
      </c>
      <c r="FF117" t="e">
        <f>AND('UP133'!GE79,"AAAAAHvrv6E=")</f>
        <v>#VALUE!</v>
      </c>
      <c r="FG117" t="e">
        <f>AND('UP133'!GF79,"AAAAAHvrv6I=")</f>
        <v>#VALUE!</v>
      </c>
      <c r="FH117" t="e">
        <f>AND('UP133'!GG79,"AAAAAHvrv6M=")</f>
        <v>#VALUE!</v>
      </c>
      <c r="FI117" t="e">
        <f>AND('UP133'!GH79,"AAAAAHvrv6Q=")</f>
        <v>#VALUE!</v>
      </c>
      <c r="FJ117" t="e">
        <f>AND('UP133'!GI79,"AAAAAHvrv6U=")</f>
        <v>#VALUE!</v>
      </c>
      <c r="FK117" t="e">
        <f>AND('UP133'!GJ79,"AAAAAHvrv6Y=")</f>
        <v>#VALUE!</v>
      </c>
      <c r="FL117" t="e">
        <f>AND('UP133'!GK79,"AAAAAHvrv6c=")</f>
        <v>#VALUE!</v>
      </c>
      <c r="FM117" t="e">
        <f>AND('UP133'!GL79,"AAAAAHvrv6g=")</f>
        <v>#VALUE!</v>
      </c>
      <c r="FN117" t="e">
        <f>AND('UP133'!GM79,"AAAAAHvrv6k=")</f>
        <v>#VALUE!</v>
      </c>
      <c r="FO117" t="e">
        <f>AND('UP133'!GN79,"AAAAAHvrv6o=")</f>
        <v>#VALUE!</v>
      </c>
      <c r="FP117" t="e">
        <f>AND('UP133'!GO79,"AAAAAHvrv6s=")</f>
        <v>#VALUE!</v>
      </c>
      <c r="FQ117" t="e">
        <f>AND('UP133'!GP79,"AAAAAHvrv6w=")</f>
        <v>#VALUE!</v>
      </c>
      <c r="FR117" t="e">
        <f>AND('UP133'!GQ79,"AAAAAHvrv60=")</f>
        <v>#VALUE!</v>
      </c>
      <c r="FS117" t="e">
        <f>AND('UP133'!GR79,"AAAAAHvrv64=")</f>
        <v>#VALUE!</v>
      </c>
      <c r="FT117" t="e">
        <f>AND('UP133'!GS79,"AAAAAHvrv68=")</f>
        <v>#VALUE!</v>
      </c>
      <c r="FU117" t="e">
        <f>AND('UP133'!GT79,"AAAAAHvrv7A=")</f>
        <v>#VALUE!</v>
      </c>
      <c r="FV117" t="e">
        <f>AND('UP133'!GU79,"AAAAAHvrv7E=")</f>
        <v>#VALUE!</v>
      </c>
      <c r="FW117" t="e">
        <f>AND('UP133'!GV79,"AAAAAHvrv7I=")</f>
        <v>#VALUE!</v>
      </c>
      <c r="FX117" t="e">
        <f>AND('UP133'!GW79,"AAAAAHvrv7M=")</f>
        <v>#VALUE!</v>
      </c>
      <c r="FY117" t="e">
        <f>AND('UP133'!GX79,"AAAAAHvrv7Q=")</f>
        <v>#VALUE!</v>
      </c>
      <c r="FZ117" t="e">
        <f>AND('UP133'!GY79,"AAAAAHvrv7U=")</f>
        <v>#VALUE!</v>
      </c>
      <c r="GA117" t="e">
        <f>AND('UP133'!GZ79,"AAAAAHvrv7Y=")</f>
        <v>#VALUE!</v>
      </c>
      <c r="GB117" t="e">
        <f>AND('UP133'!HA79,"AAAAAHvrv7c=")</f>
        <v>#VALUE!</v>
      </c>
      <c r="GC117" t="e">
        <f>AND('UP133'!HB79,"AAAAAHvrv7g=")</f>
        <v>#VALUE!</v>
      </c>
      <c r="GD117" t="e">
        <f>AND('UP133'!HC79,"AAAAAHvrv7k=")</f>
        <v>#VALUE!</v>
      </c>
      <c r="GE117" t="e">
        <f>AND('UP133'!HD79,"AAAAAHvrv7o=")</f>
        <v>#VALUE!</v>
      </c>
      <c r="GF117" t="e">
        <f>AND('UP133'!HE79,"AAAAAHvrv7s=")</f>
        <v>#VALUE!</v>
      </c>
      <c r="GG117" t="e">
        <f>AND('UP133'!HF79,"AAAAAHvrv7w=")</f>
        <v>#VALUE!</v>
      </c>
      <c r="GH117" t="e">
        <f>AND('UP133'!HG79,"AAAAAHvrv70=")</f>
        <v>#VALUE!</v>
      </c>
      <c r="GI117" t="e">
        <f>AND('UP133'!HH79,"AAAAAHvrv74=")</f>
        <v>#VALUE!</v>
      </c>
      <c r="GJ117" t="e">
        <f>AND('UP133'!HI79,"AAAAAHvrv78=")</f>
        <v>#VALUE!</v>
      </c>
      <c r="GK117" t="e">
        <f>AND('UP133'!HJ79,"AAAAAHvrv8A=")</f>
        <v>#VALUE!</v>
      </c>
      <c r="GL117" t="e">
        <f>AND('UP133'!HK79,"AAAAAHvrv8E=")</f>
        <v>#VALUE!</v>
      </c>
      <c r="GM117" t="e">
        <f>AND('UP133'!HL79,"AAAAAHvrv8I=")</f>
        <v>#VALUE!</v>
      </c>
      <c r="GN117" t="e">
        <f>AND('UP133'!HM79,"AAAAAHvrv8M=")</f>
        <v>#VALUE!</v>
      </c>
      <c r="GO117" t="e">
        <f>AND('UP133'!HN79,"AAAAAHvrv8Q=")</f>
        <v>#VALUE!</v>
      </c>
      <c r="GP117" t="e">
        <f>AND('UP133'!HO79,"AAAAAHvrv8U=")</f>
        <v>#VALUE!</v>
      </c>
      <c r="GQ117" t="e">
        <f>AND('UP133'!HP79,"AAAAAHvrv8Y=")</f>
        <v>#VALUE!</v>
      </c>
      <c r="GR117" t="e">
        <f>AND('UP133'!HQ79,"AAAAAHvrv8c=")</f>
        <v>#VALUE!</v>
      </c>
      <c r="GS117" t="e">
        <f>AND('UP133'!HR79,"AAAAAHvrv8g=")</f>
        <v>#VALUE!</v>
      </c>
      <c r="GT117" t="e">
        <f>AND('UP133'!HS79,"AAAAAHvrv8k=")</f>
        <v>#VALUE!</v>
      </c>
      <c r="GU117" t="e">
        <f>AND('UP133'!HT79,"AAAAAHvrv8o=")</f>
        <v>#VALUE!</v>
      </c>
      <c r="GV117" t="e">
        <f>AND('UP133'!HU79,"AAAAAHvrv8s=")</f>
        <v>#VALUE!</v>
      </c>
      <c r="GW117" t="e">
        <f>AND('UP133'!HV79,"AAAAAHvrv8w=")</f>
        <v>#VALUE!</v>
      </c>
      <c r="GX117" t="e">
        <f>AND('UP133'!HW79,"AAAAAHvrv80=")</f>
        <v>#VALUE!</v>
      </c>
      <c r="GY117" t="e">
        <f>AND('UP133'!HX79,"AAAAAHvrv84=")</f>
        <v>#VALUE!</v>
      </c>
      <c r="GZ117" t="e">
        <f>AND('UP133'!HY79,"AAAAAHvrv88=")</f>
        <v>#VALUE!</v>
      </c>
      <c r="HA117" t="e">
        <f>AND('UP133'!HZ79,"AAAAAHvrv9A=")</f>
        <v>#VALUE!</v>
      </c>
      <c r="HB117" t="e">
        <f>AND('UP133'!IA79,"AAAAAHvrv9E=")</f>
        <v>#VALUE!</v>
      </c>
      <c r="HC117" t="e">
        <f>AND('UP133'!IB79,"AAAAAHvrv9I=")</f>
        <v>#VALUE!</v>
      </c>
      <c r="HD117" t="e">
        <f>AND('UP133'!IC79,"AAAAAHvrv9M=")</f>
        <v>#VALUE!</v>
      </c>
      <c r="HE117" t="e">
        <f>AND('UP133'!ID79,"AAAAAHvrv9Q=")</f>
        <v>#VALUE!</v>
      </c>
      <c r="HF117" t="e">
        <f>AND('UP133'!IE79,"AAAAAHvrv9U=")</f>
        <v>#VALUE!</v>
      </c>
      <c r="HG117" t="e">
        <f>AND('UP133'!IF79,"AAAAAHvrv9Y=")</f>
        <v>#VALUE!</v>
      </c>
      <c r="HH117" t="e">
        <f>AND('UP133'!IG79,"AAAAAHvrv9c=")</f>
        <v>#VALUE!</v>
      </c>
      <c r="HI117" t="e">
        <f>AND('UP133'!IH79,"AAAAAHvrv9g=")</f>
        <v>#VALUE!</v>
      </c>
      <c r="HJ117" t="e">
        <f>AND('UP133'!II79,"AAAAAHvrv9k=")</f>
        <v>#VALUE!</v>
      </c>
      <c r="HK117" t="e">
        <f>AND('UP133'!IJ79,"AAAAAHvrv9o=")</f>
        <v>#VALUE!</v>
      </c>
      <c r="HL117" t="e">
        <f>AND('UP133'!IK79,"AAAAAHvrv9s=")</f>
        <v>#VALUE!</v>
      </c>
      <c r="HM117" t="e">
        <f>AND('UP133'!IL79,"AAAAAHvrv9w=")</f>
        <v>#VALUE!</v>
      </c>
      <c r="HN117" t="e">
        <f>AND('UP133'!IM79,"AAAAAHvrv90=")</f>
        <v>#VALUE!</v>
      </c>
      <c r="HO117" t="e">
        <f>AND('UP133'!IN79,"AAAAAHvrv94=")</f>
        <v>#VALUE!</v>
      </c>
      <c r="HP117" t="e">
        <f>AND('UP133'!IO79,"AAAAAHvrv98=")</f>
        <v>#VALUE!</v>
      </c>
      <c r="HQ117" t="e">
        <f>AND('UP133'!IP79,"AAAAAHvrv+A=")</f>
        <v>#VALUE!</v>
      </c>
      <c r="HR117" t="e">
        <f>AND('UP133'!IQ79,"AAAAAHvrv+E=")</f>
        <v>#VALUE!</v>
      </c>
      <c r="HS117">
        <f>IF('UP133'!80:80,"AAAAAHvrv+I=",0)</f>
        <v>0</v>
      </c>
      <c r="HT117" t="e">
        <f>AND('UP133'!A80,"AAAAAHvrv+M=")</f>
        <v>#VALUE!</v>
      </c>
      <c r="HU117" t="e">
        <f>AND('UP133'!B80,"AAAAAHvrv+Q=")</f>
        <v>#VALUE!</v>
      </c>
      <c r="HV117" t="e">
        <f>AND('UP133'!C80,"AAAAAHvrv+U=")</f>
        <v>#VALUE!</v>
      </c>
      <c r="HW117" t="e">
        <f>AND('UP133'!D80,"AAAAAHvrv+Y=")</f>
        <v>#VALUE!</v>
      </c>
      <c r="HX117" t="e">
        <f>AND('UP133'!E80,"AAAAAHvrv+c=")</f>
        <v>#VALUE!</v>
      </c>
      <c r="HY117" t="e">
        <f>AND('UP133'!F80,"AAAAAHvrv+g=")</f>
        <v>#VALUE!</v>
      </c>
      <c r="HZ117" t="e">
        <f>AND('UP133'!G80,"AAAAAHvrv+k=")</f>
        <v>#VALUE!</v>
      </c>
      <c r="IA117" t="e">
        <f>AND('UP133'!H80,"AAAAAHvrv+o=")</f>
        <v>#VALUE!</v>
      </c>
      <c r="IB117" t="e">
        <f>AND('UP133'!I80,"AAAAAHvrv+s=")</f>
        <v>#VALUE!</v>
      </c>
      <c r="IC117" t="e">
        <f>AND('UP133'!J80,"AAAAAHvrv+w=")</f>
        <v>#VALUE!</v>
      </c>
      <c r="ID117" t="e">
        <f>AND('UP133'!K80,"AAAAAHvrv+0=")</f>
        <v>#VALUE!</v>
      </c>
      <c r="IE117" t="e">
        <f>AND('UP133'!L80,"AAAAAHvrv+4=")</f>
        <v>#VALUE!</v>
      </c>
      <c r="IF117" t="e">
        <f>AND('UP133'!M80,"AAAAAHvrv+8=")</f>
        <v>#VALUE!</v>
      </c>
      <c r="IG117" t="e">
        <f>AND('UP133'!N80,"AAAAAHvrv/A=")</f>
        <v>#VALUE!</v>
      </c>
      <c r="IH117" t="e">
        <f>AND('UP133'!O80,"AAAAAHvrv/E=")</f>
        <v>#VALUE!</v>
      </c>
      <c r="II117" t="e">
        <f>AND('UP133'!P80,"AAAAAHvrv/I=")</f>
        <v>#VALUE!</v>
      </c>
      <c r="IJ117" t="e">
        <f>AND('UP133'!Q80,"AAAAAHvrv/M=")</f>
        <v>#VALUE!</v>
      </c>
      <c r="IK117" t="e">
        <f>AND('UP133'!R80,"AAAAAHvrv/Q=")</f>
        <v>#VALUE!</v>
      </c>
      <c r="IL117" t="e">
        <f>AND('UP133'!S80,"AAAAAHvrv/U=")</f>
        <v>#VALUE!</v>
      </c>
      <c r="IM117" t="e">
        <f>AND('UP133'!T80,"AAAAAHvrv/Y=")</f>
        <v>#VALUE!</v>
      </c>
      <c r="IN117" t="e">
        <f>AND('UP133'!U80,"AAAAAHvrv/c=")</f>
        <v>#VALUE!</v>
      </c>
      <c r="IO117" t="e">
        <f>AND('UP133'!V80,"AAAAAHvrv/g=")</f>
        <v>#VALUE!</v>
      </c>
      <c r="IP117" t="e">
        <f>AND('UP133'!W80,"AAAAAHvrv/k=")</f>
        <v>#VALUE!</v>
      </c>
      <c r="IQ117" t="e">
        <f>AND('UP133'!X80,"AAAAAHvrv/o=")</f>
        <v>#VALUE!</v>
      </c>
      <c r="IR117" t="e">
        <f>AND('UP133'!Y80,"AAAAAHvrv/s=")</f>
        <v>#VALUE!</v>
      </c>
      <c r="IS117" t="e">
        <f>AND('UP133'!Z80,"AAAAAHvrv/w=")</f>
        <v>#VALUE!</v>
      </c>
      <c r="IT117" t="e">
        <f>AND('UP133'!AA80,"AAAAAHvrv/0=")</f>
        <v>#VALUE!</v>
      </c>
      <c r="IU117" t="e">
        <f>AND('UP133'!AB80,"AAAAAHvrv/4=")</f>
        <v>#VALUE!</v>
      </c>
      <c r="IV117" t="e">
        <f>AND('UP133'!AC80,"AAAAAHvrv/8=")</f>
        <v>#VALUE!</v>
      </c>
    </row>
    <row r="118" spans="1:256">
      <c r="A118" t="e">
        <f>AND('UP133'!AD80,"AAAAAFveewA=")</f>
        <v>#VALUE!</v>
      </c>
      <c r="B118" t="e">
        <f>AND('UP133'!AE80,"AAAAAFveewE=")</f>
        <v>#VALUE!</v>
      </c>
      <c r="C118" t="e">
        <f>AND('UP133'!AF80,"AAAAAFveewI=")</f>
        <v>#VALUE!</v>
      </c>
      <c r="D118" t="e">
        <f>AND('UP133'!AG80,"AAAAAFveewM=")</f>
        <v>#VALUE!</v>
      </c>
      <c r="E118" t="e">
        <f>AND('UP133'!AH80,"AAAAAFveewQ=")</f>
        <v>#VALUE!</v>
      </c>
      <c r="F118" t="e">
        <f>AND('UP133'!AI80,"AAAAAFveewU=")</f>
        <v>#VALUE!</v>
      </c>
      <c r="G118" t="e">
        <f>AND('UP133'!AJ80,"AAAAAFveewY=")</f>
        <v>#VALUE!</v>
      </c>
      <c r="H118" t="e">
        <f>AND('UP133'!AK80,"AAAAAFveewc=")</f>
        <v>#VALUE!</v>
      </c>
      <c r="I118" t="e">
        <f>AND('UP133'!AL80,"AAAAAFveewg=")</f>
        <v>#VALUE!</v>
      </c>
      <c r="J118" t="e">
        <f>AND('UP133'!AM80,"AAAAAFveewk=")</f>
        <v>#VALUE!</v>
      </c>
      <c r="K118" t="e">
        <f>AND('UP133'!AN80,"AAAAAFveewo=")</f>
        <v>#VALUE!</v>
      </c>
      <c r="L118" t="e">
        <f>AND('UP133'!AO80,"AAAAAFveews=")</f>
        <v>#VALUE!</v>
      </c>
      <c r="M118" t="e">
        <f>AND('UP133'!AP80,"AAAAAFveeww=")</f>
        <v>#VALUE!</v>
      </c>
      <c r="N118" t="e">
        <f>AND('UP133'!AQ80,"AAAAAFveew0=")</f>
        <v>#VALUE!</v>
      </c>
      <c r="O118" t="e">
        <f>AND('UP133'!AR80,"AAAAAFveew4=")</f>
        <v>#VALUE!</v>
      </c>
      <c r="P118" t="e">
        <f>AND('UP133'!AS80,"AAAAAFveew8=")</f>
        <v>#VALUE!</v>
      </c>
      <c r="Q118" t="e">
        <f>AND('UP133'!AT80,"AAAAAFveexA=")</f>
        <v>#VALUE!</v>
      </c>
      <c r="R118" t="e">
        <f>AND('UP133'!AU80,"AAAAAFveexE=")</f>
        <v>#VALUE!</v>
      </c>
      <c r="S118" t="e">
        <f>AND('UP133'!AV80,"AAAAAFveexI=")</f>
        <v>#VALUE!</v>
      </c>
      <c r="T118" t="e">
        <f>AND('UP133'!AW80,"AAAAAFveexM=")</f>
        <v>#VALUE!</v>
      </c>
      <c r="U118" t="e">
        <f>AND('UP133'!AX80,"AAAAAFveexQ=")</f>
        <v>#VALUE!</v>
      </c>
      <c r="V118" t="e">
        <f>AND('UP133'!AY80,"AAAAAFveexU=")</f>
        <v>#VALUE!</v>
      </c>
      <c r="W118" t="e">
        <f>AND('UP133'!AZ80,"AAAAAFveexY=")</f>
        <v>#VALUE!</v>
      </c>
      <c r="X118" t="e">
        <f>AND('UP133'!BA80,"AAAAAFveexc=")</f>
        <v>#VALUE!</v>
      </c>
      <c r="Y118" t="e">
        <f>AND('UP133'!BB80,"AAAAAFveexg=")</f>
        <v>#VALUE!</v>
      </c>
      <c r="Z118" t="e">
        <f>AND('UP133'!BC80,"AAAAAFveexk=")</f>
        <v>#VALUE!</v>
      </c>
      <c r="AA118" t="e">
        <f>AND('UP133'!BD80,"AAAAAFveexo=")</f>
        <v>#VALUE!</v>
      </c>
      <c r="AB118" t="e">
        <f>AND('UP133'!BE80,"AAAAAFveexs=")</f>
        <v>#VALUE!</v>
      </c>
      <c r="AC118" t="e">
        <f>AND('UP133'!BF80,"AAAAAFveexw=")</f>
        <v>#VALUE!</v>
      </c>
      <c r="AD118" t="e">
        <f>AND('UP133'!BG80,"AAAAAFveex0=")</f>
        <v>#VALUE!</v>
      </c>
      <c r="AE118" t="e">
        <f>AND('UP133'!BH80,"AAAAAFveex4=")</f>
        <v>#VALUE!</v>
      </c>
      <c r="AF118" t="e">
        <f>AND('UP133'!BI80,"AAAAAFveex8=")</f>
        <v>#VALUE!</v>
      </c>
      <c r="AG118" t="e">
        <f>AND('UP133'!BJ80,"AAAAAFveeyA=")</f>
        <v>#VALUE!</v>
      </c>
      <c r="AH118" t="e">
        <f>AND('UP133'!BK80,"AAAAAFveeyE=")</f>
        <v>#VALUE!</v>
      </c>
      <c r="AI118" t="e">
        <f>AND('UP133'!BL80,"AAAAAFveeyI=")</f>
        <v>#VALUE!</v>
      </c>
      <c r="AJ118" t="e">
        <f>AND('UP133'!BM80,"AAAAAFveeyM=")</f>
        <v>#VALUE!</v>
      </c>
      <c r="AK118" t="e">
        <f>AND('UP133'!BN80,"AAAAAFveeyQ=")</f>
        <v>#VALUE!</v>
      </c>
      <c r="AL118" t="e">
        <f>AND('UP133'!BO80,"AAAAAFveeyU=")</f>
        <v>#VALUE!</v>
      </c>
      <c r="AM118" t="e">
        <f>AND('UP133'!BP80,"AAAAAFveeyY=")</f>
        <v>#VALUE!</v>
      </c>
      <c r="AN118" t="e">
        <f>AND('UP133'!BQ80,"AAAAAFveeyc=")</f>
        <v>#VALUE!</v>
      </c>
      <c r="AO118" t="e">
        <f>AND('UP133'!BR80,"AAAAAFveeyg=")</f>
        <v>#VALUE!</v>
      </c>
      <c r="AP118" t="e">
        <f>AND('UP133'!BS80,"AAAAAFveeyk=")</f>
        <v>#VALUE!</v>
      </c>
      <c r="AQ118" t="e">
        <f>AND('UP133'!BT80,"AAAAAFveeyo=")</f>
        <v>#VALUE!</v>
      </c>
      <c r="AR118" t="e">
        <f>AND('UP133'!BU80,"AAAAAFveeys=")</f>
        <v>#VALUE!</v>
      </c>
      <c r="AS118" t="e">
        <f>AND('UP133'!BV80,"AAAAAFveeyw=")</f>
        <v>#VALUE!</v>
      </c>
      <c r="AT118" t="e">
        <f>AND('UP133'!BW80,"AAAAAFveey0=")</f>
        <v>#VALUE!</v>
      </c>
      <c r="AU118" t="e">
        <f>AND('UP133'!BX80,"AAAAAFveey4=")</f>
        <v>#VALUE!</v>
      </c>
      <c r="AV118" t="e">
        <f>AND('UP133'!BY80,"AAAAAFveey8=")</f>
        <v>#VALUE!</v>
      </c>
      <c r="AW118" t="e">
        <f>AND('UP133'!BZ80,"AAAAAFveezA=")</f>
        <v>#VALUE!</v>
      </c>
      <c r="AX118" t="e">
        <f>AND('UP133'!CA80,"AAAAAFveezE=")</f>
        <v>#VALUE!</v>
      </c>
      <c r="AY118" t="e">
        <f>AND('UP133'!CB80,"AAAAAFveezI=")</f>
        <v>#VALUE!</v>
      </c>
      <c r="AZ118" t="e">
        <f>AND('UP133'!CC80,"AAAAAFveezM=")</f>
        <v>#VALUE!</v>
      </c>
      <c r="BA118" t="e">
        <f>AND('UP133'!CD80,"AAAAAFveezQ=")</f>
        <v>#VALUE!</v>
      </c>
      <c r="BB118" t="e">
        <f>AND('UP133'!CE80,"AAAAAFveezU=")</f>
        <v>#VALUE!</v>
      </c>
      <c r="BC118" t="e">
        <f>AND('UP133'!CF80,"AAAAAFveezY=")</f>
        <v>#VALUE!</v>
      </c>
      <c r="BD118" t="e">
        <f>AND('UP133'!CG80,"AAAAAFveezc=")</f>
        <v>#VALUE!</v>
      </c>
      <c r="BE118" t="e">
        <f>AND('UP133'!CH80,"AAAAAFveezg=")</f>
        <v>#VALUE!</v>
      </c>
      <c r="BF118" t="e">
        <f>AND('UP133'!CI80,"AAAAAFveezk=")</f>
        <v>#VALUE!</v>
      </c>
      <c r="BG118" t="e">
        <f>AND('UP133'!CJ80,"AAAAAFveezo=")</f>
        <v>#VALUE!</v>
      </c>
      <c r="BH118" t="e">
        <f>AND('UP133'!CK80,"AAAAAFveezs=")</f>
        <v>#VALUE!</v>
      </c>
      <c r="BI118" t="e">
        <f>AND('UP133'!CL80,"AAAAAFveezw=")</f>
        <v>#VALUE!</v>
      </c>
      <c r="BJ118" t="e">
        <f>AND('UP133'!CM80,"AAAAAFveez0=")</f>
        <v>#VALUE!</v>
      </c>
      <c r="BK118" t="e">
        <f>AND('UP133'!CN80,"AAAAAFveez4=")</f>
        <v>#VALUE!</v>
      </c>
      <c r="BL118" t="e">
        <f>AND('UP133'!CO80,"AAAAAFveez8=")</f>
        <v>#VALUE!</v>
      </c>
      <c r="BM118" t="e">
        <f>AND('UP133'!CP80,"AAAAAFvee0A=")</f>
        <v>#VALUE!</v>
      </c>
      <c r="BN118" t="e">
        <f>AND('UP133'!CQ80,"AAAAAFvee0E=")</f>
        <v>#VALUE!</v>
      </c>
      <c r="BO118" t="e">
        <f>AND('UP133'!CR80,"AAAAAFvee0I=")</f>
        <v>#VALUE!</v>
      </c>
      <c r="BP118" t="e">
        <f>AND('UP133'!CS80,"AAAAAFvee0M=")</f>
        <v>#VALUE!</v>
      </c>
      <c r="BQ118" t="e">
        <f>AND('UP133'!CT80,"AAAAAFvee0Q=")</f>
        <v>#VALUE!</v>
      </c>
      <c r="BR118" t="e">
        <f>AND('UP133'!CU80,"AAAAAFvee0U=")</f>
        <v>#VALUE!</v>
      </c>
      <c r="BS118" t="e">
        <f>AND('UP133'!CV80,"AAAAAFvee0Y=")</f>
        <v>#VALUE!</v>
      </c>
      <c r="BT118" t="e">
        <f>AND('UP133'!CW80,"AAAAAFvee0c=")</f>
        <v>#VALUE!</v>
      </c>
      <c r="BU118" t="e">
        <f>AND('UP133'!CX80,"AAAAAFvee0g=")</f>
        <v>#VALUE!</v>
      </c>
      <c r="BV118" t="e">
        <f>AND('UP133'!CY80,"AAAAAFvee0k=")</f>
        <v>#VALUE!</v>
      </c>
      <c r="BW118" t="e">
        <f>AND('UP133'!CZ80,"AAAAAFvee0o=")</f>
        <v>#VALUE!</v>
      </c>
      <c r="BX118" t="e">
        <f>AND('UP133'!DA80,"AAAAAFvee0s=")</f>
        <v>#VALUE!</v>
      </c>
      <c r="BY118" t="e">
        <f>AND('UP133'!DB80,"AAAAAFvee0w=")</f>
        <v>#VALUE!</v>
      </c>
      <c r="BZ118" t="e">
        <f>AND('UP133'!DC80,"AAAAAFvee00=")</f>
        <v>#VALUE!</v>
      </c>
      <c r="CA118" t="e">
        <f>AND('UP133'!DD80,"AAAAAFvee04=")</f>
        <v>#VALUE!</v>
      </c>
      <c r="CB118" t="e">
        <f>AND('UP133'!DE80,"AAAAAFvee08=")</f>
        <v>#VALUE!</v>
      </c>
      <c r="CC118" t="e">
        <f>AND('UP133'!DF80,"AAAAAFvee1A=")</f>
        <v>#VALUE!</v>
      </c>
      <c r="CD118" t="e">
        <f>AND('UP133'!DG80,"AAAAAFvee1E=")</f>
        <v>#VALUE!</v>
      </c>
      <c r="CE118" t="e">
        <f>AND('UP133'!DH80,"AAAAAFvee1I=")</f>
        <v>#VALUE!</v>
      </c>
      <c r="CF118" t="e">
        <f>AND('UP133'!DI80,"AAAAAFvee1M=")</f>
        <v>#VALUE!</v>
      </c>
      <c r="CG118" t="e">
        <f>AND('UP133'!DJ80,"AAAAAFvee1Q=")</f>
        <v>#VALUE!</v>
      </c>
      <c r="CH118" t="e">
        <f>AND('UP133'!DK80,"AAAAAFvee1U=")</f>
        <v>#VALUE!</v>
      </c>
      <c r="CI118" t="e">
        <f>AND('UP133'!DL80,"AAAAAFvee1Y=")</f>
        <v>#VALUE!</v>
      </c>
      <c r="CJ118" t="e">
        <f>AND('UP133'!DM80,"AAAAAFvee1c=")</f>
        <v>#VALUE!</v>
      </c>
      <c r="CK118" t="e">
        <f>AND('UP133'!DN80,"AAAAAFvee1g=")</f>
        <v>#VALUE!</v>
      </c>
      <c r="CL118" t="e">
        <f>AND('UP133'!DO80,"AAAAAFvee1k=")</f>
        <v>#VALUE!</v>
      </c>
      <c r="CM118" t="e">
        <f>AND('UP133'!DP80,"AAAAAFvee1o=")</f>
        <v>#VALUE!</v>
      </c>
      <c r="CN118" t="e">
        <f>AND('UP133'!DQ80,"AAAAAFvee1s=")</f>
        <v>#VALUE!</v>
      </c>
      <c r="CO118" t="e">
        <f>AND('UP133'!DR80,"AAAAAFvee1w=")</f>
        <v>#VALUE!</v>
      </c>
      <c r="CP118" t="e">
        <f>AND('UP133'!DS80,"AAAAAFvee10=")</f>
        <v>#VALUE!</v>
      </c>
      <c r="CQ118" t="e">
        <f>AND('UP133'!DT80,"AAAAAFvee14=")</f>
        <v>#VALUE!</v>
      </c>
      <c r="CR118" t="e">
        <f>AND('UP133'!DU80,"AAAAAFvee18=")</f>
        <v>#VALUE!</v>
      </c>
      <c r="CS118" t="e">
        <f>AND('UP133'!DV80,"AAAAAFvee2A=")</f>
        <v>#VALUE!</v>
      </c>
      <c r="CT118" t="e">
        <f>AND('UP133'!DW80,"AAAAAFvee2E=")</f>
        <v>#VALUE!</v>
      </c>
      <c r="CU118" t="e">
        <f>AND('UP133'!DX80,"AAAAAFvee2I=")</f>
        <v>#VALUE!</v>
      </c>
      <c r="CV118" t="e">
        <f>AND('UP133'!DY80,"AAAAAFvee2M=")</f>
        <v>#VALUE!</v>
      </c>
      <c r="CW118" t="e">
        <f>AND('UP133'!DZ80,"AAAAAFvee2Q=")</f>
        <v>#VALUE!</v>
      </c>
      <c r="CX118" t="e">
        <f>AND('UP133'!EA80,"AAAAAFvee2U=")</f>
        <v>#VALUE!</v>
      </c>
      <c r="CY118" t="e">
        <f>AND('UP133'!EB80,"AAAAAFvee2Y=")</f>
        <v>#VALUE!</v>
      </c>
      <c r="CZ118" t="e">
        <f>AND('UP133'!EC80,"AAAAAFvee2c=")</f>
        <v>#VALUE!</v>
      </c>
      <c r="DA118" t="e">
        <f>AND('UP133'!ED80,"AAAAAFvee2g=")</f>
        <v>#VALUE!</v>
      </c>
      <c r="DB118" t="e">
        <f>AND('UP133'!EE80,"AAAAAFvee2k=")</f>
        <v>#VALUE!</v>
      </c>
      <c r="DC118" t="e">
        <f>AND('UP133'!EF80,"AAAAAFvee2o=")</f>
        <v>#VALUE!</v>
      </c>
      <c r="DD118" t="e">
        <f>AND('UP133'!EG80,"AAAAAFvee2s=")</f>
        <v>#VALUE!</v>
      </c>
      <c r="DE118" t="e">
        <f>AND('UP133'!EH80,"AAAAAFvee2w=")</f>
        <v>#VALUE!</v>
      </c>
      <c r="DF118" t="e">
        <f>AND('UP133'!EI80,"AAAAAFvee20=")</f>
        <v>#VALUE!</v>
      </c>
      <c r="DG118" t="e">
        <f>AND('UP133'!EJ80,"AAAAAFvee24=")</f>
        <v>#VALUE!</v>
      </c>
      <c r="DH118" t="e">
        <f>AND('UP133'!EK80,"AAAAAFvee28=")</f>
        <v>#VALUE!</v>
      </c>
      <c r="DI118" t="e">
        <f>AND('UP133'!EL80,"AAAAAFvee3A=")</f>
        <v>#VALUE!</v>
      </c>
      <c r="DJ118" t="e">
        <f>AND('UP133'!EM80,"AAAAAFvee3E=")</f>
        <v>#VALUE!</v>
      </c>
      <c r="DK118" t="e">
        <f>AND('UP133'!EN80,"AAAAAFvee3I=")</f>
        <v>#VALUE!</v>
      </c>
      <c r="DL118" t="e">
        <f>AND('UP133'!EO80,"AAAAAFvee3M=")</f>
        <v>#VALUE!</v>
      </c>
      <c r="DM118" t="e">
        <f>AND('UP133'!EP80,"AAAAAFvee3Q=")</f>
        <v>#VALUE!</v>
      </c>
      <c r="DN118" t="e">
        <f>AND('UP133'!EQ80,"AAAAAFvee3U=")</f>
        <v>#VALUE!</v>
      </c>
      <c r="DO118" t="e">
        <f>AND('UP133'!ER80,"AAAAAFvee3Y=")</f>
        <v>#VALUE!</v>
      </c>
      <c r="DP118" t="e">
        <f>AND('UP133'!ES80,"AAAAAFvee3c=")</f>
        <v>#VALUE!</v>
      </c>
      <c r="DQ118" t="e">
        <f>AND('UP133'!ET80,"AAAAAFvee3g=")</f>
        <v>#VALUE!</v>
      </c>
      <c r="DR118" t="e">
        <f>AND('UP133'!EU80,"AAAAAFvee3k=")</f>
        <v>#VALUE!</v>
      </c>
      <c r="DS118" t="e">
        <f>AND('UP133'!EV80,"AAAAAFvee3o=")</f>
        <v>#VALUE!</v>
      </c>
      <c r="DT118" t="e">
        <f>AND('UP133'!EW80,"AAAAAFvee3s=")</f>
        <v>#VALUE!</v>
      </c>
      <c r="DU118" t="e">
        <f>AND('UP133'!EX80,"AAAAAFvee3w=")</f>
        <v>#VALUE!</v>
      </c>
      <c r="DV118" t="e">
        <f>AND('UP133'!EY80,"AAAAAFvee30=")</f>
        <v>#VALUE!</v>
      </c>
      <c r="DW118" t="e">
        <f>AND('UP133'!EZ80,"AAAAAFvee34=")</f>
        <v>#VALUE!</v>
      </c>
      <c r="DX118" t="e">
        <f>AND('UP133'!FA80,"AAAAAFvee38=")</f>
        <v>#VALUE!</v>
      </c>
      <c r="DY118" t="e">
        <f>AND('UP133'!FB80,"AAAAAFvee4A=")</f>
        <v>#VALUE!</v>
      </c>
      <c r="DZ118" t="e">
        <f>AND('UP133'!FC80,"AAAAAFvee4E=")</f>
        <v>#VALUE!</v>
      </c>
      <c r="EA118" t="e">
        <f>AND('UP133'!FD80,"AAAAAFvee4I=")</f>
        <v>#VALUE!</v>
      </c>
      <c r="EB118" t="e">
        <f>AND('UP133'!FE80,"AAAAAFvee4M=")</f>
        <v>#VALUE!</v>
      </c>
      <c r="EC118" t="e">
        <f>AND('UP133'!FF80,"AAAAAFvee4Q=")</f>
        <v>#VALUE!</v>
      </c>
      <c r="ED118" t="e">
        <f>AND('UP133'!FG80,"AAAAAFvee4U=")</f>
        <v>#VALUE!</v>
      </c>
      <c r="EE118" t="e">
        <f>AND('UP133'!FH80,"AAAAAFvee4Y=")</f>
        <v>#VALUE!</v>
      </c>
      <c r="EF118" t="e">
        <f>AND('UP133'!FI80,"AAAAAFvee4c=")</f>
        <v>#VALUE!</v>
      </c>
      <c r="EG118" t="e">
        <f>AND('UP133'!FJ80,"AAAAAFvee4g=")</f>
        <v>#VALUE!</v>
      </c>
      <c r="EH118" t="e">
        <f>AND('UP133'!FK80,"AAAAAFvee4k=")</f>
        <v>#VALUE!</v>
      </c>
      <c r="EI118" t="e">
        <f>AND('UP133'!FL80,"AAAAAFvee4o=")</f>
        <v>#VALUE!</v>
      </c>
      <c r="EJ118" t="e">
        <f>AND('UP133'!FM80,"AAAAAFvee4s=")</f>
        <v>#VALUE!</v>
      </c>
      <c r="EK118" t="e">
        <f>AND('UP133'!FN80,"AAAAAFvee4w=")</f>
        <v>#VALUE!</v>
      </c>
      <c r="EL118" t="e">
        <f>AND('UP133'!FO80,"AAAAAFvee40=")</f>
        <v>#VALUE!</v>
      </c>
      <c r="EM118" t="e">
        <f>AND('UP133'!FP80,"AAAAAFvee44=")</f>
        <v>#VALUE!</v>
      </c>
      <c r="EN118" t="e">
        <f>AND('UP133'!FQ80,"AAAAAFvee48=")</f>
        <v>#VALUE!</v>
      </c>
      <c r="EO118" t="e">
        <f>AND('UP133'!FR80,"AAAAAFvee5A=")</f>
        <v>#VALUE!</v>
      </c>
      <c r="EP118" t="e">
        <f>AND('UP133'!FS80,"AAAAAFvee5E=")</f>
        <v>#VALUE!</v>
      </c>
      <c r="EQ118" t="e">
        <f>AND('UP133'!FT80,"AAAAAFvee5I=")</f>
        <v>#VALUE!</v>
      </c>
      <c r="ER118" t="e">
        <f>AND('UP133'!FU80,"AAAAAFvee5M=")</f>
        <v>#VALUE!</v>
      </c>
      <c r="ES118" t="e">
        <f>AND('UP133'!FV80,"AAAAAFvee5Q=")</f>
        <v>#VALUE!</v>
      </c>
      <c r="ET118" t="e">
        <f>AND('UP133'!FW80,"AAAAAFvee5U=")</f>
        <v>#VALUE!</v>
      </c>
      <c r="EU118" t="e">
        <f>AND('UP133'!FX80,"AAAAAFvee5Y=")</f>
        <v>#VALUE!</v>
      </c>
      <c r="EV118" t="e">
        <f>AND('UP133'!FY80,"AAAAAFvee5c=")</f>
        <v>#VALUE!</v>
      </c>
      <c r="EW118" t="e">
        <f>AND('UP133'!FZ80,"AAAAAFvee5g=")</f>
        <v>#VALUE!</v>
      </c>
      <c r="EX118" t="e">
        <f>AND('UP133'!GA80,"AAAAAFvee5k=")</f>
        <v>#VALUE!</v>
      </c>
      <c r="EY118" t="e">
        <f>AND('UP133'!GB80,"AAAAAFvee5o=")</f>
        <v>#VALUE!</v>
      </c>
      <c r="EZ118" t="e">
        <f>AND('UP133'!GC80,"AAAAAFvee5s=")</f>
        <v>#VALUE!</v>
      </c>
      <c r="FA118" t="e">
        <f>AND('UP133'!GD80,"AAAAAFvee5w=")</f>
        <v>#VALUE!</v>
      </c>
      <c r="FB118" t="e">
        <f>AND('UP133'!GE80,"AAAAAFvee50=")</f>
        <v>#VALUE!</v>
      </c>
      <c r="FC118" t="e">
        <f>AND('UP133'!GF80,"AAAAAFvee54=")</f>
        <v>#VALUE!</v>
      </c>
      <c r="FD118" t="e">
        <f>AND('UP133'!GG80,"AAAAAFvee58=")</f>
        <v>#VALUE!</v>
      </c>
      <c r="FE118" t="e">
        <f>AND('UP133'!GH80,"AAAAAFvee6A=")</f>
        <v>#VALUE!</v>
      </c>
      <c r="FF118" t="e">
        <f>AND('UP133'!GI80,"AAAAAFvee6E=")</f>
        <v>#VALUE!</v>
      </c>
      <c r="FG118" t="e">
        <f>AND('UP133'!GJ80,"AAAAAFvee6I=")</f>
        <v>#VALUE!</v>
      </c>
      <c r="FH118" t="e">
        <f>AND('UP133'!GK80,"AAAAAFvee6M=")</f>
        <v>#VALUE!</v>
      </c>
      <c r="FI118" t="e">
        <f>AND('UP133'!GL80,"AAAAAFvee6Q=")</f>
        <v>#VALUE!</v>
      </c>
      <c r="FJ118" t="e">
        <f>AND('UP133'!GM80,"AAAAAFvee6U=")</f>
        <v>#VALUE!</v>
      </c>
      <c r="FK118" t="e">
        <f>AND('UP133'!GN80,"AAAAAFvee6Y=")</f>
        <v>#VALUE!</v>
      </c>
      <c r="FL118" t="e">
        <f>AND('UP133'!GO80,"AAAAAFvee6c=")</f>
        <v>#VALUE!</v>
      </c>
      <c r="FM118" t="e">
        <f>AND('UP133'!GP80,"AAAAAFvee6g=")</f>
        <v>#VALUE!</v>
      </c>
      <c r="FN118" t="e">
        <f>AND('UP133'!GQ80,"AAAAAFvee6k=")</f>
        <v>#VALUE!</v>
      </c>
      <c r="FO118" t="e">
        <f>AND('UP133'!GR80,"AAAAAFvee6o=")</f>
        <v>#VALUE!</v>
      </c>
      <c r="FP118" t="e">
        <f>AND('UP133'!GS80,"AAAAAFvee6s=")</f>
        <v>#VALUE!</v>
      </c>
      <c r="FQ118" t="e">
        <f>AND('UP133'!GT80,"AAAAAFvee6w=")</f>
        <v>#VALUE!</v>
      </c>
      <c r="FR118" t="e">
        <f>AND('UP133'!GU80,"AAAAAFvee60=")</f>
        <v>#VALUE!</v>
      </c>
      <c r="FS118" t="e">
        <f>AND('UP133'!GV80,"AAAAAFvee64=")</f>
        <v>#VALUE!</v>
      </c>
      <c r="FT118" t="e">
        <f>AND('UP133'!GW80,"AAAAAFvee68=")</f>
        <v>#VALUE!</v>
      </c>
      <c r="FU118" t="e">
        <f>AND('UP133'!GX80,"AAAAAFvee7A=")</f>
        <v>#VALUE!</v>
      </c>
      <c r="FV118" t="e">
        <f>AND('UP133'!GY80,"AAAAAFvee7E=")</f>
        <v>#VALUE!</v>
      </c>
      <c r="FW118" t="e">
        <f>AND('UP133'!GZ80,"AAAAAFvee7I=")</f>
        <v>#VALUE!</v>
      </c>
      <c r="FX118" t="e">
        <f>AND('UP133'!HA80,"AAAAAFvee7M=")</f>
        <v>#VALUE!</v>
      </c>
      <c r="FY118" t="e">
        <f>AND('UP133'!HB80,"AAAAAFvee7Q=")</f>
        <v>#VALUE!</v>
      </c>
      <c r="FZ118" t="e">
        <f>AND('UP133'!HC80,"AAAAAFvee7U=")</f>
        <v>#VALUE!</v>
      </c>
      <c r="GA118" t="e">
        <f>AND('UP133'!HD80,"AAAAAFvee7Y=")</f>
        <v>#VALUE!</v>
      </c>
      <c r="GB118" t="e">
        <f>AND('UP133'!HE80,"AAAAAFvee7c=")</f>
        <v>#VALUE!</v>
      </c>
      <c r="GC118" t="e">
        <f>AND('UP133'!HF80,"AAAAAFvee7g=")</f>
        <v>#VALUE!</v>
      </c>
      <c r="GD118" t="e">
        <f>AND('UP133'!HG80,"AAAAAFvee7k=")</f>
        <v>#VALUE!</v>
      </c>
      <c r="GE118" t="e">
        <f>AND('UP133'!HH80,"AAAAAFvee7o=")</f>
        <v>#VALUE!</v>
      </c>
      <c r="GF118" t="e">
        <f>AND('UP133'!HI80,"AAAAAFvee7s=")</f>
        <v>#VALUE!</v>
      </c>
      <c r="GG118" t="e">
        <f>AND('UP133'!HJ80,"AAAAAFvee7w=")</f>
        <v>#VALUE!</v>
      </c>
      <c r="GH118" t="e">
        <f>AND('UP133'!HK80,"AAAAAFvee70=")</f>
        <v>#VALUE!</v>
      </c>
      <c r="GI118" t="e">
        <f>AND('UP133'!HL80,"AAAAAFvee74=")</f>
        <v>#VALUE!</v>
      </c>
      <c r="GJ118" t="e">
        <f>AND('UP133'!HM80,"AAAAAFvee78=")</f>
        <v>#VALUE!</v>
      </c>
      <c r="GK118" t="e">
        <f>AND('UP133'!HN80,"AAAAAFvee8A=")</f>
        <v>#VALUE!</v>
      </c>
      <c r="GL118" t="e">
        <f>AND('UP133'!HO80,"AAAAAFvee8E=")</f>
        <v>#VALUE!</v>
      </c>
      <c r="GM118" t="e">
        <f>AND('UP133'!HP80,"AAAAAFvee8I=")</f>
        <v>#VALUE!</v>
      </c>
      <c r="GN118" t="e">
        <f>AND('UP133'!HQ80,"AAAAAFvee8M=")</f>
        <v>#VALUE!</v>
      </c>
      <c r="GO118" t="e">
        <f>AND('UP133'!HR80,"AAAAAFvee8Q=")</f>
        <v>#VALUE!</v>
      </c>
      <c r="GP118" t="e">
        <f>AND('UP133'!HS80,"AAAAAFvee8U=")</f>
        <v>#VALUE!</v>
      </c>
      <c r="GQ118" t="e">
        <f>AND('UP133'!HT80,"AAAAAFvee8Y=")</f>
        <v>#VALUE!</v>
      </c>
      <c r="GR118" t="e">
        <f>AND('UP133'!HU80,"AAAAAFvee8c=")</f>
        <v>#VALUE!</v>
      </c>
      <c r="GS118" t="e">
        <f>AND('UP133'!HV80,"AAAAAFvee8g=")</f>
        <v>#VALUE!</v>
      </c>
      <c r="GT118" t="e">
        <f>AND('UP133'!HW80,"AAAAAFvee8k=")</f>
        <v>#VALUE!</v>
      </c>
      <c r="GU118" t="e">
        <f>AND('UP133'!HX80,"AAAAAFvee8o=")</f>
        <v>#VALUE!</v>
      </c>
      <c r="GV118" t="e">
        <f>AND('UP133'!HY80,"AAAAAFvee8s=")</f>
        <v>#VALUE!</v>
      </c>
      <c r="GW118" t="e">
        <f>AND('UP133'!HZ80,"AAAAAFvee8w=")</f>
        <v>#VALUE!</v>
      </c>
      <c r="GX118" t="e">
        <f>AND('UP133'!IA80,"AAAAAFvee80=")</f>
        <v>#VALUE!</v>
      </c>
      <c r="GY118" t="e">
        <f>AND('UP133'!IB80,"AAAAAFvee84=")</f>
        <v>#VALUE!</v>
      </c>
      <c r="GZ118" t="e">
        <f>AND('UP133'!IC80,"AAAAAFvee88=")</f>
        <v>#VALUE!</v>
      </c>
      <c r="HA118" t="e">
        <f>AND('UP133'!ID80,"AAAAAFvee9A=")</f>
        <v>#VALUE!</v>
      </c>
      <c r="HB118" t="e">
        <f>AND('UP133'!IE80,"AAAAAFvee9E=")</f>
        <v>#VALUE!</v>
      </c>
      <c r="HC118" t="e">
        <f>AND('UP133'!IF80,"AAAAAFvee9I=")</f>
        <v>#VALUE!</v>
      </c>
      <c r="HD118" t="e">
        <f>AND('UP133'!IG80,"AAAAAFvee9M=")</f>
        <v>#VALUE!</v>
      </c>
      <c r="HE118" t="e">
        <f>AND('UP133'!IH80,"AAAAAFvee9Q=")</f>
        <v>#VALUE!</v>
      </c>
      <c r="HF118" t="e">
        <f>AND('UP133'!II80,"AAAAAFvee9U=")</f>
        <v>#VALUE!</v>
      </c>
      <c r="HG118" t="e">
        <f>AND('UP133'!IJ80,"AAAAAFvee9Y=")</f>
        <v>#VALUE!</v>
      </c>
      <c r="HH118" t="e">
        <f>AND('UP133'!IK80,"AAAAAFvee9c=")</f>
        <v>#VALUE!</v>
      </c>
      <c r="HI118" t="e">
        <f>AND('UP133'!IL80,"AAAAAFvee9g=")</f>
        <v>#VALUE!</v>
      </c>
      <c r="HJ118" t="e">
        <f>AND('UP133'!IM80,"AAAAAFvee9k=")</f>
        <v>#VALUE!</v>
      </c>
      <c r="HK118" t="e">
        <f>AND('UP133'!IN80,"AAAAAFvee9o=")</f>
        <v>#VALUE!</v>
      </c>
      <c r="HL118" t="e">
        <f>AND('UP133'!IO80,"AAAAAFvee9s=")</f>
        <v>#VALUE!</v>
      </c>
      <c r="HM118" t="e">
        <f>AND('UP133'!IP80,"AAAAAFvee9w=")</f>
        <v>#VALUE!</v>
      </c>
      <c r="HN118" t="e">
        <f>AND('UP133'!IQ80,"AAAAAFvee90=")</f>
        <v>#VALUE!</v>
      </c>
      <c r="HO118">
        <f>IF('UP133'!81:81,"AAAAAFvee94=",0)</f>
        <v>0</v>
      </c>
      <c r="HP118" t="e">
        <f>AND('UP133'!A81,"AAAAAFvee98=")</f>
        <v>#VALUE!</v>
      </c>
      <c r="HQ118" t="e">
        <f>AND('UP133'!B81,"AAAAAFvee+A=")</f>
        <v>#VALUE!</v>
      </c>
      <c r="HR118" t="e">
        <f>AND('UP133'!C81,"AAAAAFvee+E=")</f>
        <v>#VALUE!</v>
      </c>
      <c r="HS118" t="e">
        <f>AND('UP133'!D81,"AAAAAFvee+I=")</f>
        <v>#VALUE!</v>
      </c>
      <c r="HT118" t="e">
        <f>AND('UP133'!E81,"AAAAAFvee+M=")</f>
        <v>#VALUE!</v>
      </c>
      <c r="HU118" t="e">
        <f>AND('UP133'!F81,"AAAAAFvee+Q=")</f>
        <v>#VALUE!</v>
      </c>
      <c r="HV118" t="e">
        <f>AND('UP133'!G81,"AAAAAFvee+U=")</f>
        <v>#VALUE!</v>
      </c>
      <c r="HW118" t="e">
        <f>AND('UP133'!H81,"AAAAAFvee+Y=")</f>
        <v>#VALUE!</v>
      </c>
      <c r="HX118" t="e">
        <f>AND('UP133'!I81,"AAAAAFvee+c=")</f>
        <v>#VALUE!</v>
      </c>
      <c r="HY118" t="e">
        <f>AND('UP133'!J81,"AAAAAFvee+g=")</f>
        <v>#VALUE!</v>
      </c>
      <c r="HZ118" t="e">
        <f>AND('UP133'!K81,"AAAAAFvee+k=")</f>
        <v>#VALUE!</v>
      </c>
      <c r="IA118" t="e">
        <f>AND('UP133'!L81,"AAAAAFvee+o=")</f>
        <v>#VALUE!</v>
      </c>
      <c r="IB118" t="e">
        <f>AND('UP133'!M81,"AAAAAFvee+s=")</f>
        <v>#VALUE!</v>
      </c>
      <c r="IC118" t="e">
        <f>AND('UP133'!N81,"AAAAAFvee+w=")</f>
        <v>#VALUE!</v>
      </c>
      <c r="ID118" t="e">
        <f>AND('UP133'!O81,"AAAAAFvee+0=")</f>
        <v>#VALUE!</v>
      </c>
      <c r="IE118" t="e">
        <f>AND('UP133'!P81,"AAAAAFvee+4=")</f>
        <v>#VALUE!</v>
      </c>
      <c r="IF118" t="e">
        <f>AND('UP133'!Q81,"AAAAAFvee+8=")</f>
        <v>#VALUE!</v>
      </c>
      <c r="IG118" t="e">
        <f>AND('UP133'!R81,"AAAAAFvee/A=")</f>
        <v>#VALUE!</v>
      </c>
      <c r="IH118" t="e">
        <f>AND('UP133'!S81,"AAAAAFvee/E=")</f>
        <v>#VALUE!</v>
      </c>
      <c r="II118" t="e">
        <f>AND('UP133'!T81,"AAAAAFvee/I=")</f>
        <v>#VALUE!</v>
      </c>
      <c r="IJ118" t="e">
        <f>AND('UP133'!U81,"AAAAAFvee/M=")</f>
        <v>#VALUE!</v>
      </c>
      <c r="IK118" t="e">
        <f>AND('UP133'!V81,"AAAAAFvee/Q=")</f>
        <v>#VALUE!</v>
      </c>
      <c r="IL118" t="e">
        <f>AND('UP133'!W81,"AAAAAFvee/U=")</f>
        <v>#VALUE!</v>
      </c>
      <c r="IM118" t="e">
        <f>AND('UP133'!X81,"AAAAAFvee/Y=")</f>
        <v>#VALUE!</v>
      </c>
      <c r="IN118" t="e">
        <f>AND('UP133'!Y81,"AAAAAFvee/c=")</f>
        <v>#VALUE!</v>
      </c>
      <c r="IO118" t="e">
        <f>AND('UP133'!Z81,"AAAAAFvee/g=")</f>
        <v>#VALUE!</v>
      </c>
      <c r="IP118" t="e">
        <f>AND('UP133'!AA81,"AAAAAFvee/k=")</f>
        <v>#VALUE!</v>
      </c>
      <c r="IQ118" t="e">
        <f>AND('UP133'!AB81,"AAAAAFvee/o=")</f>
        <v>#VALUE!</v>
      </c>
      <c r="IR118" t="e">
        <f>AND('UP133'!AC81,"AAAAAFvee/s=")</f>
        <v>#VALUE!</v>
      </c>
      <c r="IS118" t="e">
        <f>AND('UP133'!AD81,"AAAAAFvee/w=")</f>
        <v>#VALUE!</v>
      </c>
      <c r="IT118" t="e">
        <f>AND('UP133'!AE81,"AAAAAFvee/0=")</f>
        <v>#VALUE!</v>
      </c>
      <c r="IU118" t="e">
        <f>AND('UP133'!AF81,"AAAAAFvee/4=")</f>
        <v>#VALUE!</v>
      </c>
      <c r="IV118" t="e">
        <f>AND('UP133'!AG81,"AAAAAFvee/8=")</f>
        <v>#VALUE!</v>
      </c>
    </row>
    <row r="119" spans="1:256">
      <c r="A119" t="e">
        <f>AND('UP133'!AH81,"AAAAAH3t2AA=")</f>
        <v>#VALUE!</v>
      </c>
      <c r="B119" t="e">
        <f>AND('UP133'!AI81,"AAAAAH3t2AE=")</f>
        <v>#VALUE!</v>
      </c>
      <c r="C119" t="e">
        <f>AND('UP133'!AJ81,"AAAAAH3t2AI=")</f>
        <v>#VALUE!</v>
      </c>
      <c r="D119" t="e">
        <f>AND('UP133'!AK81,"AAAAAH3t2AM=")</f>
        <v>#VALUE!</v>
      </c>
      <c r="E119" t="e">
        <f>AND('UP133'!AL81,"AAAAAH3t2AQ=")</f>
        <v>#VALUE!</v>
      </c>
      <c r="F119" t="e">
        <f>AND('UP133'!AM81,"AAAAAH3t2AU=")</f>
        <v>#VALUE!</v>
      </c>
      <c r="G119" t="e">
        <f>AND('UP133'!AN81,"AAAAAH3t2AY=")</f>
        <v>#VALUE!</v>
      </c>
      <c r="H119" t="e">
        <f>AND('UP133'!AO81,"AAAAAH3t2Ac=")</f>
        <v>#VALUE!</v>
      </c>
      <c r="I119" t="e">
        <f>AND('UP133'!AP81,"AAAAAH3t2Ag=")</f>
        <v>#VALUE!</v>
      </c>
      <c r="J119" t="e">
        <f>AND('UP133'!AQ81,"AAAAAH3t2Ak=")</f>
        <v>#VALUE!</v>
      </c>
      <c r="K119" t="e">
        <f>AND('UP133'!AR81,"AAAAAH3t2Ao=")</f>
        <v>#VALUE!</v>
      </c>
      <c r="L119" t="e">
        <f>AND('UP133'!AS81,"AAAAAH3t2As=")</f>
        <v>#VALUE!</v>
      </c>
      <c r="M119" t="e">
        <f>AND('UP133'!AT81,"AAAAAH3t2Aw=")</f>
        <v>#VALUE!</v>
      </c>
      <c r="N119" t="e">
        <f>AND('UP133'!AU81,"AAAAAH3t2A0=")</f>
        <v>#VALUE!</v>
      </c>
      <c r="O119" t="e">
        <f>AND('UP133'!AV81,"AAAAAH3t2A4=")</f>
        <v>#VALUE!</v>
      </c>
      <c r="P119" t="e">
        <f>AND('UP133'!AW81,"AAAAAH3t2A8=")</f>
        <v>#VALUE!</v>
      </c>
      <c r="Q119" t="e">
        <f>AND('UP133'!AX81,"AAAAAH3t2BA=")</f>
        <v>#VALUE!</v>
      </c>
      <c r="R119" t="e">
        <f>AND('UP133'!AY81,"AAAAAH3t2BE=")</f>
        <v>#VALUE!</v>
      </c>
      <c r="S119" t="e">
        <f>AND('UP133'!AZ81,"AAAAAH3t2BI=")</f>
        <v>#VALUE!</v>
      </c>
      <c r="T119" t="e">
        <f>AND('UP133'!BA81,"AAAAAH3t2BM=")</f>
        <v>#VALUE!</v>
      </c>
      <c r="U119" t="e">
        <f>AND('UP133'!BB81,"AAAAAH3t2BQ=")</f>
        <v>#VALUE!</v>
      </c>
      <c r="V119" t="e">
        <f>AND('UP133'!BC81,"AAAAAH3t2BU=")</f>
        <v>#VALUE!</v>
      </c>
      <c r="W119" t="e">
        <f>AND('UP133'!BD81,"AAAAAH3t2BY=")</f>
        <v>#VALUE!</v>
      </c>
      <c r="X119" t="e">
        <f>AND('UP133'!BE81,"AAAAAH3t2Bc=")</f>
        <v>#VALUE!</v>
      </c>
      <c r="Y119" t="e">
        <f>AND('UP133'!BF81,"AAAAAH3t2Bg=")</f>
        <v>#VALUE!</v>
      </c>
      <c r="Z119" t="e">
        <f>AND('UP133'!BG81,"AAAAAH3t2Bk=")</f>
        <v>#VALUE!</v>
      </c>
      <c r="AA119" t="e">
        <f>AND('UP133'!BH81,"AAAAAH3t2Bo=")</f>
        <v>#VALUE!</v>
      </c>
      <c r="AB119" t="e">
        <f>AND('UP133'!BI81,"AAAAAH3t2Bs=")</f>
        <v>#VALUE!</v>
      </c>
      <c r="AC119" t="e">
        <f>AND('UP133'!BJ81,"AAAAAH3t2Bw=")</f>
        <v>#VALUE!</v>
      </c>
      <c r="AD119" t="e">
        <f>AND('UP133'!BK81,"AAAAAH3t2B0=")</f>
        <v>#VALUE!</v>
      </c>
      <c r="AE119" t="e">
        <f>AND('UP133'!BL81,"AAAAAH3t2B4=")</f>
        <v>#VALUE!</v>
      </c>
      <c r="AF119" t="e">
        <f>AND('UP133'!BM81,"AAAAAH3t2B8=")</f>
        <v>#VALUE!</v>
      </c>
      <c r="AG119" t="e">
        <f>AND('UP133'!BN81,"AAAAAH3t2CA=")</f>
        <v>#VALUE!</v>
      </c>
      <c r="AH119" t="e">
        <f>AND('UP133'!BO81,"AAAAAH3t2CE=")</f>
        <v>#VALUE!</v>
      </c>
      <c r="AI119" t="e">
        <f>AND('UP133'!BP81,"AAAAAH3t2CI=")</f>
        <v>#VALUE!</v>
      </c>
      <c r="AJ119" t="e">
        <f>AND('UP133'!BQ81,"AAAAAH3t2CM=")</f>
        <v>#VALUE!</v>
      </c>
      <c r="AK119" t="e">
        <f>AND('UP133'!BR81,"AAAAAH3t2CQ=")</f>
        <v>#VALUE!</v>
      </c>
      <c r="AL119" t="e">
        <f>AND('UP133'!BS81,"AAAAAH3t2CU=")</f>
        <v>#VALUE!</v>
      </c>
      <c r="AM119" t="e">
        <f>AND('UP133'!BT81,"AAAAAH3t2CY=")</f>
        <v>#VALUE!</v>
      </c>
      <c r="AN119" t="e">
        <f>AND('UP133'!BU81,"AAAAAH3t2Cc=")</f>
        <v>#VALUE!</v>
      </c>
      <c r="AO119" t="e">
        <f>AND('UP133'!BV81,"AAAAAH3t2Cg=")</f>
        <v>#VALUE!</v>
      </c>
      <c r="AP119" t="e">
        <f>AND('UP133'!BW81,"AAAAAH3t2Ck=")</f>
        <v>#VALUE!</v>
      </c>
      <c r="AQ119" t="e">
        <f>AND('UP133'!BX81,"AAAAAH3t2Co=")</f>
        <v>#VALUE!</v>
      </c>
      <c r="AR119" t="e">
        <f>AND('UP133'!BY81,"AAAAAH3t2Cs=")</f>
        <v>#VALUE!</v>
      </c>
      <c r="AS119" t="e">
        <f>AND('UP133'!BZ81,"AAAAAH3t2Cw=")</f>
        <v>#VALUE!</v>
      </c>
      <c r="AT119" t="e">
        <f>AND('UP133'!CA81,"AAAAAH3t2C0=")</f>
        <v>#VALUE!</v>
      </c>
      <c r="AU119" t="e">
        <f>AND('UP133'!CB81,"AAAAAH3t2C4=")</f>
        <v>#VALUE!</v>
      </c>
      <c r="AV119" t="e">
        <f>AND('UP133'!CC81,"AAAAAH3t2C8=")</f>
        <v>#VALUE!</v>
      </c>
      <c r="AW119" t="e">
        <f>AND('UP133'!CD81,"AAAAAH3t2DA=")</f>
        <v>#VALUE!</v>
      </c>
      <c r="AX119" t="e">
        <f>AND('UP133'!CE81,"AAAAAH3t2DE=")</f>
        <v>#VALUE!</v>
      </c>
      <c r="AY119" t="e">
        <f>AND('UP133'!CF81,"AAAAAH3t2DI=")</f>
        <v>#VALUE!</v>
      </c>
      <c r="AZ119" t="e">
        <f>AND('UP133'!CG81,"AAAAAH3t2DM=")</f>
        <v>#VALUE!</v>
      </c>
      <c r="BA119" t="e">
        <f>AND('UP133'!CH81,"AAAAAH3t2DQ=")</f>
        <v>#VALUE!</v>
      </c>
      <c r="BB119" t="e">
        <f>AND('UP133'!CI81,"AAAAAH3t2DU=")</f>
        <v>#VALUE!</v>
      </c>
      <c r="BC119" t="e">
        <f>AND('UP133'!CJ81,"AAAAAH3t2DY=")</f>
        <v>#VALUE!</v>
      </c>
      <c r="BD119" t="e">
        <f>AND('UP133'!CK81,"AAAAAH3t2Dc=")</f>
        <v>#VALUE!</v>
      </c>
      <c r="BE119" t="e">
        <f>AND('UP133'!CL81,"AAAAAH3t2Dg=")</f>
        <v>#VALUE!</v>
      </c>
      <c r="BF119" t="e">
        <f>AND('UP133'!CM81,"AAAAAH3t2Dk=")</f>
        <v>#VALUE!</v>
      </c>
      <c r="BG119" t="e">
        <f>AND('UP133'!CN81,"AAAAAH3t2Do=")</f>
        <v>#VALUE!</v>
      </c>
      <c r="BH119" t="e">
        <f>AND('UP133'!CO81,"AAAAAH3t2Ds=")</f>
        <v>#VALUE!</v>
      </c>
      <c r="BI119" t="e">
        <f>AND('UP133'!CP81,"AAAAAH3t2Dw=")</f>
        <v>#VALUE!</v>
      </c>
      <c r="BJ119" t="e">
        <f>AND('UP133'!CQ81,"AAAAAH3t2D0=")</f>
        <v>#VALUE!</v>
      </c>
      <c r="BK119" t="e">
        <f>AND('UP133'!CR81,"AAAAAH3t2D4=")</f>
        <v>#VALUE!</v>
      </c>
      <c r="BL119" t="e">
        <f>AND('UP133'!CS81,"AAAAAH3t2D8=")</f>
        <v>#VALUE!</v>
      </c>
      <c r="BM119" t="e">
        <f>AND('UP133'!CT81,"AAAAAH3t2EA=")</f>
        <v>#VALUE!</v>
      </c>
      <c r="BN119" t="e">
        <f>AND('UP133'!CU81,"AAAAAH3t2EE=")</f>
        <v>#VALUE!</v>
      </c>
      <c r="BO119" t="e">
        <f>AND('UP133'!CV81,"AAAAAH3t2EI=")</f>
        <v>#VALUE!</v>
      </c>
      <c r="BP119" t="e">
        <f>AND('UP133'!CW81,"AAAAAH3t2EM=")</f>
        <v>#VALUE!</v>
      </c>
      <c r="BQ119" t="e">
        <f>AND('UP133'!CX81,"AAAAAH3t2EQ=")</f>
        <v>#VALUE!</v>
      </c>
      <c r="BR119" t="e">
        <f>AND('UP133'!CY81,"AAAAAH3t2EU=")</f>
        <v>#VALUE!</v>
      </c>
      <c r="BS119" t="e">
        <f>AND('UP133'!CZ81,"AAAAAH3t2EY=")</f>
        <v>#VALUE!</v>
      </c>
      <c r="BT119" t="e">
        <f>AND('UP133'!DA81,"AAAAAH3t2Ec=")</f>
        <v>#VALUE!</v>
      </c>
      <c r="BU119" t="e">
        <f>AND('UP133'!DB81,"AAAAAH3t2Eg=")</f>
        <v>#VALUE!</v>
      </c>
      <c r="BV119" t="e">
        <f>AND('UP133'!DC81,"AAAAAH3t2Ek=")</f>
        <v>#VALUE!</v>
      </c>
      <c r="BW119" t="e">
        <f>AND('UP133'!DD81,"AAAAAH3t2Eo=")</f>
        <v>#VALUE!</v>
      </c>
      <c r="BX119" t="e">
        <f>AND('UP133'!DE81,"AAAAAH3t2Es=")</f>
        <v>#VALUE!</v>
      </c>
      <c r="BY119" t="e">
        <f>AND('UP133'!DF81,"AAAAAH3t2Ew=")</f>
        <v>#VALUE!</v>
      </c>
      <c r="BZ119" t="e">
        <f>AND('UP133'!DG81,"AAAAAH3t2E0=")</f>
        <v>#VALUE!</v>
      </c>
      <c r="CA119" t="e">
        <f>AND('UP133'!DH81,"AAAAAH3t2E4=")</f>
        <v>#VALUE!</v>
      </c>
      <c r="CB119" t="e">
        <f>AND('UP133'!DI81,"AAAAAH3t2E8=")</f>
        <v>#VALUE!</v>
      </c>
      <c r="CC119" t="e">
        <f>AND('UP133'!DJ81,"AAAAAH3t2FA=")</f>
        <v>#VALUE!</v>
      </c>
      <c r="CD119" t="e">
        <f>AND('UP133'!DK81,"AAAAAH3t2FE=")</f>
        <v>#VALUE!</v>
      </c>
      <c r="CE119" t="e">
        <f>AND('UP133'!DL81,"AAAAAH3t2FI=")</f>
        <v>#VALUE!</v>
      </c>
      <c r="CF119" t="e">
        <f>AND('UP133'!DM81,"AAAAAH3t2FM=")</f>
        <v>#VALUE!</v>
      </c>
      <c r="CG119" t="e">
        <f>AND('UP133'!DN81,"AAAAAH3t2FQ=")</f>
        <v>#VALUE!</v>
      </c>
      <c r="CH119" t="e">
        <f>AND('UP133'!DO81,"AAAAAH3t2FU=")</f>
        <v>#VALUE!</v>
      </c>
      <c r="CI119" t="e">
        <f>AND('UP133'!DP81,"AAAAAH3t2FY=")</f>
        <v>#VALUE!</v>
      </c>
      <c r="CJ119" t="e">
        <f>AND('UP133'!DQ81,"AAAAAH3t2Fc=")</f>
        <v>#VALUE!</v>
      </c>
      <c r="CK119" t="e">
        <f>AND('UP133'!DR81,"AAAAAH3t2Fg=")</f>
        <v>#VALUE!</v>
      </c>
      <c r="CL119" t="e">
        <f>AND('UP133'!DS81,"AAAAAH3t2Fk=")</f>
        <v>#VALUE!</v>
      </c>
      <c r="CM119" t="e">
        <f>AND('UP133'!DT81,"AAAAAH3t2Fo=")</f>
        <v>#VALUE!</v>
      </c>
      <c r="CN119" t="e">
        <f>AND('UP133'!DU81,"AAAAAH3t2Fs=")</f>
        <v>#VALUE!</v>
      </c>
      <c r="CO119" t="e">
        <f>AND('UP133'!DV81,"AAAAAH3t2Fw=")</f>
        <v>#VALUE!</v>
      </c>
      <c r="CP119" t="e">
        <f>AND('UP133'!DW81,"AAAAAH3t2F0=")</f>
        <v>#VALUE!</v>
      </c>
      <c r="CQ119" t="e">
        <f>AND('UP133'!DX81,"AAAAAH3t2F4=")</f>
        <v>#VALUE!</v>
      </c>
      <c r="CR119" t="e">
        <f>AND('UP133'!DY81,"AAAAAH3t2F8=")</f>
        <v>#VALUE!</v>
      </c>
      <c r="CS119" t="e">
        <f>AND('UP133'!DZ81,"AAAAAH3t2GA=")</f>
        <v>#VALUE!</v>
      </c>
      <c r="CT119" t="e">
        <f>AND('UP133'!EA81,"AAAAAH3t2GE=")</f>
        <v>#VALUE!</v>
      </c>
      <c r="CU119" t="e">
        <f>AND('UP133'!EB81,"AAAAAH3t2GI=")</f>
        <v>#VALUE!</v>
      </c>
      <c r="CV119" t="e">
        <f>AND('UP133'!EC81,"AAAAAH3t2GM=")</f>
        <v>#VALUE!</v>
      </c>
      <c r="CW119" t="e">
        <f>AND('UP133'!ED81,"AAAAAH3t2GQ=")</f>
        <v>#VALUE!</v>
      </c>
      <c r="CX119" t="e">
        <f>AND('UP133'!EE81,"AAAAAH3t2GU=")</f>
        <v>#VALUE!</v>
      </c>
      <c r="CY119" t="e">
        <f>AND('UP133'!EF81,"AAAAAH3t2GY=")</f>
        <v>#VALUE!</v>
      </c>
      <c r="CZ119" t="e">
        <f>AND('UP133'!EG81,"AAAAAH3t2Gc=")</f>
        <v>#VALUE!</v>
      </c>
      <c r="DA119" t="e">
        <f>AND('UP133'!EH81,"AAAAAH3t2Gg=")</f>
        <v>#VALUE!</v>
      </c>
      <c r="DB119" t="e">
        <f>AND('UP133'!EI81,"AAAAAH3t2Gk=")</f>
        <v>#VALUE!</v>
      </c>
      <c r="DC119" t="e">
        <f>AND('UP133'!EJ81,"AAAAAH3t2Go=")</f>
        <v>#VALUE!</v>
      </c>
      <c r="DD119" t="e">
        <f>AND('UP133'!EK81,"AAAAAH3t2Gs=")</f>
        <v>#VALUE!</v>
      </c>
      <c r="DE119" t="e">
        <f>AND('UP133'!EL81,"AAAAAH3t2Gw=")</f>
        <v>#VALUE!</v>
      </c>
      <c r="DF119" t="e">
        <f>AND('UP133'!EM81,"AAAAAH3t2G0=")</f>
        <v>#VALUE!</v>
      </c>
      <c r="DG119" t="e">
        <f>AND('UP133'!EN81,"AAAAAH3t2G4=")</f>
        <v>#VALUE!</v>
      </c>
      <c r="DH119" t="e">
        <f>AND('UP133'!EO81,"AAAAAH3t2G8=")</f>
        <v>#VALUE!</v>
      </c>
      <c r="DI119" t="e">
        <f>AND('UP133'!EP81,"AAAAAH3t2HA=")</f>
        <v>#VALUE!</v>
      </c>
      <c r="DJ119" t="e">
        <f>AND('UP133'!EQ81,"AAAAAH3t2HE=")</f>
        <v>#VALUE!</v>
      </c>
      <c r="DK119" t="e">
        <f>AND('UP133'!ER81,"AAAAAH3t2HI=")</f>
        <v>#VALUE!</v>
      </c>
      <c r="DL119" t="e">
        <f>AND('UP133'!ES81,"AAAAAH3t2HM=")</f>
        <v>#VALUE!</v>
      </c>
      <c r="DM119" t="e">
        <f>AND('UP133'!ET81,"AAAAAH3t2HQ=")</f>
        <v>#VALUE!</v>
      </c>
      <c r="DN119" t="e">
        <f>AND('UP133'!EU81,"AAAAAH3t2HU=")</f>
        <v>#VALUE!</v>
      </c>
      <c r="DO119" t="e">
        <f>AND('UP133'!EV81,"AAAAAH3t2HY=")</f>
        <v>#VALUE!</v>
      </c>
      <c r="DP119" t="e">
        <f>AND('UP133'!EW81,"AAAAAH3t2Hc=")</f>
        <v>#VALUE!</v>
      </c>
      <c r="DQ119" t="e">
        <f>AND('UP133'!EX81,"AAAAAH3t2Hg=")</f>
        <v>#VALUE!</v>
      </c>
      <c r="DR119" t="e">
        <f>AND('UP133'!EY81,"AAAAAH3t2Hk=")</f>
        <v>#VALUE!</v>
      </c>
      <c r="DS119" t="e">
        <f>AND('UP133'!EZ81,"AAAAAH3t2Ho=")</f>
        <v>#VALUE!</v>
      </c>
      <c r="DT119" t="e">
        <f>AND('UP133'!FA81,"AAAAAH3t2Hs=")</f>
        <v>#VALUE!</v>
      </c>
      <c r="DU119" t="e">
        <f>AND('UP133'!FB81,"AAAAAH3t2Hw=")</f>
        <v>#VALUE!</v>
      </c>
      <c r="DV119" t="e">
        <f>AND('UP133'!FC81,"AAAAAH3t2H0=")</f>
        <v>#VALUE!</v>
      </c>
      <c r="DW119" t="e">
        <f>AND('UP133'!FD81,"AAAAAH3t2H4=")</f>
        <v>#VALUE!</v>
      </c>
      <c r="DX119" t="e">
        <f>AND('UP133'!FE81,"AAAAAH3t2H8=")</f>
        <v>#VALUE!</v>
      </c>
      <c r="DY119" t="e">
        <f>AND('UP133'!FF81,"AAAAAH3t2IA=")</f>
        <v>#VALUE!</v>
      </c>
      <c r="DZ119" t="e">
        <f>AND('UP133'!FG81,"AAAAAH3t2IE=")</f>
        <v>#VALUE!</v>
      </c>
      <c r="EA119" t="e">
        <f>AND('UP133'!FH81,"AAAAAH3t2II=")</f>
        <v>#VALUE!</v>
      </c>
      <c r="EB119" t="e">
        <f>AND('UP133'!FI81,"AAAAAH3t2IM=")</f>
        <v>#VALUE!</v>
      </c>
      <c r="EC119" t="e">
        <f>AND('UP133'!FJ81,"AAAAAH3t2IQ=")</f>
        <v>#VALUE!</v>
      </c>
      <c r="ED119" t="e">
        <f>AND('UP133'!FK81,"AAAAAH3t2IU=")</f>
        <v>#VALUE!</v>
      </c>
      <c r="EE119" t="e">
        <f>AND('UP133'!FL81,"AAAAAH3t2IY=")</f>
        <v>#VALUE!</v>
      </c>
      <c r="EF119" t="e">
        <f>AND('UP133'!FM81,"AAAAAH3t2Ic=")</f>
        <v>#VALUE!</v>
      </c>
      <c r="EG119" t="e">
        <f>AND('UP133'!FN81,"AAAAAH3t2Ig=")</f>
        <v>#VALUE!</v>
      </c>
      <c r="EH119" t="e">
        <f>AND('UP133'!FO81,"AAAAAH3t2Ik=")</f>
        <v>#VALUE!</v>
      </c>
      <c r="EI119" t="e">
        <f>AND('UP133'!FP81,"AAAAAH3t2Io=")</f>
        <v>#VALUE!</v>
      </c>
      <c r="EJ119" t="e">
        <f>AND('UP133'!FQ81,"AAAAAH3t2Is=")</f>
        <v>#VALUE!</v>
      </c>
      <c r="EK119" t="e">
        <f>AND('UP133'!FR81,"AAAAAH3t2Iw=")</f>
        <v>#VALUE!</v>
      </c>
      <c r="EL119" t="e">
        <f>AND('UP133'!FS81,"AAAAAH3t2I0=")</f>
        <v>#VALUE!</v>
      </c>
      <c r="EM119" t="e">
        <f>AND('UP133'!FT81,"AAAAAH3t2I4=")</f>
        <v>#VALUE!</v>
      </c>
      <c r="EN119" t="e">
        <f>AND('UP133'!FU81,"AAAAAH3t2I8=")</f>
        <v>#VALUE!</v>
      </c>
      <c r="EO119" t="e">
        <f>AND('UP133'!FV81,"AAAAAH3t2JA=")</f>
        <v>#VALUE!</v>
      </c>
      <c r="EP119" t="e">
        <f>AND('UP133'!FW81,"AAAAAH3t2JE=")</f>
        <v>#VALUE!</v>
      </c>
      <c r="EQ119" t="e">
        <f>AND('UP133'!FX81,"AAAAAH3t2JI=")</f>
        <v>#VALUE!</v>
      </c>
      <c r="ER119" t="e">
        <f>AND('UP133'!FY81,"AAAAAH3t2JM=")</f>
        <v>#VALUE!</v>
      </c>
      <c r="ES119" t="e">
        <f>AND('UP133'!FZ81,"AAAAAH3t2JQ=")</f>
        <v>#VALUE!</v>
      </c>
      <c r="ET119" t="e">
        <f>AND('UP133'!GA81,"AAAAAH3t2JU=")</f>
        <v>#VALUE!</v>
      </c>
      <c r="EU119" t="e">
        <f>AND('UP133'!GB81,"AAAAAH3t2JY=")</f>
        <v>#VALUE!</v>
      </c>
      <c r="EV119" t="e">
        <f>AND('UP133'!GC81,"AAAAAH3t2Jc=")</f>
        <v>#VALUE!</v>
      </c>
      <c r="EW119" t="e">
        <f>AND('UP133'!GD81,"AAAAAH3t2Jg=")</f>
        <v>#VALUE!</v>
      </c>
      <c r="EX119" t="e">
        <f>AND('UP133'!GE81,"AAAAAH3t2Jk=")</f>
        <v>#VALUE!</v>
      </c>
      <c r="EY119" t="e">
        <f>AND('UP133'!GF81,"AAAAAH3t2Jo=")</f>
        <v>#VALUE!</v>
      </c>
      <c r="EZ119" t="e">
        <f>AND('UP133'!GG81,"AAAAAH3t2Js=")</f>
        <v>#VALUE!</v>
      </c>
      <c r="FA119" t="e">
        <f>AND('UP133'!GH81,"AAAAAH3t2Jw=")</f>
        <v>#VALUE!</v>
      </c>
      <c r="FB119" t="e">
        <f>AND('UP133'!GI81,"AAAAAH3t2J0=")</f>
        <v>#VALUE!</v>
      </c>
      <c r="FC119" t="e">
        <f>AND('UP133'!GJ81,"AAAAAH3t2J4=")</f>
        <v>#VALUE!</v>
      </c>
      <c r="FD119" t="e">
        <f>AND('UP133'!GK81,"AAAAAH3t2J8=")</f>
        <v>#VALUE!</v>
      </c>
      <c r="FE119" t="e">
        <f>AND('UP133'!GL81,"AAAAAH3t2KA=")</f>
        <v>#VALUE!</v>
      </c>
      <c r="FF119" t="e">
        <f>AND('UP133'!GM81,"AAAAAH3t2KE=")</f>
        <v>#VALUE!</v>
      </c>
      <c r="FG119" t="e">
        <f>AND('UP133'!GN81,"AAAAAH3t2KI=")</f>
        <v>#VALUE!</v>
      </c>
      <c r="FH119" t="e">
        <f>AND('UP133'!GO81,"AAAAAH3t2KM=")</f>
        <v>#VALUE!</v>
      </c>
      <c r="FI119" t="e">
        <f>AND('UP133'!GP81,"AAAAAH3t2KQ=")</f>
        <v>#VALUE!</v>
      </c>
      <c r="FJ119" t="e">
        <f>AND('UP133'!GQ81,"AAAAAH3t2KU=")</f>
        <v>#VALUE!</v>
      </c>
      <c r="FK119" t="e">
        <f>AND('UP133'!GR81,"AAAAAH3t2KY=")</f>
        <v>#VALUE!</v>
      </c>
      <c r="FL119" t="e">
        <f>AND('UP133'!GS81,"AAAAAH3t2Kc=")</f>
        <v>#VALUE!</v>
      </c>
      <c r="FM119" t="e">
        <f>AND('UP133'!GT81,"AAAAAH3t2Kg=")</f>
        <v>#VALUE!</v>
      </c>
      <c r="FN119" t="e">
        <f>AND('UP133'!GU81,"AAAAAH3t2Kk=")</f>
        <v>#VALUE!</v>
      </c>
      <c r="FO119" t="e">
        <f>AND('UP133'!GV81,"AAAAAH3t2Ko=")</f>
        <v>#VALUE!</v>
      </c>
      <c r="FP119" t="e">
        <f>AND('UP133'!GW81,"AAAAAH3t2Ks=")</f>
        <v>#VALUE!</v>
      </c>
      <c r="FQ119" t="e">
        <f>AND('UP133'!GX81,"AAAAAH3t2Kw=")</f>
        <v>#VALUE!</v>
      </c>
      <c r="FR119" t="e">
        <f>AND('UP133'!GY81,"AAAAAH3t2K0=")</f>
        <v>#VALUE!</v>
      </c>
      <c r="FS119" t="e">
        <f>AND('UP133'!GZ81,"AAAAAH3t2K4=")</f>
        <v>#VALUE!</v>
      </c>
      <c r="FT119" t="e">
        <f>AND('UP133'!HA81,"AAAAAH3t2K8=")</f>
        <v>#VALUE!</v>
      </c>
      <c r="FU119" t="e">
        <f>AND('UP133'!HB81,"AAAAAH3t2LA=")</f>
        <v>#VALUE!</v>
      </c>
      <c r="FV119" t="e">
        <f>AND('UP133'!HC81,"AAAAAH3t2LE=")</f>
        <v>#VALUE!</v>
      </c>
      <c r="FW119" t="e">
        <f>AND('UP133'!HD81,"AAAAAH3t2LI=")</f>
        <v>#VALUE!</v>
      </c>
      <c r="FX119" t="e">
        <f>AND('UP133'!HE81,"AAAAAH3t2LM=")</f>
        <v>#VALUE!</v>
      </c>
      <c r="FY119" t="e">
        <f>AND('UP133'!HF81,"AAAAAH3t2LQ=")</f>
        <v>#VALUE!</v>
      </c>
      <c r="FZ119" t="e">
        <f>AND('UP133'!HG81,"AAAAAH3t2LU=")</f>
        <v>#VALUE!</v>
      </c>
      <c r="GA119" t="e">
        <f>AND('UP133'!HH81,"AAAAAH3t2LY=")</f>
        <v>#VALUE!</v>
      </c>
      <c r="GB119" t="e">
        <f>AND('UP133'!HI81,"AAAAAH3t2Lc=")</f>
        <v>#VALUE!</v>
      </c>
      <c r="GC119" t="e">
        <f>AND('UP133'!HJ81,"AAAAAH3t2Lg=")</f>
        <v>#VALUE!</v>
      </c>
      <c r="GD119" t="e">
        <f>AND('UP133'!HK81,"AAAAAH3t2Lk=")</f>
        <v>#VALUE!</v>
      </c>
      <c r="GE119" t="e">
        <f>AND('UP133'!HL81,"AAAAAH3t2Lo=")</f>
        <v>#VALUE!</v>
      </c>
      <c r="GF119" t="e">
        <f>AND('UP133'!HM81,"AAAAAH3t2Ls=")</f>
        <v>#VALUE!</v>
      </c>
      <c r="GG119" t="e">
        <f>AND('UP133'!HN81,"AAAAAH3t2Lw=")</f>
        <v>#VALUE!</v>
      </c>
      <c r="GH119" t="e">
        <f>AND('UP133'!HO81,"AAAAAH3t2L0=")</f>
        <v>#VALUE!</v>
      </c>
      <c r="GI119" t="e">
        <f>AND('UP133'!HP81,"AAAAAH3t2L4=")</f>
        <v>#VALUE!</v>
      </c>
      <c r="GJ119" t="e">
        <f>AND('UP133'!HQ81,"AAAAAH3t2L8=")</f>
        <v>#VALUE!</v>
      </c>
      <c r="GK119" t="e">
        <f>AND('UP133'!HR81,"AAAAAH3t2MA=")</f>
        <v>#VALUE!</v>
      </c>
      <c r="GL119" t="e">
        <f>AND('UP133'!HS81,"AAAAAH3t2ME=")</f>
        <v>#VALUE!</v>
      </c>
      <c r="GM119" t="e">
        <f>AND('UP133'!HT81,"AAAAAH3t2MI=")</f>
        <v>#VALUE!</v>
      </c>
      <c r="GN119" t="e">
        <f>AND('UP133'!HU81,"AAAAAH3t2MM=")</f>
        <v>#VALUE!</v>
      </c>
      <c r="GO119" t="e">
        <f>AND('UP133'!HV81,"AAAAAH3t2MQ=")</f>
        <v>#VALUE!</v>
      </c>
      <c r="GP119" t="e">
        <f>AND('UP133'!HW81,"AAAAAH3t2MU=")</f>
        <v>#VALUE!</v>
      </c>
      <c r="GQ119" t="e">
        <f>AND('UP133'!HX81,"AAAAAH3t2MY=")</f>
        <v>#VALUE!</v>
      </c>
      <c r="GR119" t="e">
        <f>AND('UP133'!HY81,"AAAAAH3t2Mc=")</f>
        <v>#VALUE!</v>
      </c>
      <c r="GS119" t="e">
        <f>AND('UP133'!HZ81,"AAAAAH3t2Mg=")</f>
        <v>#VALUE!</v>
      </c>
      <c r="GT119" t="e">
        <f>AND('UP133'!IA81,"AAAAAH3t2Mk=")</f>
        <v>#VALUE!</v>
      </c>
      <c r="GU119" t="e">
        <f>AND('UP133'!IB81,"AAAAAH3t2Mo=")</f>
        <v>#VALUE!</v>
      </c>
      <c r="GV119" t="e">
        <f>AND('UP133'!IC81,"AAAAAH3t2Ms=")</f>
        <v>#VALUE!</v>
      </c>
      <c r="GW119" t="e">
        <f>AND('UP133'!ID81,"AAAAAH3t2Mw=")</f>
        <v>#VALUE!</v>
      </c>
      <c r="GX119" t="e">
        <f>AND('UP133'!IE81,"AAAAAH3t2M0=")</f>
        <v>#VALUE!</v>
      </c>
      <c r="GY119" t="e">
        <f>AND('UP133'!IF81,"AAAAAH3t2M4=")</f>
        <v>#VALUE!</v>
      </c>
      <c r="GZ119" t="e">
        <f>AND('UP133'!IG81,"AAAAAH3t2M8=")</f>
        <v>#VALUE!</v>
      </c>
      <c r="HA119" t="e">
        <f>AND('UP133'!IH81,"AAAAAH3t2NA=")</f>
        <v>#VALUE!</v>
      </c>
      <c r="HB119" t="e">
        <f>AND('UP133'!II81,"AAAAAH3t2NE=")</f>
        <v>#VALUE!</v>
      </c>
      <c r="HC119" t="e">
        <f>AND('UP133'!IJ81,"AAAAAH3t2NI=")</f>
        <v>#VALUE!</v>
      </c>
      <c r="HD119" t="e">
        <f>AND('UP133'!IK81,"AAAAAH3t2NM=")</f>
        <v>#VALUE!</v>
      </c>
      <c r="HE119" t="e">
        <f>AND('UP133'!IL81,"AAAAAH3t2NQ=")</f>
        <v>#VALUE!</v>
      </c>
      <c r="HF119" t="e">
        <f>AND('UP133'!IM81,"AAAAAH3t2NU=")</f>
        <v>#VALUE!</v>
      </c>
      <c r="HG119" t="e">
        <f>AND('UP133'!IN81,"AAAAAH3t2NY=")</f>
        <v>#VALUE!</v>
      </c>
      <c r="HH119" t="e">
        <f>AND('UP133'!IO81,"AAAAAH3t2Nc=")</f>
        <v>#VALUE!</v>
      </c>
      <c r="HI119" t="e">
        <f>AND('UP133'!IP81,"AAAAAH3t2Ng=")</f>
        <v>#VALUE!</v>
      </c>
      <c r="HJ119" t="e">
        <f>AND('UP133'!IQ81,"AAAAAH3t2Nk=")</f>
        <v>#VALUE!</v>
      </c>
      <c r="HK119">
        <f>IF('UP133'!82:82,"AAAAAH3t2No=",0)</f>
        <v>0</v>
      </c>
      <c r="HL119" t="e">
        <f>AND('UP133'!A82,"AAAAAH3t2Ns=")</f>
        <v>#VALUE!</v>
      </c>
      <c r="HM119" t="e">
        <f>AND('UP133'!B82,"AAAAAH3t2Nw=")</f>
        <v>#VALUE!</v>
      </c>
      <c r="HN119" t="e">
        <f>AND('UP133'!C82,"AAAAAH3t2N0=")</f>
        <v>#VALUE!</v>
      </c>
      <c r="HO119" t="e">
        <f>AND('UP133'!D82,"AAAAAH3t2N4=")</f>
        <v>#VALUE!</v>
      </c>
      <c r="HP119" t="e">
        <f>AND('UP133'!E82,"AAAAAH3t2N8=")</f>
        <v>#VALUE!</v>
      </c>
      <c r="HQ119" t="e">
        <f>AND('UP133'!F82,"AAAAAH3t2OA=")</f>
        <v>#VALUE!</v>
      </c>
      <c r="HR119" t="e">
        <f>AND('UP133'!G82,"AAAAAH3t2OE=")</f>
        <v>#VALUE!</v>
      </c>
      <c r="HS119" t="e">
        <f>AND('UP133'!H82,"AAAAAH3t2OI=")</f>
        <v>#VALUE!</v>
      </c>
      <c r="HT119" t="e">
        <f>AND('UP133'!I82,"AAAAAH3t2OM=")</f>
        <v>#VALUE!</v>
      </c>
      <c r="HU119" t="e">
        <f>AND('UP133'!J82,"AAAAAH3t2OQ=")</f>
        <v>#VALUE!</v>
      </c>
      <c r="HV119" t="e">
        <f>AND('UP133'!K82,"AAAAAH3t2OU=")</f>
        <v>#VALUE!</v>
      </c>
      <c r="HW119" t="e">
        <f>AND('UP133'!L82,"AAAAAH3t2OY=")</f>
        <v>#VALUE!</v>
      </c>
      <c r="HX119" t="e">
        <f>AND('UP133'!M82,"AAAAAH3t2Oc=")</f>
        <v>#VALUE!</v>
      </c>
      <c r="HY119" t="e">
        <f>AND('UP133'!N82,"AAAAAH3t2Og=")</f>
        <v>#VALUE!</v>
      </c>
      <c r="HZ119" t="e">
        <f>AND('UP133'!O82,"AAAAAH3t2Ok=")</f>
        <v>#VALUE!</v>
      </c>
      <c r="IA119" t="e">
        <f>AND('UP133'!P82,"AAAAAH3t2Oo=")</f>
        <v>#VALUE!</v>
      </c>
      <c r="IB119" t="e">
        <f>AND('UP133'!Q82,"AAAAAH3t2Os=")</f>
        <v>#VALUE!</v>
      </c>
      <c r="IC119" t="e">
        <f>AND('UP133'!R82,"AAAAAH3t2Ow=")</f>
        <v>#VALUE!</v>
      </c>
      <c r="ID119" t="e">
        <f>AND('UP133'!S82,"AAAAAH3t2O0=")</f>
        <v>#VALUE!</v>
      </c>
      <c r="IE119" t="e">
        <f>AND('UP133'!T82,"AAAAAH3t2O4=")</f>
        <v>#VALUE!</v>
      </c>
      <c r="IF119" t="e">
        <f>AND('UP133'!U82,"AAAAAH3t2O8=")</f>
        <v>#VALUE!</v>
      </c>
      <c r="IG119" t="e">
        <f>AND('UP133'!V82,"AAAAAH3t2PA=")</f>
        <v>#VALUE!</v>
      </c>
      <c r="IH119" t="e">
        <f>AND('UP133'!W82,"AAAAAH3t2PE=")</f>
        <v>#VALUE!</v>
      </c>
      <c r="II119" t="e">
        <f>AND('UP133'!X82,"AAAAAH3t2PI=")</f>
        <v>#VALUE!</v>
      </c>
      <c r="IJ119" t="e">
        <f>AND('UP133'!Y82,"AAAAAH3t2PM=")</f>
        <v>#VALUE!</v>
      </c>
      <c r="IK119" t="e">
        <f>AND('UP133'!Z82,"AAAAAH3t2PQ=")</f>
        <v>#VALUE!</v>
      </c>
      <c r="IL119" t="e">
        <f>AND('UP133'!AA82,"AAAAAH3t2PU=")</f>
        <v>#VALUE!</v>
      </c>
      <c r="IM119" t="e">
        <f>AND('UP133'!AB82,"AAAAAH3t2PY=")</f>
        <v>#VALUE!</v>
      </c>
      <c r="IN119" t="e">
        <f>AND('UP133'!AC82,"AAAAAH3t2Pc=")</f>
        <v>#VALUE!</v>
      </c>
      <c r="IO119" t="e">
        <f>AND('UP133'!AD82,"AAAAAH3t2Pg=")</f>
        <v>#VALUE!</v>
      </c>
      <c r="IP119" t="e">
        <f>AND('UP133'!AE82,"AAAAAH3t2Pk=")</f>
        <v>#VALUE!</v>
      </c>
      <c r="IQ119" t="e">
        <f>AND('UP133'!AF82,"AAAAAH3t2Po=")</f>
        <v>#VALUE!</v>
      </c>
      <c r="IR119" t="e">
        <f>AND('UP133'!AG82,"AAAAAH3t2Ps=")</f>
        <v>#VALUE!</v>
      </c>
      <c r="IS119" t="e">
        <f>AND('UP133'!AH82,"AAAAAH3t2Pw=")</f>
        <v>#VALUE!</v>
      </c>
      <c r="IT119" t="e">
        <f>AND('UP133'!AI82,"AAAAAH3t2P0=")</f>
        <v>#VALUE!</v>
      </c>
      <c r="IU119" t="e">
        <f>AND('UP133'!AJ82,"AAAAAH3t2P4=")</f>
        <v>#VALUE!</v>
      </c>
      <c r="IV119" t="e">
        <f>AND('UP133'!AK82,"AAAAAH3t2P8=")</f>
        <v>#VALUE!</v>
      </c>
    </row>
    <row r="120" spans="1:256">
      <c r="A120" t="e">
        <f>AND('UP133'!AL82,"AAAAAHf9vwA=")</f>
        <v>#VALUE!</v>
      </c>
      <c r="B120" t="e">
        <f>AND('UP133'!AM82,"AAAAAHf9vwE=")</f>
        <v>#VALUE!</v>
      </c>
      <c r="C120" t="e">
        <f>AND('UP133'!AN82,"AAAAAHf9vwI=")</f>
        <v>#VALUE!</v>
      </c>
      <c r="D120" t="e">
        <f>AND('UP133'!AO82,"AAAAAHf9vwM=")</f>
        <v>#VALUE!</v>
      </c>
      <c r="E120" t="e">
        <f>AND('UP133'!AP82,"AAAAAHf9vwQ=")</f>
        <v>#VALUE!</v>
      </c>
      <c r="F120" t="e">
        <f>AND('UP133'!AQ82,"AAAAAHf9vwU=")</f>
        <v>#VALUE!</v>
      </c>
      <c r="G120" t="e">
        <f>AND('UP133'!AR82,"AAAAAHf9vwY=")</f>
        <v>#VALUE!</v>
      </c>
      <c r="H120" t="e">
        <f>AND('UP133'!AS82,"AAAAAHf9vwc=")</f>
        <v>#VALUE!</v>
      </c>
      <c r="I120" t="e">
        <f>AND('UP133'!AT82,"AAAAAHf9vwg=")</f>
        <v>#VALUE!</v>
      </c>
      <c r="J120" t="e">
        <f>AND('UP133'!AU82,"AAAAAHf9vwk=")</f>
        <v>#VALUE!</v>
      </c>
      <c r="K120" t="e">
        <f>AND('UP133'!AV82,"AAAAAHf9vwo=")</f>
        <v>#VALUE!</v>
      </c>
      <c r="L120" t="e">
        <f>AND('UP133'!AW82,"AAAAAHf9vws=")</f>
        <v>#VALUE!</v>
      </c>
      <c r="M120" t="e">
        <f>AND('UP133'!AX82,"AAAAAHf9vww=")</f>
        <v>#VALUE!</v>
      </c>
      <c r="N120" t="e">
        <f>AND('UP133'!AY82,"AAAAAHf9vw0=")</f>
        <v>#VALUE!</v>
      </c>
      <c r="O120" t="e">
        <f>AND('UP133'!AZ82,"AAAAAHf9vw4=")</f>
        <v>#VALUE!</v>
      </c>
      <c r="P120" t="e">
        <f>AND('UP133'!BA82,"AAAAAHf9vw8=")</f>
        <v>#VALUE!</v>
      </c>
      <c r="Q120" t="e">
        <f>AND('UP133'!BB82,"AAAAAHf9vxA=")</f>
        <v>#VALUE!</v>
      </c>
      <c r="R120" t="e">
        <f>AND('UP133'!BC82,"AAAAAHf9vxE=")</f>
        <v>#VALUE!</v>
      </c>
      <c r="S120" t="e">
        <f>AND('UP133'!BD82,"AAAAAHf9vxI=")</f>
        <v>#VALUE!</v>
      </c>
      <c r="T120" t="e">
        <f>AND('UP133'!BE82,"AAAAAHf9vxM=")</f>
        <v>#VALUE!</v>
      </c>
      <c r="U120" t="e">
        <f>AND('UP133'!BF82,"AAAAAHf9vxQ=")</f>
        <v>#VALUE!</v>
      </c>
      <c r="V120" t="e">
        <f>AND('UP133'!BG82,"AAAAAHf9vxU=")</f>
        <v>#VALUE!</v>
      </c>
      <c r="W120" t="e">
        <f>AND('UP133'!BH82,"AAAAAHf9vxY=")</f>
        <v>#VALUE!</v>
      </c>
      <c r="X120" t="e">
        <f>AND('UP133'!BI82,"AAAAAHf9vxc=")</f>
        <v>#VALUE!</v>
      </c>
      <c r="Y120" t="e">
        <f>AND('UP133'!BJ82,"AAAAAHf9vxg=")</f>
        <v>#VALUE!</v>
      </c>
      <c r="Z120" t="e">
        <f>AND('UP133'!BK82,"AAAAAHf9vxk=")</f>
        <v>#VALUE!</v>
      </c>
      <c r="AA120" t="e">
        <f>AND('UP133'!BL82,"AAAAAHf9vxo=")</f>
        <v>#VALUE!</v>
      </c>
      <c r="AB120" t="e">
        <f>AND('UP133'!BM82,"AAAAAHf9vxs=")</f>
        <v>#VALUE!</v>
      </c>
      <c r="AC120" t="e">
        <f>AND('UP133'!BN82,"AAAAAHf9vxw=")</f>
        <v>#VALUE!</v>
      </c>
      <c r="AD120" t="e">
        <f>AND('UP133'!BO82,"AAAAAHf9vx0=")</f>
        <v>#VALUE!</v>
      </c>
      <c r="AE120" t="e">
        <f>AND('UP133'!BP82,"AAAAAHf9vx4=")</f>
        <v>#VALUE!</v>
      </c>
      <c r="AF120" t="e">
        <f>AND('UP133'!BQ82,"AAAAAHf9vx8=")</f>
        <v>#VALUE!</v>
      </c>
      <c r="AG120" t="e">
        <f>AND('UP133'!BR82,"AAAAAHf9vyA=")</f>
        <v>#VALUE!</v>
      </c>
      <c r="AH120" t="e">
        <f>AND('UP133'!BS82,"AAAAAHf9vyE=")</f>
        <v>#VALUE!</v>
      </c>
      <c r="AI120" t="e">
        <f>AND('UP133'!BT82,"AAAAAHf9vyI=")</f>
        <v>#VALUE!</v>
      </c>
      <c r="AJ120" t="e">
        <f>AND('UP133'!BU82,"AAAAAHf9vyM=")</f>
        <v>#VALUE!</v>
      </c>
      <c r="AK120" t="e">
        <f>AND('UP133'!BV82,"AAAAAHf9vyQ=")</f>
        <v>#VALUE!</v>
      </c>
      <c r="AL120" t="e">
        <f>AND('UP133'!BW82,"AAAAAHf9vyU=")</f>
        <v>#VALUE!</v>
      </c>
      <c r="AM120" t="e">
        <f>AND('UP133'!BX82,"AAAAAHf9vyY=")</f>
        <v>#VALUE!</v>
      </c>
      <c r="AN120" t="e">
        <f>AND('UP133'!BY82,"AAAAAHf9vyc=")</f>
        <v>#VALUE!</v>
      </c>
      <c r="AO120" t="e">
        <f>AND('UP133'!BZ82,"AAAAAHf9vyg=")</f>
        <v>#VALUE!</v>
      </c>
      <c r="AP120" t="e">
        <f>AND('UP133'!CA82,"AAAAAHf9vyk=")</f>
        <v>#VALUE!</v>
      </c>
      <c r="AQ120" t="e">
        <f>AND('UP133'!CB82,"AAAAAHf9vyo=")</f>
        <v>#VALUE!</v>
      </c>
      <c r="AR120" t="e">
        <f>AND('UP133'!CC82,"AAAAAHf9vys=")</f>
        <v>#VALUE!</v>
      </c>
      <c r="AS120" t="e">
        <f>AND('UP133'!CD82,"AAAAAHf9vyw=")</f>
        <v>#VALUE!</v>
      </c>
      <c r="AT120" t="e">
        <f>AND('UP133'!CE82,"AAAAAHf9vy0=")</f>
        <v>#VALUE!</v>
      </c>
      <c r="AU120" t="e">
        <f>AND('UP133'!CF82,"AAAAAHf9vy4=")</f>
        <v>#VALUE!</v>
      </c>
      <c r="AV120" t="e">
        <f>AND('UP133'!CG82,"AAAAAHf9vy8=")</f>
        <v>#VALUE!</v>
      </c>
      <c r="AW120" t="e">
        <f>AND('UP133'!CH82,"AAAAAHf9vzA=")</f>
        <v>#VALUE!</v>
      </c>
      <c r="AX120" t="e">
        <f>AND('UP133'!CI82,"AAAAAHf9vzE=")</f>
        <v>#VALUE!</v>
      </c>
      <c r="AY120" t="e">
        <f>AND('UP133'!CJ82,"AAAAAHf9vzI=")</f>
        <v>#VALUE!</v>
      </c>
      <c r="AZ120" t="e">
        <f>AND('UP133'!CK82,"AAAAAHf9vzM=")</f>
        <v>#VALUE!</v>
      </c>
      <c r="BA120" t="e">
        <f>AND('UP133'!CL82,"AAAAAHf9vzQ=")</f>
        <v>#VALUE!</v>
      </c>
      <c r="BB120" t="e">
        <f>AND('UP133'!CM82,"AAAAAHf9vzU=")</f>
        <v>#VALUE!</v>
      </c>
      <c r="BC120" t="e">
        <f>AND('UP133'!CN82,"AAAAAHf9vzY=")</f>
        <v>#VALUE!</v>
      </c>
      <c r="BD120" t="e">
        <f>AND('UP133'!CO82,"AAAAAHf9vzc=")</f>
        <v>#VALUE!</v>
      </c>
      <c r="BE120" t="e">
        <f>AND('UP133'!CP82,"AAAAAHf9vzg=")</f>
        <v>#VALUE!</v>
      </c>
      <c r="BF120" t="e">
        <f>AND('UP133'!CQ82,"AAAAAHf9vzk=")</f>
        <v>#VALUE!</v>
      </c>
      <c r="BG120" t="e">
        <f>AND('UP133'!CR82,"AAAAAHf9vzo=")</f>
        <v>#VALUE!</v>
      </c>
      <c r="BH120" t="e">
        <f>AND('UP133'!CS82,"AAAAAHf9vzs=")</f>
        <v>#VALUE!</v>
      </c>
      <c r="BI120" t="e">
        <f>AND('UP133'!CT82,"AAAAAHf9vzw=")</f>
        <v>#VALUE!</v>
      </c>
      <c r="BJ120" t="e">
        <f>AND('UP133'!CU82,"AAAAAHf9vz0=")</f>
        <v>#VALUE!</v>
      </c>
      <c r="BK120" t="e">
        <f>AND('UP133'!CV82,"AAAAAHf9vz4=")</f>
        <v>#VALUE!</v>
      </c>
      <c r="BL120" t="e">
        <f>AND('UP133'!CW82,"AAAAAHf9vz8=")</f>
        <v>#VALUE!</v>
      </c>
      <c r="BM120" t="e">
        <f>AND('UP133'!CX82,"AAAAAHf9v0A=")</f>
        <v>#VALUE!</v>
      </c>
      <c r="BN120" t="e">
        <f>AND('UP133'!CY82,"AAAAAHf9v0E=")</f>
        <v>#VALUE!</v>
      </c>
      <c r="BO120" t="e">
        <f>AND('UP133'!CZ82,"AAAAAHf9v0I=")</f>
        <v>#VALUE!</v>
      </c>
      <c r="BP120" t="e">
        <f>AND('UP133'!DA82,"AAAAAHf9v0M=")</f>
        <v>#VALUE!</v>
      </c>
      <c r="BQ120" t="e">
        <f>AND('UP133'!DB82,"AAAAAHf9v0Q=")</f>
        <v>#VALUE!</v>
      </c>
      <c r="BR120" t="e">
        <f>AND('UP133'!DC82,"AAAAAHf9v0U=")</f>
        <v>#VALUE!</v>
      </c>
      <c r="BS120" t="e">
        <f>AND('UP133'!DD82,"AAAAAHf9v0Y=")</f>
        <v>#VALUE!</v>
      </c>
      <c r="BT120" t="e">
        <f>AND('UP133'!DE82,"AAAAAHf9v0c=")</f>
        <v>#VALUE!</v>
      </c>
      <c r="BU120" t="e">
        <f>AND('UP133'!DF82,"AAAAAHf9v0g=")</f>
        <v>#VALUE!</v>
      </c>
      <c r="BV120" t="e">
        <f>AND('UP133'!DG82,"AAAAAHf9v0k=")</f>
        <v>#VALUE!</v>
      </c>
      <c r="BW120" t="e">
        <f>AND('UP133'!DH82,"AAAAAHf9v0o=")</f>
        <v>#VALUE!</v>
      </c>
      <c r="BX120" t="e">
        <f>AND('UP133'!DI82,"AAAAAHf9v0s=")</f>
        <v>#VALUE!</v>
      </c>
      <c r="BY120" t="e">
        <f>AND('UP133'!DJ82,"AAAAAHf9v0w=")</f>
        <v>#VALUE!</v>
      </c>
      <c r="BZ120" t="e">
        <f>AND('UP133'!DK82,"AAAAAHf9v00=")</f>
        <v>#VALUE!</v>
      </c>
      <c r="CA120" t="e">
        <f>AND('UP133'!DL82,"AAAAAHf9v04=")</f>
        <v>#VALUE!</v>
      </c>
      <c r="CB120" t="e">
        <f>AND('UP133'!DM82,"AAAAAHf9v08=")</f>
        <v>#VALUE!</v>
      </c>
      <c r="CC120" t="e">
        <f>AND('UP133'!DN82,"AAAAAHf9v1A=")</f>
        <v>#VALUE!</v>
      </c>
      <c r="CD120" t="e">
        <f>AND('UP133'!DO82,"AAAAAHf9v1E=")</f>
        <v>#VALUE!</v>
      </c>
      <c r="CE120" t="e">
        <f>AND('UP133'!DP82,"AAAAAHf9v1I=")</f>
        <v>#VALUE!</v>
      </c>
      <c r="CF120" t="e">
        <f>AND('UP133'!DQ82,"AAAAAHf9v1M=")</f>
        <v>#VALUE!</v>
      </c>
      <c r="CG120" t="e">
        <f>AND('UP133'!DR82,"AAAAAHf9v1Q=")</f>
        <v>#VALUE!</v>
      </c>
      <c r="CH120" t="e">
        <f>AND('UP133'!DS82,"AAAAAHf9v1U=")</f>
        <v>#VALUE!</v>
      </c>
      <c r="CI120" t="e">
        <f>AND('UP133'!DT82,"AAAAAHf9v1Y=")</f>
        <v>#VALUE!</v>
      </c>
      <c r="CJ120" t="e">
        <f>AND('UP133'!DU82,"AAAAAHf9v1c=")</f>
        <v>#VALUE!</v>
      </c>
      <c r="CK120" t="e">
        <f>AND('UP133'!DV82,"AAAAAHf9v1g=")</f>
        <v>#VALUE!</v>
      </c>
      <c r="CL120" t="e">
        <f>AND('UP133'!DW82,"AAAAAHf9v1k=")</f>
        <v>#VALUE!</v>
      </c>
      <c r="CM120" t="e">
        <f>AND('UP133'!DX82,"AAAAAHf9v1o=")</f>
        <v>#VALUE!</v>
      </c>
      <c r="CN120" t="e">
        <f>AND('UP133'!DY82,"AAAAAHf9v1s=")</f>
        <v>#VALUE!</v>
      </c>
      <c r="CO120" t="e">
        <f>AND('UP133'!DZ82,"AAAAAHf9v1w=")</f>
        <v>#VALUE!</v>
      </c>
      <c r="CP120" t="e">
        <f>AND('UP133'!EA82,"AAAAAHf9v10=")</f>
        <v>#VALUE!</v>
      </c>
      <c r="CQ120" t="e">
        <f>AND('UP133'!EB82,"AAAAAHf9v14=")</f>
        <v>#VALUE!</v>
      </c>
      <c r="CR120" t="e">
        <f>AND('UP133'!EC82,"AAAAAHf9v18=")</f>
        <v>#VALUE!</v>
      </c>
      <c r="CS120" t="e">
        <f>AND('UP133'!ED82,"AAAAAHf9v2A=")</f>
        <v>#VALUE!</v>
      </c>
      <c r="CT120" t="e">
        <f>AND('UP133'!EE82,"AAAAAHf9v2E=")</f>
        <v>#VALUE!</v>
      </c>
      <c r="CU120" t="e">
        <f>AND('UP133'!EF82,"AAAAAHf9v2I=")</f>
        <v>#VALUE!</v>
      </c>
      <c r="CV120" t="e">
        <f>AND('UP133'!EG82,"AAAAAHf9v2M=")</f>
        <v>#VALUE!</v>
      </c>
      <c r="CW120" t="e">
        <f>AND('UP133'!EH82,"AAAAAHf9v2Q=")</f>
        <v>#VALUE!</v>
      </c>
      <c r="CX120" t="e">
        <f>AND('UP133'!EI82,"AAAAAHf9v2U=")</f>
        <v>#VALUE!</v>
      </c>
      <c r="CY120" t="e">
        <f>AND('UP133'!EJ82,"AAAAAHf9v2Y=")</f>
        <v>#VALUE!</v>
      </c>
      <c r="CZ120" t="e">
        <f>AND('UP133'!EK82,"AAAAAHf9v2c=")</f>
        <v>#VALUE!</v>
      </c>
      <c r="DA120" t="e">
        <f>AND('UP133'!EL82,"AAAAAHf9v2g=")</f>
        <v>#VALUE!</v>
      </c>
      <c r="DB120" t="e">
        <f>AND('UP133'!EM82,"AAAAAHf9v2k=")</f>
        <v>#VALUE!</v>
      </c>
      <c r="DC120" t="e">
        <f>AND('UP133'!EN82,"AAAAAHf9v2o=")</f>
        <v>#VALUE!</v>
      </c>
      <c r="DD120" t="e">
        <f>AND('UP133'!EO82,"AAAAAHf9v2s=")</f>
        <v>#VALUE!</v>
      </c>
      <c r="DE120" t="e">
        <f>AND('UP133'!EP82,"AAAAAHf9v2w=")</f>
        <v>#VALUE!</v>
      </c>
      <c r="DF120" t="e">
        <f>AND('UP133'!EQ82,"AAAAAHf9v20=")</f>
        <v>#VALUE!</v>
      </c>
      <c r="DG120" t="e">
        <f>AND('UP133'!ER82,"AAAAAHf9v24=")</f>
        <v>#VALUE!</v>
      </c>
      <c r="DH120" t="e">
        <f>AND('UP133'!ES82,"AAAAAHf9v28=")</f>
        <v>#VALUE!</v>
      </c>
      <c r="DI120" t="e">
        <f>AND('UP133'!ET82,"AAAAAHf9v3A=")</f>
        <v>#VALUE!</v>
      </c>
      <c r="DJ120" t="e">
        <f>AND('UP133'!EU82,"AAAAAHf9v3E=")</f>
        <v>#VALUE!</v>
      </c>
      <c r="DK120" t="e">
        <f>AND('UP133'!EV82,"AAAAAHf9v3I=")</f>
        <v>#VALUE!</v>
      </c>
      <c r="DL120" t="e">
        <f>AND('UP133'!EW82,"AAAAAHf9v3M=")</f>
        <v>#VALUE!</v>
      </c>
      <c r="DM120" t="e">
        <f>AND('UP133'!EX82,"AAAAAHf9v3Q=")</f>
        <v>#VALUE!</v>
      </c>
      <c r="DN120" t="e">
        <f>AND('UP133'!EY82,"AAAAAHf9v3U=")</f>
        <v>#VALUE!</v>
      </c>
      <c r="DO120" t="e">
        <f>AND('UP133'!EZ82,"AAAAAHf9v3Y=")</f>
        <v>#VALUE!</v>
      </c>
      <c r="DP120" t="e">
        <f>AND('UP133'!FA82,"AAAAAHf9v3c=")</f>
        <v>#VALUE!</v>
      </c>
      <c r="DQ120" t="e">
        <f>AND('UP133'!FB82,"AAAAAHf9v3g=")</f>
        <v>#VALUE!</v>
      </c>
      <c r="DR120" t="e">
        <f>AND('UP133'!FC82,"AAAAAHf9v3k=")</f>
        <v>#VALUE!</v>
      </c>
      <c r="DS120" t="e">
        <f>AND('UP133'!FD82,"AAAAAHf9v3o=")</f>
        <v>#VALUE!</v>
      </c>
      <c r="DT120" t="e">
        <f>AND('UP133'!FE82,"AAAAAHf9v3s=")</f>
        <v>#VALUE!</v>
      </c>
      <c r="DU120" t="e">
        <f>AND('UP133'!FF82,"AAAAAHf9v3w=")</f>
        <v>#VALUE!</v>
      </c>
      <c r="DV120" t="e">
        <f>AND('UP133'!FG82,"AAAAAHf9v30=")</f>
        <v>#VALUE!</v>
      </c>
      <c r="DW120" t="e">
        <f>AND('UP133'!FH82,"AAAAAHf9v34=")</f>
        <v>#VALUE!</v>
      </c>
      <c r="DX120" t="e">
        <f>AND('UP133'!FI82,"AAAAAHf9v38=")</f>
        <v>#VALUE!</v>
      </c>
      <c r="DY120" t="e">
        <f>AND('UP133'!FJ82,"AAAAAHf9v4A=")</f>
        <v>#VALUE!</v>
      </c>
      <c r="DZ120" t="e">
        <f>AND('UP133'!FK82,"AAAAAHf9v4E=")</f>
        <v>#VALUE!</v>
      </c>
      <c r="EA120" t="e">
        <f>AND('UP133'!FL82,"AAAAAHf9v4I=")</f>
        <v>#VALUE!</v>
      </c>
      <c r="EB120" t="e">
        <f>AND('UP133'!FM82,"AAAAAHf9v4M=")</f>
        <v>#VALUE!</v>
      </c>
      <c r="EC120" t="e">
        <f>AND('UP133'!FN82,"AAAAAHf9v4Q=")</f>
        <v>#VALUE!</v>
      </c>
      <c r="ED120" t="e">
        <f>AND('UP133'!FO82,"AAAAAHf9v4U=")</f>
        <v>#VALUE!</v>
      </c>
      <c r="EE120" t="e">
        <f>AND('UP133'!FP82,"AAAAAHf9v4Y=")</f>
        <v>#VALUE!</v>
      </c>
      <c r="EF120" t="e">
        <f>AND('UP133'!FQ82,"AAAAAHf9v4c=")</f>
        <v>#VALUE!</v>
      </c>
      <c r="EG120" t="e">
        <f>AND('UP133'!FR82,"AAAAAHf9v4g=")</f>
        <v>#VALUE!</v>
      </c>
      <c r="EH120" t="e">
        <f>AND('UP133'!FS82,"AAAAAHf9v4k=")</f>
        <v>#VALUE!</v>
      </c>
      <c r="EI120" t="e">
        <f>AND('UP133'!FT82,"AAAAAHf9v4o=")</f>
        <v>#VALUE!</v>
      </c>
      <c r="EJ120" t="e">
        <f>AND('UP133'!FU82,"AAAAAHf9v4s=")</f>
        <v>#VALUE!</v>
      </c>
      <c r="EK120" t="e">
        <f>AND('UP133'!FV82,"AAAAAHf9v4w=")</f>
        <v>#VALUE!</v>
      </c>
      <c r="EL120" t="e">
        <f>AND('UP133'!FW82,"AAAAAHf9v40=")</f>
        <v>#VALUE!</v>
      </c>
      <c r="EM120" t="e">
        <f>AND('UP133'!FX82,"AAAAAHf9v44=")</f>
        <v>#VALUE!</v>
      </c>
      <c r="EN120" t="e">
        <f>AND('UP133'!FY82,"AAAAAHf9v48=")</f>
        <v>#VALUE!</v>
      </c>
      <c r="EO120" t="e">
        <f>AND('UP133'!FZ82,"AAAAAHf9v5A=")</f>
        <v>#VALUE!</v>
      </c>
      <c r="EP120" t="e">
        <f>AND('UP133'!GA82,"AAAAAHf9v5E=")</f>
        <v>#VALUE!</v>
      </c>
      <c r="EQ120" t="e">
        <f>AND('UP133'!GB82,"AAAAAHf9v5I=")</f>
        <v>#VALUE!</v>
      </c>
      <c r="ER120" t="e">
        <f>AND('UP133'!GC82,"AAAAAHf9v5M=")</f>
        <v>#VALUE!</v>
      </c>
      <c r="ES120" t="e">
        <f>AND('UP133'!GD82,"AAAAAHf9v5Q=")</f>
        <v>#VALUE!</v>
      </c>
      <c r="ET120" t="e">
        <f>AND('UP133'!GE82,"AAAAAHf9v5U=")</f>
        <v>#VALUE!</v>
      </c>
      <c r="EU120" t="e">
        <f>AND('UP133'!GF82,"AAAAAHf9v5Y=")</f>
        <v>#VALUE!</v>
      </c>
      <c r="EV120" t="e">
        <f>AND('UP133'!GG82,"AAAAAHf9v5c=")</f>
        <v>#VALUE!</v>
      </c>
      <c r="EW120" t="e">
        <f>AND('UP133'!GH82,"AAAAAHf9v5g=")</f>
        <v>#VALUE!</v>
      </c>
      <c r="EX120" t="e">
        <f>AND('UP133'!GI82,"AAAAAHf9v5k=")</f>
        <v>#VALUE!</v>
      </c>
      <c r="EY120" t="e">
        <f>AND('UP133'!GJ82,"AAAAAHf9v5o=")</f>
        <v>#VALUE!</v>
      </c>
      <c r="EZ120" t="e">
        <f>AND('UP133'!GK82,"AAAAAHf9v5s=")</f>
        <v>#VALUE!</v>
      </c>
      <c r="FA120" t="e">
        <f>AND('UP133'!GL82,"AAAAAHf9v5w=")</f>
        <v>#VALUE!</v>
      </c>
      <c r="FB120" t="e">
        <f>AND('UP133'!GM82,"AAAAAHf9v50=")</f>
        <v>#VALUE!</v>
      </c>
      <c r="FC120" t="e">
        <f>AND('UP133'!GN82,"AAAAAHf9v54=")</f>
        <v>#VALUE!</v>
      </c>
      <c r="FD120" t="e">
        <f>AND('UP133'!GO82,"AAAAAHf9v58=")</f>
        <v>#VALUE!</v>
      </c>
      <c r="FE120" t="e">
        <f>AND('UP133'!GP82,"AAAAAHf9v6A=")</f>
        <v>#VALUE!</v>
      </c>
      <c r="FF120" t="e">
        <f>AND('UP133'!GQ82,"AAAAAHf9v6E=")</f>
        <v>#VALUE!</v>
      </c>
      <c r="FG120" t="e">
        <f>AND('UP133'!GR82,"AAAAAHf9v6I=")</f>
        <v>#VALUE!</v>
      </c>
      <c r="FH120" t="e">
        <f>AND('UP133'!GS82,"AAAAAHf9v6M=")</f>
        <v>#VALUE!</v>
      </c>
      <c r="FI120" t="e">
        <f>AND('UP133'!GT82,"AAAAAHf9v6Q=")</f>
        <v>#VALUE!</v>
      </c>
      <c r="FJ120" t="e">
        <f>AND('UP133'!GU82,"AAAAAHf9v6U=")</f>
        <v>#VALUE!</v>
      </c>
      <c r="FK120" t="e">
        <f>AND('UP133'!GV82,"AAAAAHf9v6Y=")</f>
        <v>#VALUE!</v>
      </c>
      <c r="FL120" t="e">
        <f>AND('UP133'!GW82,"AAAAAHf9v6c=")</f>
        <v>#VALUE!</v>
      </c>
      <c r="FM120" t="e">
        <f>AND('UP133'!GX82,"AAAAAHf9v6g=")</f>
        <v>#VALUE!</v>
      </c>
      <c r="FN120" t="e">
        <f>AND('UP133'!GY82,"AAAAAHf9v6k=")</f>
        <v>#VALUE!</v>
      </c>
      <c r="FO120" t="e">
        <f>AND('UP133'!GZ82,"AAAAAHf9v6o=")</f>
        <v>#VALUE!</v>
      </c>
      <c r="FP120" t="e">
        <f>AND('UP133'!HA82,"AAAAAHf9v6s=")</f>
        <v>#VALUE!</v>
      </c>
      <c r="FQ120" t="e">
        <f>AND('UP133'!HB82,"AAAAAHf9v6w=")</f>
        <v>#VALUE!</v>
      </c>
      <c r="FR120" t="e">
        <f>AND('UP133'!HC82,"AAAAAHf9v60=")</f>
        <v>#VALUE!</v>
      </c>
      <c r="FS120" t="e">
        <f>AND('UP133'!HD82,"AAAAAHf9v64=")</f>
        <v>#VALUE!</v>
      </c>
      <c r="FT120" t="e">
        <f>AND('UP133'!HE82,"AAAAAHf9v68=")</f>
        <v>#VALUE!</v>
      </c>
      <c r="FU120" t="e">
        <f>AND('UP133'!HF82,"AAAAAHf9v7A=")</f>
        <v>#VALUE!</v>
      </c>
      <c r="FV120" t="e">
        <f>AND('UP133'!HG82,"AAAAAHf9v7E=")</f>
        <v>#VALUE!</v>
      </c>
      <c r="FW120" t="e">
        <f>AND('UP133'!HH82,"AAAAAHf9v7I=")</f>
        <v>#VALUE!</v>
      </c>
      <c r="FX120" t="e">
        <f>AND('UP133'!HI82,"AAAAAHf9v7M=")</f>
        <v>#VALUE!</v>
      </c>
      <c r="FY120" t="e">
        <f>AND('UP133'!HJ82,"AAAAAHf9v7Q=")</f>
        <v>#VALUE!</v>
      </c>
      <c r="FZ120" t="e">
        <f>AND('UP133'!HK82,"AAAAAHf9v7U=")</f>
        <v>#VALUE!</v>
      </c>
      <c r="GA120" t="e">
        <f>AND('UP133'!HL82,"AAAAAHf9v7Y=")</f>
        <v>#VALUE!</v>
      </c>
      <c r="GB120" t="e">
        <f>AND('UP133'!HM82,"AAAAAHf9v7c=")</f>
        <v>#VALUE!</v>
      </c>
      <c r="GC120" t="e">
        <f>AND('UP133'!HN82,"AAAAAHf9v7g=")</f>
        <v>#VALUE!</v>
      </c>
      <c r="GD120" t="e">
        <f>AND('UP133'!HO82,"AAAAAHf9v7k=")</f>
        <v>#VALUE!</v>
      </c>
      <c r="GE120" t="e">
        <f>AND('UP133'!HP82,"AAAAAHf9v7o=")</f>
        <v>#VALUE!</v>
      </c>
      <c r="GF120" t="e">
        <f>AND('UP133'!HQ82,"AAAAAHf9v7s=")</f>
        <v>#VALUE!</v>
      </c>
      <c r="GG120" t="e">
        <f>AND('UP133'!HR82,"AAAAAHf9v7w=")</f>
        <v>#VALUE!</v>
      </c>
      <c r="GH120" t="e">
        <f>AND('UP133'!HS82,"AAAAAHf9v70=")</f>
        <v>#VALUE!</v>
      </c>
      <c r="GI120" t="e">
        <f>AND('UP133'!HT82,"AAAAAHf9v74=")</f>
        <v>#VALUE!</v>
      </c>
      <c r="GJ120" t="e">
        <f>AND('UP133'!HU82,"AAAAAHf9v78=")</f>
        <v>#VALUE!</v>
      </c>
      <c r="GK120" t="e">
        <f>AND('UP133'!HV82,"AAAAAHf9v8A=")</f>
        <v>#VALUE!</v>
      </c>
      <c r="GL120" t="e">
        <f>AND('UP133'!HW82,"AAAAAHf9v8E=")</f>
        <v>#VALUE!</v>
      </c>
      <c r="GM120" t="e">
        <f>AND('UP133'!HX82,"AAAAAHf9v8I=")</f>
        <v>#VALUE!</v>
      </c>
      <c r="GN120" t="e">
        <f>AND('UP133'!HY82,"AAAAAHf9v8M=")</f>
        <v>#VALUE!</v>
      </c>
      <c r="GO120" t="e">
        <f>AND('UP133'!HZ82,"AAAAAHf9v8Q=")</f>
        <v>#VALUE!</v>
      </c>
      <c r="GP120" t="e">
        <f>AND('UP133'!IA82,"AAAAAHf9v8U=")</f>
        <v>#VALUE!</v>
      </c>
      <c r="GQ120" t="e">
        <f>AND('UP133'!IB82,"AAAAAHf9v8Y=")</f>
        <v>#VALUE!</v>
      </c>
      <c r="GR120" t="e">
        <f>AND('UP133'!IC82,"AAAAAHf9v8c=")</f>
        <v>#VALUE!</v>
      </c>
      <c r="GS120" t="e">
        <f>AND('UP133'!ID82,"AAAAAHf9v8g=")</f>
        <v>#VALUE!</v>
      </c>
      <c r="GT120" t="e">
        <f>AND('UP133'!IE82,"AAAAAHf9v8k=")</f>
        <v>#VALUE!</v>
      </c>
      <c r="GU120" t="e">
        <f>AND('UP133'!IF82,"AAAAAHf9v8o=")</f>
        <v>#VALUE!</v>
      </c>
      <c r="GV120" t="e">
        <f>AND('UP133'!IG82,"AAAAAHf9v8s=")</f>
        <v>#VALUE!</v>
      </c>
      <c r="GW120" t="e">
        <f>AND('UP133'!IH82,"AAAAAHf9v8w=")</f>
        <v>#VALUE!</v>
      </c>
      <c r="GX120" t="e">
        <f>AND('UP133'!II82,"AAAAAHf9v80=")</f>
        <v>#VALUE!</v>
      </c>
      <c r="GY120" t="e">
        <f>AND('UP133'!IJ82,"AAAAAHf9v84=")</f>
        <v>#VALUE!</v>
      </c>
      <c r="GZ120" t="e">
        <f>AND('UP133'!IK82,"AAAAAHf9v88=")</f>
        <v>#VALUE!</v>
      </c>
      <c r="HA120" t="e">
        <f>AND('UP133'!IL82,"AAAAAHf9v9A=")</f>
        <v>#VALUE!</v>
      </c>
      <c r="HB120" t="e">
        <f>AND('UP133'!IM82,"AAAAAHf9v9E=")</f>
        <v>#VALUE!</v>
      </c>
      <c r="HC120" t="e">
        <f>AND('UP133'!IN82,"AAAAAHf9v9I=")</f>
        <v>#VALUE!</v>
      </c>
      <c r="HD120" t="e">
        <f>AND('UP133'!IO82,"AAAAAHf9v9M=")</f>
        <v>#VALUE!</v>
      </c>
      <c r="HE120" t="e">
        <f>AND('UP133'!IP82,"AAAAAHf9v9Q=")</f>
        <v>#VALUE!</v>
      </c>
      <c r="HF120" t="e">
        <f>AND('UP133'!IQ82,"AAAAAHf9v9U=")</f>
        <v>#VALUE!</v>
      </c>
      <c r="HG120">
        <f>IF('UP133'!83:83,"AAAAAHf9v9Y=",0)</f>
        <v>0</v>
      </c>
      <c r="HH120" t="e">
        <f>AND('UP133'!A83,"AAAAAHf9v9c=")</f>
        <v>#VALUE!</v>
      </c>
      <c r="HI120" t="e">
        <f>AND('UP133'!B83,"AAAAAHf9v9g=")</f>
        <v>#VALUE!</v>
      </c>
      <c r="HJ120" t="e">
        <f>AND('UP133'!C83,"AAAAAHf9v9k=")</f>
        <v>#VALUE!</v>
      </c>
      <c r="HK120" t="e">
        <f>AND('UP133'!D83,"AAAAAHf9v9o=")</f>
        <v>#VALUE!</v>
      </c>
      <c r="HL120" t="e">
        <f>AND('UP133'!E83,"AAAAAHf9v9s=")</f>
        <v>#VALUE!</v>
      </c>
      <c r="HM120" t="e">
        <f>AND('UP133'!F83,"AAAAAHf9v9w=")</f>
        <v>#VALUE!</v>
      </c>
      <c r="HN120" t="e">
        <f>AND('UP133'!G83,"AAAAAHf9v90=")</f>
        <v>#VALUE!</v>
      </c>
      <c r="HO120" t="e">
        <f>AND('UP133'!H83,"AAAAAHf9v94=")</f>
        <v>#VALUE!</v>
      </c>
      <c r="HP120" t="e">
        <f>AND('UP133'!I83,"AAAAAHf9v98=")</f>
        <v>#VALUE!</v>
      </c>
      <c r="HQ120" t="e">
        <f>AND('UP133'!J83,"AAAAAHf9v+A=")</f>
        <v>#VALUE!</v>
      </c>
      <c r="HR120" t="e">
        <f>AND('UP133'!K83,"AAAAAHf9v+E=")</f>
        <v>#VALUE!</v>
      </c>
      <c r="HS120" t="e">
        <f>AND('UP133'!L83,"AAAAAHf9v+I=")</f>
        <v>#VALUE!</v>
      </c>
      <c r="HT120" t="e">
        <f>AND('UP133'!M83,"AAAAAHf9v+M=")</f>
        <v>#VALUE!</v>
      </c>
      <c r="HU120" t="e">
        <f>AND('UP133'!N83,"AAAAAHf9v+Q=")</f>
        <v>#VALUE!</v>
      </c>
      <c r="HV120" t="e">
        <f>AND('UP133'!O83,"AAAAAHf9v+U=")</f>
        <v>#VALUE!</v>
      </c>
      <c r="HW120" t="e">
        <f>AND('UP133'!P83,"AAAAAHf9v+Y=")</f>
        <v>#VALUE!</v>
      </c>
      <c r="HX120" t="e">
        <f>AND('UP133'!Q83,"AAAAAHf9v+c=")</f>
        <v>#VALUE!</v>
      </c>
      <c r="HY120" t="e">
        <f>AND('UP133'!R83,"AAAAAHf9v+g=")</f>
        <v>#VALUE!</v>
      </c>
      <c r="HZ120" t="e">
        <f>AND('UP133'!S83,"AAAAAHf9v+k=")</f>
        <v>#VALUE!</v>
      </c>
      <c r="IA120" t="e">
        <f>AND('UP133'!T83,"AAAAAHf9v+o=")</f>
        <v>#VALUE!</v>
      </c>
      <c r="IB120" t="e">
        <f>AND('UP133'!U83,"AAAAAHf9v+s=")</f>
        <v>#VALUE!</v>
      </c>
      <c r="IC120" t="e">
        <f>AND('UP133'!V83,"AAAAAHf9v+w=")</f>
        <v>#VALUE!</v>
      </c>
      <c r="ID120" t="e">
        <f>AND('UP133'!W83,"AAAAAHf9v+0=")</f>
        <v>#VALUE!</v>
      </c>
      <c r="IE120" t="e">
        <f>AND('UP133'!X83,"AAAAAHf9v+4=")</f>
        <v>#VALUE!</v>
      </c>
      <c r="IF120" t="e">
        <f>AND('UP133'!Y83,"AAAAAHf9v+8=")</f>
        <v>#VALUE!</v>
      </c>
      <c r="IG120" t="e">
        <f>AND('UP133'!Z83,"AAAAAHf9v/A=")</f>
        <v>#VALUE!</v>
      </c>
      <c r="IH120" t="e">
        <f>AND('UP133'!AA83,"AAAAAHf9v/E=")</f>
        <v>#VALUE!</v>
      </c>
      <c r="II120" t="e">
        <f>AND('UP133'!AB83,"AAAAAHf9v/I=")</f>
        <v>#VALUE!</v>
      </c>
      <c r="IJ120" t="e">
        <f>AND('UP133'!AC83,"AAAAAHf9v/M=")</f>
        <v>#VALUE!</v>
      </c>
      <c r="IK120" t="e">
        <f>AND('UP133'!AD83,"AAAAAHf9v/Q=")</f>
        <v>#VALUE!</v>
      </c>
      <c r="IL120" t="e">
        <f>AND('UP133'!AE83,"AAAAAHf9v/U=")</f>
        <v>#VALUE!</v>
      </c>
      <c r="IM120" t="e">
        <f>AND('UP133'!AF83,"AAAAAHf9v/Y=")</f>
        <v>#VALUE!</v>
      </c>
      <c r="IN120" t="e">
        <f>AND('UP133'!AG83,"AAAAAHf9v/c=")</f>
        <v>#VALUE!</v>
      </c>
      <c r="IO120" t="e">
        <f>AND('UP133'!AH83,"AAAAAHf9v/g=")</f>
        <v>#VALUE!</v>
      </c>
      <c r="IP120" t="e">
        <f>AND('UP133'!AI83,"AAAAAHf9v/k=")</f>
        <v>#VALUE!</v>
      </c>
      <c r="IQ120" t="e">
        <f>AND('UP133'!AJ83,"AAAAAHf9v/o=")</f>
        <v>#VALUE!</v>
      </c>
      <c r="IR120" t="e">
        <f>AND('UP133'!AK83,"AAAAAHf9v/s=")</f>
        <v>#VALUE!</v>
      </c>
      <c r="IS120" t="e">
        <f>AND('UP133'!AL83,"AAAAAHf9v/w=")</f>
        <v>#VALUE!</v>
      </c>
      <c r="IT120" t="e">
        <f>AND('UP133'!AM83,"AAAAAHf9v/0=")</f>
        <v>#VALUE!</v>
      </c>
      <c r="IU120" t="e">
        <f>AND('UP133'!AN83,"AAAAAHf9v/4=")</f>
        <v>#VALUE!</v>
      </c>
      <c r="IV120" t="e">
        <f>AND('UP133'!AO83,"AAAAAHf9v/8=")</f>
        <v>#VALUE!</v>
      </c>
    </row>
    <row r="121" spans="1:256">
      <c r="A121" t="e">
        <f>AND('UP133'!AP83,"AAAAAG///gA=")</f>
        <v>#VALUE!</v>
      </c>
      <c r="B121" t="e">
        <f>AND('UP133'!AQ83,"AAAAAG///gE=")</f>
        <v>#VALUE!</v>
      </c>
      <c r="C121" t="e">
        <f>AND('UP133'!AR83,"AAAAAG///gI=")</f>
        <v>#VALUE!</v>
      </c>
      <c r="D121" t="e">
        <f>AND('UP133'!AS83,"AAAAAG///gM=")</f>
        <v>#VALUE!</v>
      </c>
      <c r="E121" t="e">
        <f>AND('UP133'!AT83,"AAAAAG///gQ=")</f>
        <v>#VALUE!</v>
      </c>
      <c r="F121" t="e">
        <f>AND('UP133'!AU83,"AAAAAG///gU=")</f>
        <v>#VALUE!</v>
      </c>
      <c r="G121" t="e">
        <f>AND('UP133'!AV83,"AAAAAG///gY=")</f>
        <v>#VALUE!</v>
      </c>
      <c r="H121" t="e">
        <f>AND('UP133'!AW83,"AAAAAG///gc=")</f>
        <v>#VALUE!</v>
      </c>
      <c r="I121" t="e">
        <f>AND('UP133'!AX83,"AAAAAG///gg=")</f>
        <v>#VALUE!</v>
      </c>
      <c r="J121" t="e">
        <f>AND('UP133'!AY83,"AAAAAG///gk=")</f>
        <v>#VALUE!</v>
      </c>
      <c r="K121" t="e">
        <f>AND('UP133'!AZ83,"AAAAAG///go=")</f>
        <v>#VALUE!</v>
      </c>
      <c r="L121" t="e">
        <f>AND('UP133'!BA83,"AAAAAG///gs=")</f>
        <v>#VALUE!</v>
      </c>
      <c r="M121" t="e">
        <f>AND('UP133'!BB83,"AAAAAG///gw=")</f>
        <v>#VALUE!</v>
      </c>
      <c r="N121" t="e">
        <f>AND('UP133'!BC83,"AAAAAG///g0=")</f>
        <v>#VALUE!</v>
      </c>
      <c r="O121" t="e">
        <f>AND('UP133'!BD83,"AAAAAG///g4=")</f>
        <v>#VALUE!</v>
      </c>
      <c r="P121" t="e">
        <f>AND('UP133'!BE83,"AAAAAG///g8=")</f>
        <v>#VALUE!</v>
      </c>
      <c r="Q121" t="e">
        <f>AND('UP133'!BF83,"AAAAAG///hA=")</f>
        <v>#VALUE!</v>
      </c>
      <c r="R121" t="e">
        <f>AND('UP133'!BG83,"AAAAAG///hE=")</f>
        <v>#VALUE!</v>
      </c>
      <c r="S121" t="e">
        <f>AND('UP133'!BH83,"AAAAAG///hI=")</f>
        <v>#VALUE!</v>
      </c>
      <c r="T121" t="e">
        <f>AND('UP133'!BI83,"AAAAAG///hM=")</f>
        <v>#VALUE!</v>
      </c>
      <c r="U121" t="e">
        <f>AND('UP133'!BJ83,"AAAAAG///hQ=")</f>
        <v>#VALUE!</v>
      </c>
      <c r="V121" t="e">
        <f>AND('UP133'!BK83,"AAAAAG///hU=")</f>
        <v>#VALUE!</v>
      </c>
      <c r="W121" t="e">
        <f>AND('UP133'!BL83,"AAAAAG///hY=")</f>
        <v>#VALUE!</v>
      </c>
      <c r="X121" t="e">
        <f>AND('UP133'!BM83,"AAAAAG///hc=")</f>
        <v>#VALUE!</v>
      </c>
      <c r="Y121" t="e">
        <f>AND('UP133'!BN83,"AAAAAG///hg=")</f>
        <v>#VALUE!</v>
      </c>
      <c r="Z121" t="e">
        <f>AND('UP133'!BO83,"AAAAAG///hk=")</f>
        <v>#VALUE!</v>
      </c>
      <c r="AA121" t="e">
        <f>AND('UP133'!BP83,"AAAAAG///ho=")</f>
        <v>#VALUE!</v>
      </c>
      <c r="AB121" t="e">
        <f>AND('UP133'!BQ83,"AAAAAG///hs=")</f>
        <v>#VALUE!</v>
      </c>
      <c r="AC121" t="e">
        <f>AND('UP133'!BR83,"AAAAAG///hw=")</f>
        <v>#VALUE!</v>
      </c>
      <c r="AD121" t="e">
        <f>AND('UP133'!BS83,"AAAAAG///h0=")</f>
        <v>#VALUE!</v>
      </c>
      <c r="AE121" t="e">
        <f>AND('UP133'!BT83,"AAAAAG///h4=")</f>
        <v>#VALUE!</v>
      </c>
      <c r="AF121" t="e">
        <f>AND('UP133'!BU83,"AAAAAG///h8=")</f>
        <v>#VALUE!</v>
      </c>
      <c r="AG121" t="e">
        <f>AND('UP133'!BV83,"AAAAAG///iA=")</f>
        <v>#VALUE!</v>
      </c>
      <c r="AH121" t="e">
        <f>AND('UP133'!BW83,"AAAAAG///iE=")</f>
        <v>#VALUE!</v>
      </c>
      <c r="AI121" t="e">
        <f>AND('UP133'!BX83,"AAAAAG///iI=")</f>
        <v>#VALUE!</v>
      </c>
      <c r="AJ121" t="e">
        <f>AND('UP133'!BY83,"AAAAAG///iM=")</f>
        <v>#VALUE!</v>
      </c>
      <c r="AK121" t="e">
        <f>AND('UP133'!BZ83,"AAAAAG///iQ=")</f>
        <v>#VALUE!</v>
      </c>
      <c r="AL121" t="e">
        <f>AND('UP133'!CA83,"AAAAAG///iU=")</f>
        <v>#VALUE!</v>
      </c>
      <c r="AM121" t="e">
        <f>AND('UP133'!CB83,"AAAAAG///iY=")</f>
        <v>#VALUE!</v>
      </c>
      <c r="AN121" t="e">
        <f>AND('UP133'!CC83,"AAAAAG///ic=")</f>
        <v>#VALUE!</v>
      </c>
      <c r="AO121" t="e">
        <f>AND('UP133'!CD83,"AAAAAG///ig=")</f>
        <v>#VALUE!</v>
      </c>
      <c r="AP121" t="e">
        <f>AND('UP133'!CE83,"AAAAAG///ik=")</f>
        <v>#VALUE!</v>
      </c>
      <c r="AQ121" t="e">
        <f>AND('UP133'!CF83,"AAAAAG///io=")</f>
        <v>#VALUE!</v>
      </c>
      <c r="AR121" t="e">
        <f>AND('UP133'!CG83,"AAAAAG///is=")</f>
        <v>#VALUE!</v>
      </c>
      <c r="AS121" t="e">
        <f>AND('UP133'!CH83,"AAAAAG///iw=")</f>
        <v>#VALUE!</v>
      </c>
      <c r="AT121" t="e">
        <f>AND('UP133'!CI83,"AAAAAG///i0=")</f>
        <v>#VALUE!</v>
      </c>
      <c r="AU121" t="e">
        <f>AND('UP133'!CJ83,"AAAAAG///i4=")</f>
        <v>#VALUE!</v>
      </c>
      <c r="AV121" t="e">
        <f>AND('UP133'!CK83,"AAAAAG///i8=")</f>
        <v>#VALUE!</v>
      </c>
      <c r="AW121" t="e">
        <f>AND('UP133'!CL83,"AAAAAG///jA=")</f>
        <v>#VALUE!</v>
      </c>
      <c r="AX121" t="e">
        <f>AND('UP133'!CM83,"AAAAAG///jE=")</f>
        <v>#VALUE!</v>
      </c>
      <c r="AY121" t="e">
        <f>AND('UP133'!CN83,"AAAAAG///jI=")</f>
        <v>#VALUE!</v>
      </c>
      <c r="AZ121" t="e">
        <f>AND('UP133'!CO83,"AAAAAG///jM=")</f>
        <v>#VALUE!</v>
      </c>
      <c r="BA121" t="e">
        <f>AND('UP133'!CP83,"AAAAAG///jQ=")</f>
        <v>#VALUE!</v>
      </c>
      <c r="BB121" t="e">
        <f>AND('UP133'!CQ83,"AAAAAG///jU=")</f>
        <v>#VALUE!</v>
      </c>
      <c r="BC121" t="e">
        <f>AND('UP133'!CR83,"AAAAAG///jY=")</f>
        <v>#VALUE!</v>
      </c>
      <c r="BD121" t="e">
        <f>AND('UP133'!CS83,"AAAAAG///jc=")</f>
        <v>#VALUE!</v>
      </c>
      <c r="BE121" t="e">
        <f>AND('UP133'!CT83,"AAAAAG///jg=")</f>
        <v>#VALUE!</v>
      </c>
      <c r="BF121" t="e">
        <f>AND('UP133'!CU83,"AAAAAG///jk=")</f>
        <v>#VALUE!</v>
      </c>
      <c r="BG121" t="e">
        <f>AND('UP133'!CV83,"AAAAAG///jo=")</f>
        <v>#VALUE!</v>
      </c>
      <c r="BH121" t="e">
        <f>AND('UP133'!CW83,"AAAAAG///js=")</f>
        <v>#VALUE!</v>
      </c>
      <c r="BI121" t="e">
        <f>AND('UP133'!CX83,"AAAAAG///jw=")</f>
        <v>#VALUE!</v>
      </c>
      <c r="BJ121" t="e">
        <f>AND('UP133'!CY83,"AAAAAG///j0=")</f>
        <v>#VALUE!</v>
      </c>
      <c r="BK121" t="e">
        <f>AND('UP133'!CZ83,"AAAAAG///j4=")</f>
        <v>#VALUE!</v>
      </c>
      <c r="BL121" t="e">
        <f>AND('UP133'!DA83,"AAAAAG///j8=")</f>
        <v>#VALUE!</v>
      </c>
      <c r="BM121" t="e">
        <f>AND('UP133'!DB83,"AAAAAG///kA=")</f>
        <v>#VALUE!</v>
      </c>
      <c r="BN121" t="e">
        <f>AND('UP133'!DC83,"AAAAAG///kE=")</f>
        <v>#VALUE!</v>
      </c>
      <c r="BO121" t="e">
        <f>AND('UP133'!DD83,"AAAAAG///kI=")</f>
        <v>#VALUE!</v>
      </c>
      <c r="BP121" t="e">
        <f>AND('UP133'!DE83,"AAAAAG///kM=")</f>
        <v>#VALUE!</v>
      </c>
      <c r="BQ121" t="e">
        <f>AND('UP133'!DF83,"AAAAAG///kQ=")</f>
        <v>#VALUE!</v>
      </c>
      <c r="BR121" t="e">
        <f>AND('UP133'!DG83,"AAAAAG///kU=")</f>
        <v>#VALUE!</v>
      </c>
      <c r="BS121" t="e">
        <f>AND('UP133'!DH83,"AAAAAG///kY=")</f>
        <v>#VALUE!</v>
      </c>
      <c r="BT121" t="e">
        <f>AND('UP133'!DI83,"AAAAAG///kc=")</f>
        <v>#VALUE!</v>
      </c>
      <c r="BU121" t="e">
        <f>AND('UP133'!DJ83,"AAAAAG///kg=")</f>
        <v>#VALUE!</v>
      </c>
      <c r="BV121" t="e">
        <f>AND('UP133'!DK83,"AAAAAG///kk=")</f>
        <v>#VALUE!</v>
      </c>
      <c r="BW121" t="e">
        <f>AND('UP133'!DL83,"AAAAAG///ko=")</f>
        <v>#VALUE!</v>
      </c>
      <c r="BX121" t="e">
        <f>AND('UP133'!DM83,"AAAAAG///ks=")</f>
        <v>#VALUE!</v>
      </c>
      <c r="BY121" t="e">
        <f>AND('UP133'!DN83,"AAAAAG///kw=")</f>
        <v>#VALUE!</v>
      </c>
      <c r="BZ121" t="e">
        <f>AND('UP133'!DO83,"AAAAAG///k0=")</f>
        <v>#VALUE!</v>
      </c>
      <c r="CA121" t="e">
        <f>AND('UP133'!DP83,"AAAAAG///k4=")</f>
        <v>#VALUE!</v>
      </c>
      <c r="CB121" t="e">
        <f>AND('UP133'!DQ83,"AAAAAG///k8=")</f>
        <v>#VALUE!</v>
      </c>
      <c r="CC121" t="e">
        <f>AND('UP133'!DR83,"AAAAAG///lA=")</f>
        <v>#VALUE!</v>
      </c>
      <c r="CD121" t="e">
        <f>AND('UP133'!DS83,"AAAAAG///lE=")</f>
        <v>#VALUE!</v>
      </c>
      <c r="CE121" t="e">
        <f>AND('UP133'!DT83,"AAAAAG///lI=")</f>
        <v>#VALUE!</v>
      </c>
      <c r="CF121" t="e">
        <f>AND('UP133'!DU83,"AAAAAG///lM=")</f>
        <v>#VALUE!</v>
      </c>
      <c r="CG121" t="e">
        <f>AND('UP133'!DV83,"AAAAAG///lQ=")</f>
        <v>#VALUE!</v>
      </c>
      <c r="CH121" t="e">
        <f>AND('UP133'!DW83,"AAAAAG///lU=")</f>
        <v>#VALUE!</v>
      </c>
      <c r="CI121" t="e">
        <f>AND('UP133'!DX83,"AAAAAG///lY=")</f>
        <v>#VALUE!</v>
      </c>
      <c r="CJ121" t="e">
        <f>AND('UP133'!DY83,"AAAAAG///lc=")</f>
        <v>#VALUE!</v>
      </c>
      <c r="CK121" t="e">
        <f>AND('UP133'!DZ83,"AAAAAG///lg=")</f>
        <v>#VALUE!</v>
      </c>
      <c r="CL121" t="e">
        <f>AND('UP133'!EA83,"AAAAAG///lk=")</f>
        <v>#VALUE!</v>
      </c>
      <c r="CM121" t="e">
        <f>AND('UP133'!EB83,"AAAAAG///lo=")</f>
        <v>#VALUE!</v>
      </c>
      <c r="CN121" t="e">
        <f>AND('UP133'!EC83,"AAAAAG///ls=")</f>
        <v>#VALUE!</v>
      </c>
      <c r="CO121" t="e">
        <f>AND('UP133'!ED83,"AAAAAG///lw=")</f>
        <v>#VALUE!</v>
      </c>
      <c r="CP121" t="e">
        <f>AND('UP133'!EE83,"AAAAAG///l0=")</f>
        <v>#VALUE!</v>
      </c>
      <c r="CQ121" t="e">
        <f>AND('UP133'!EF83,"AAAAAG///l4=")</f>
        <v>#VALUE!</v>
      </c>
      <c r="CR121" t="e">
        <f>AND('UP133'!EG83,"AAAAAG///l8=")</f>
        <v>#VALUE!</v>
      </c>
      <c r="CS121" t="e">
        <f>AND('UP133'!EH83,"AAAAAG///mA=")</f>
        <v>#VALUE!</v>
      </c>
      <c r="CT121" t="e">
        <f>AND('UP133'!EI83,"AAAAAG///mE=")</f>
        <v>#VALUE!</v>
      </c>
      <c r="CU121" t="e">
        <f>AND('UP133'!EJ83,"AAAAAG///mI=")</f>
        <v>#VALUE!</v>
      </c>
      <c r="CV121" t="e">
        <f>AND('UP133'!EK83,"AAAAAG///mM=")</f>
        <v>#VALUE!</v>
      </c>
      <c r="CW121" t="e">
        <f>AND('UP133'!EL83,"AAAAAG///mQ=")</f>
        <v>#VALUE!</v>
      </c>
      <c r="CX121" t="e">
        <f>AND('UP133'!EM83,"AAAAAG///mU=")</f>
        <v>#VALUE!</v>
      </c>
      <c r="CY121" t="e">
        <f>AND('UP133'!EN83,"AAAAAG///mY=")</f>
        <v>#VALUE!</v>
      </c>
      <c r="CZ121" t="e">
        <f>AND('UP133'!EO83,"AAAAAG///mc=")</f>
        <v>#VALUE!</v>
      </c>
      <c r="DA121" t="e">
        <f>AND('UP133'!EP83,"AAAAAG///mg=")</f>
        <v>#VALUE!</v>
      </c>
      <c r="DB121" t="e">
        <f>AND('UP133'!EQ83,"AAAAAG///mk=")</f>
        <v>#VALUE!</v>
      </c>
      <c r="DC121" t="e">
        <f>AND('UP133'!ER83,"AAAAAG///mo=")</f>
        <v>#VALUE!</v>
      </c>
      <c r="DD121" t="e">
        <f>AND('UP133'!ES83,"AAAAAG///ms=")</f>
        <v>#VALUE!</v>
      </c>
      <c r="DE121" t="e">
        <f>AND('UP133'!ET83,"AAAAAG///mw=")</f>
        <v>#VALUE!</v>
      </c>
      <c r="DF121" t="e">
        <f>AND('UP133'!EU83,"AAAAAG///m0=")</f>
        <v>#VALUE!</v>
      </c>
      <c r="DG121" t="e">
        <f>AND('UP133'!EV83,"AAAAAG///m4=")</f>
        <v>#VALUE!</v>
      </c>
      <c r="DH121" t="e">
        <f>AND('UP133'!EW83,"AAAAAG///m8=")</f>
        <v>#VALUE!</v>
      </c>
      <c r="DI121" t="e">
        <f>AND('UP133'!EX83,"AAAAAG///nA=")</f>
        <v>#VALUE!</v>
      </c>
      <c r="DJ121" t="e">
        <f>AND('UP133'!EY83,"AAAAAG///nE=")</f>
        <v>#VALUE!</v>
      </c>
      <c r="DK121" t="e">
        <f>AND('UP133'!EZ83,"AAAAAG///nI=")</f>
        <v>#VALUE!</v>
      </c>
      <c r="DL121" t="e">
        <f>AND('UP133'!FA83,"AAAAAG///nM=")</f>
        <v>#VALUE!</v>
      </c>
      <c r="DM121" t="e">
        <f>AND('UP133'!FB83,"AAAAAG///nQ=")</f>
        <v>#VALUE!</v>
      </c>
      <c r="DN121" t="e">
        <f>AND('UP133'!FC83,"AAAAAG///nU=")</f>
        <v>#VALUE!</v>
      </c>
      <c r="DO121" t="e">
        <f>AND('UP133'!FD83,"AAAAAG///nY=")</f>
        <v>#VALUE!</v>
      </c>
      <c r="DP121" t="e">
        <f>AND('UP133'!FE83,"AAAAAG///nc=")</f>
        <v>#VALUE!</v>
      </c>
      <c r="DQ121" t="e">
        <f>AND('UP133'!FF83,"AAAAAG///ng=")</f>
        <v>#VALUE!</v>
      </c>
      <c r="DR121" t="e">
        <f>AND('UP133'!FG83,"AAAAAG///nk=")</f>
        <v>#VALUE!</v>
      </c>
      <c r="DS121" t="e">
        <f>AND('UP133'!FH83,"AAAAAG///no=")</f>
        <v>#VALUE!</v>
      </c>
      <c r="DT121" t="e">
        <f>AND('UP133'!FI83,"AAAAAG///ns=")</f>
        <v>#VALUE!</v>
      </c>
      <c r="DU121" t="e">
        <f>AND('UP133'!FJ83,"AAAAAG///nw=")</f>
        <v>#VALUE!</v>
      </c>
      <c r="DV121" t="e">
        <f>AND('UP133'!FK83,"AAAAAG///n0=")</f>
        <v>#VALUE!</v>
      </c>
      <c r="DW121" t="e">
        <f>AND('UP133'!FL83,"AAAAAG///n4=")</f>
        <v>#VALUE!</v>
      </c>
      <c r="DX121" t="e">
        <f>AND('UP133'!FM83,"AAAAAG///n8=")</f>
        <v>#VALUE!</v>
      </c>
      <c r="DY121" t="e">
        <f>AND('UP133'!FN83,"AAAAAG///oA=")</f>
        <v>#VALUE!</v>
      </c>
      <c r="DZ121" t="e">
        <f>AND('UP133'!FO83,"AAAAAG///oE=")</f>
        <v>#VALUE!</v>
      </c>
      <c r="EA121" t="e">
        <f>AND('UP133'!FP83,"AAAAAG///oI=")</f>
        <v>#VALUE!</v>
      </c>
      <c r="EB121" t="e">
        <f>AND('UP133'!FQ83,"AAAAAG///oM=")</f>
        <v>#VALUE!</v>
      </c>
      <c r="EC121" t="e">
        <f>AND('UP133'!FR83,"AAAAAG///oQ=")</f>
        <v>#VALUE!</v>
      </c>
      <c r="ED121" t="e">
        <f>AND('UP133'!FS83,"AAAAAG///oU=")</f>
        <v>#VALUE!</v>
      </c>
      <c r="EE121" t="e">
        <f>AND('UP133'!FT83,"AAAAAG///oY=")</f>
        <v>#VALUE!</v>
      </c>
      <c r="EF121" t="e">
        <f>AND('UP133'!FU83,"AAAAAG///oc=")</f>
        <v>#VALUE!</v>
      </c>
      <c r="EG121" t="e">
        <f>AND('UP133'!FV83,"AAAAAG///og=")</f>
        <v>#VALUE!</v>
      </c>
      <c r="EH121" t="e">
        <f>AND('UP133'!FW83,"AAAAAG///ok=")</f>
        <v>#VALUE!</v>
      </c>
      <c r="EI121" t="e">
        <f>AND('UP133'!FX83,"AAAAAG///oo=")</f>
        <v>#VALUE!</v>
      </c>
      <c r="EJ121" t="e">
        <f>AND('UP133'!FY83,"AAAAAG///os=")</f>
        <v>#VALUE!</v>
      </c>
      <c r="EK121" t="e">
        <f>AND('UP133'!FZ83,"AAAAAG///ow=")</f>
        <v>#VALUE!</v>
      </c>
      <c r="EL121" t="e">
        <f>AND('UP133'!GA83,"AAAAAG///o0=")</f>
        <v>#VALUE!</v>
      </c>
      <c r="EM121" t="e">
        <f>AND('UP133'!GB83,"AAAAAG///o4=")</f>
        <v>#VALUE!</v>
      </c>
      <c r="EN121" t="e">
        <f>AND('UP133'!GC83,"AAAAAG///o8=")</f>
        <v>#VALUE!</v>
      </c>
      <c r="EO121" t="e">
        <f>AND('UP133'!GD83,"AAAAAG///pA=")</f>
        <v>#VALUE!</v>
      </c>
      <c r="EP121" t="e">
        <f>AND('UP133'!GE83,"AAAAAG///pE=")</f>
        <v>#VALUE!</v>
      </c>
      <c r="EQ121" t="e">
        <f>AND('UP133'!GF83,"AAAAAG///pI=")</f>
        <v>#VALUE!</v>
      </c>
      <c r="ER121" t="e">
        <f>AND('UP133'!GG83,"AAAAAG///pM=")</f>
        <v>#VALUE!</v>
      </c>
      <c r="ES121" t="e">
        <f>AND('UP133'!GH83,"AAAAAG///pQ=")</f>
        <v>#VALUE!</v>
      </c>
      <c r="ET121" t="e">
        <f>AND('UP133'!GI83,"AAAAAG///pU=")</f>
        <v>#VALUE!</v>
      </c>
      <c r="EU121" t="e">
        <f>AND('UP133'!GJ83,"AAAAAG///pY=")</f>
        <v>#VALUE!</v>
      </c>
      <c r="EV121" t="e">
        <f>AND('UP133'!GK83,"AAAAAG///pc=")</f>
        <v>#VALUE!</v>
      </c>
      <c r="EW121" t="e">
        <f>AND('UP133'!GL83,"AAAAAG///pg=")</f>
        <v>#VALUE!</v>
      </c>
      <c r="EX121" t="e">
        <f>AND('UP133'!GM83,"AAAAAG///pk=")</f>
        <v>#VALUE!</v>
      </c>
      <c r="EY121" t="e">
        <f>AND('UP133'!GN83,"AAAAAG///po=")</f>
        <v>#VALUE!</v>
      </c>
      <c r="EZ121" t="e">
        <f>AND('UP133'!GO83,"AAAAAG///ps=")</f>
        <v>#VALUE!</v>
      </c>
      <c r="FA121" t="e">
        <f>AND('UP133'!GP83,"AAAAAG///pw=")</f>
        <v>#VALUE!</v>
      </c>
      <c r="FB121" t="e">
        <f>AND('UP133'!GQ83,"AAAAAG///p0=")</f>
        <v>#VALUE!</v>
      </c>
      <c r="FC121" t="e">
        <f>AND('UP133'!GR83,"AAAAAG///p4=")</f>
        <v>#VALUE!</v>
      </c>
      <c r="FD121" t="e">
        <f>AND('UP133'!GS83,"AAAAAG///p8=")</f>
        <v>#VALUE!</v>
      </c>
      <c r="FE121" t="e">
        <f>AND('UP133'!GT83,"AAAAAG///qA=")</f>
        <v>#VALUE!</v>
      </c>
      <c r="FF121" t="e">
        <f>AND('UP133'!GU83,"AAAAAG///qE=")</f>
        <v>#VALUE!</v>
      </c>
      <c r="FG121" t="e">
        <f>AND('UP133'!GV83,"AAAAAG///qI=")</f>
        <v>#VALUE!</v>
      </c>
      <c r="FH121" t="e">
        <f>AND('UP133'!GW83,"AAAAAG///qM=")</f>
        <v>#VALUE!</v>
      </c>
      <c r="FI121" t="e">
        <f>AND('UP133'!GX83,"AAAAAG///qQ=")</f>
        <v>#VALUE!</v>
      </c>
      <c r="FJ121" t="e">
        <f>AND('UP133'!GY83,"AAAAAG///qU=")</f>
        <v>#VALUE!</v>
      </c>
      <c r="FK121" t="e">
        <f>AND('UP133'!GZ83,"AAAAAG///qY=")</f>
        <v>#VALUE!</v>
      </c>
      <c r="FL121" t="e">
        <f>AND('UP133'!HA83,"AAAAAG///qc=")</f>
        <v>#VALUE!</v>
      </c>
      <c r="FM121" t="e">
        <f>AND('UP133'!HB83,"AAAAAG///qg=")</f>
        <v>#VALUE!</v>
      </c>
      <c r="FN121" t="e">
        <f>AND('UP133'!HC83,"AAAAAG///qk=")</f>
        <v>#VALUE!</v>
      </c>
      <c r="FO121" t="e">
        <f>AND('UP133'!HD83,"AAAAAG///qo=")</f>
        <v>#VALUE!</v>
      </c>
      <c r="FP121" t="e">
        <f>AND('UP133'!HE83,"AAAAAG///qs=")</f>
        <v>#VALUE!</v>
      </c>
      <c r="FQ121" t="e">
        <f>AND('UP133'!HF83,"AAAAAG///qw=")</f>
        <v>#VALUE!</v>
      </c>
      <c r="FR121" t="e">
        <f>AND('UP133'!HG83,"AAAAAG///q0=")</f>
        <v>#VALUE!</v>
      </c>
      <c r="FS121" t="e">
        <f>AND('UP133'!HH83,"AAAAAG///q4=")</f>
        <v>#VALUE!</v>
      </c>
      <c r="FT121" t="e">
        <f>AND('UP133'!HI83,"AAAAAG///q8=")</f>
        <v>#VALUE!</v>
      </c>
      <c r="FU121" t="e">
        <f>AND('UP133'!HJ83,"AAAAAG///rA=")</f>
        <v>#VALUE!</v>
      </c>
      <c r="FV121" t="e">
        <f>AND('UP133'!HK83,"AAAAAG///rE=")</f>
        <v>#VALUE!</v>
      </c>
      <c r="FW121" t="e">
        <f>AND('UP133'!HL83,"AAAAAG///rI=")</f>
        <v>#VALUE!</v>
      </c>
      <c r="FX121" t="e">
        <f>AND('UP133'!HM83,"AAAAAG///rM=")</f>
        <v>#VALUE!</v>
      </c>
      <c r="FY121" t="e">
        <f>AND('UP133'!HN83,"AAAAAG///rQ=")</f>
        <v>#VALUE!</v>
      </c>
      <c r="FZ121" t="e">
        <f>AND('UP133'!HO83,"AAAAAG///rU=")</f>
        <v>#VALUE!</v>
      </c>
      <c r="GA121" t="e">
        <f>AND('UP133'!HP83,"AAAAAG///rY=")</f>
        <v>#VALUE!</v>
      </c>
      <c r="GB121" t="e">
        <f>AND('UP133'!HQ83,"AAAAAG///rc=")</f>
        <v>#VALUE!</v>
      </c>
      <c r="GC121" t="e">
        <f>AND('UP133'!HR83,"AAAAAG///rg=")</f>
        <v>#VALUE!</v>
      </c>
      <c r="GD121" t="e">
        <f>AND('UP133'!HS83,"AAAAAG///rk=")</f>
        <v>#VALUE!</v>
      </c>
      <c r="GE121" t="e">
        <f>AND('UP133'!HT83,"AAAAAG///ro=")</f>
        <v>#VALUE!</v>
      </c>
      <c r="GF121" t="e">
        <f>AND('UP133'!HU83,"AAAAAG///rs=")</f>
        <v>#VALUE!</v>
      </c>
      <c r="GG121" t="e">
        <f>AND('UP133'!HV83,"AAAAAG///rw=")</f>
        <v>#VALUE!</v>
      </c>
      <c r="GH121" t="e">
        <f>AND('UP133'!HW83,"AAAAAG///r0=")</f>
        <v>#VALUE!</v>
      </c>
      <c r="GI121" t="e">
        <f>AND('UP133'!HX83,"AAAAAG///r4=")</f>
        <v>#VALUE!</v>
      </c>
      <c r="GJ121" t="e">
        <f>AND('UP133'!HY83,"AAAAAG///r8=")</f>
        <v>#VALUE!</v>
      </c>
      <c r="GK121" t="e">
        <f>AND('UP133'!HZ83,"AAAAAG///sA=")</f>
        <v>#VALUE!</v>
      </c>
      <c r="GL121" t="e">
        <f>AND('UP133'!IA83,"AAAAAG///sE=")</f>
        <v>#VALUE!</v>
      </c>
      <c r="GM121" t="e">
        <f>AND('UP133'!IB83,"AAAAAG///sI=")</f>
        <v>#VALUE!</v>
      </c>
      <c r="GN121" t="e">
        <f>AND('UP133'!IC83,"AAAAAG///sM=")</f>
        <v>#VALUE!</v>
      </c>
      <c r="GO121" t="e">
        <f>AND('UP133'!ID83,"AAAAAG///sQ=")</f>
        <v>#VALUE!</v>
      </c>
      <c r="GP121" t="e">
        <f>AND('UP133'!IE83,"AAAAAG///sU=")</f>
        <v>#VALUE!</v>
      </c>
      <c r="GQ121" t="e">
        <f>AND('UP133'!IF83,"AAAAAG///sY=")</f>
        <v>#VALUE!</v>
      </c>
      <c r="GR121" t="e">
        <f>AND('UP133'!IG83,"AAAAAG///sc=")</f>
        <v>#VALUE!</v>
      </c>
      <c r="GS121" t="e">
        <f>AND('UP133'!IH83,"AAAAAG///sg=")</f>
        <v>#VALUE!</v>
      </c>
      <c r="GT121" t="e">
        <f>AND('UP133'!II83,"AAAAAG///sk=")</f>
        <v>#VALUE!</v>
      </c>
      <c r="GU121" t="e">
        <f>AND('UP133'!IJ83,"AAAAAG///so=")</f>
        <v>#VALUE!</v>
      </c>
      <c r="GV121" t="e">
        <f>AND('UP133'!IK83,"AAAAAG///ss=")</f>
        <v>#VALUE!</v>
      </c>
      <c r="GW121" t="e">
        <f>AND('UP133'!IL83,"AAAAAG///sw=")</f>
        <v>#VALUE!</v>
      </c>
      <c r="GX121" t="e">
        <f>AND('UP133'!IM83,"AAAAAG///s0=")</f>
        <v>#VALUE!</v>
      </c>
      <c r="GY121" t="e">
        <f>AND('UP133'!IN83,"AAAAAG///s4=")</f>
        <v>#VALUE!</v>
      </c>
      <c r="GZ121" t="e">
        <f>AND('UP133'!IO83,"AAAAAG///s8=")</f>
        <v>#VALUE!</v>
      </c>
      <c r="HA121" t="e">
        <f>AND('UP133'!IP83,"AAAAAG///tA=")</f>
        <v>#VALUE!</v>
      </c>
      <c r="HB121" t="e">
        <f>AND('UP133'!IQ83,"AAAAAG///tE=")</f>
        <v>#VALUE!</v>
      </c>
      <c r="HC121">
        <f>IF('UP133'!84:84,"AAAAAG///tI=",0)</f>
        <v>0</v>
      </c>
      <c r="HD121" t="e">
        <f>AND('UP133'!A84,"AAAAAG///tM=")</f>
        <v>#VALUE!</v>
      </c>
      <c r="HE121" t="e">
        <f>AND('UP133'!B84,"AAAAAG///tQ=")</f>
        <v>#VALUE!</v>
      </c>
      <c r="HF121" t="e">
        <f>AND('UP133'!C84,"AAAAAG///tU=")</f>
        <v>#VALUE!</v>
      </c>
      <c r="HG121" t="e">
        <f>AND('UP133'!D84,"AAAAAG///tY=")</f>
        <v>#VALUE!</v>
      </c>
      <c r="HH121" t="e">
        <f>AND('UP133'!E84,"AAAAAG///tc=")</f>
        <v>#VALUE!</v>
      </c>
      <c r="HI121" t="e">
        <f>AND('UP133'!F84,"AAAAAG///tg=")</f>
        <v>#VALUE!</v>
      </c>
      <c r="HJ121" t="e">
        <f>AND('UP133'!G84,"AAAAAG///tk=")</f>
        <v>#VALUE!</v>
      </c>
      <c r="HK121" t="e">
        <f>AND('UP133'!H84,"AAAAAG///to=")</f>
        <v>#VALUE!</v>
      </c>
      <c r="HL121" t="e">
        <f>AND('UP133'!I84,"AAAAAG///ts=")</f>
        <v>#VALUE!</v>
      </c>
      <c r="HM121" t="e">
        <f>AND('UP133'!J84,"AAAAAG///tw=")</f>
        <v>#VALUE!</v>
      </c>
      <c r="HN121" t="e">
        <f>AND('UP133'!K84,"AAAAAG///t0=")</f>
        <v>#VALUE!</v>
      </c>
      <c r="HO121" t="e">
        <f>AND('UP133'!L84,"AAAAAG///t4=")</f>
        <v>#VALUE!</v>
      </c>
      <c r="HP121" t="e">
        <f>AND('UP133'!M84,"AAAAAG///t8=")</f>
        <v>#VALUE!</v>
      </c>
      <c r="HQ121" t="e">
        <f>AND('UP133'!N84,"AAAAAG///uA=")</f>
        <v>#VALUE!</v>
      </c>
      <c r="HR121" t="e">
        <f>AND('UP133'!O84,"AAAAAG///uE=")</f>
        <v>#VALUE!</v>
      </c>
      <c r="HS121" t="e">
        <f>AND('UP133'!P84,"AAAAAG///uI=")</f>
        <v>#VALUE!</v>
      </c>
      <c r="HT121" t="e">
        <f>AND('UP133'!Q84,"AAAAAG///uM=")</f>
        <v>#VALUE!</v>
      </c>
      <c r="HU121" t="e">
        <f>AND('UP133'!R84,"AAAAAG///uQ=")</f>
        <v>#VALUE!</v>
      </c>
      <c r="HV121" t="e">
        <f>AND('UP133'!S84,"AAAAAG///uU=")</f>
        <v>#VALUE!</v>
      </c>
      <c r="HW121" t="e">
        <f>AND('UP133'!T84,"AAAAAG///uY=")</f>
        <v>#VALUE!</v>
      </c>
      <c r="HX121" t="e">
        <f>AND('UP133'!U84,"AAAAAG///uc=")</f>
        <v>#VALUE!</v>
      </c>
      <c r="HY121" t="e">
        <f>AND('UP133'!V84,"AAAAAG///ug=")</f>
        <v>#VALUE!</v>
      </c>
      <c r="HZ121" t="e">
        <f>AND('UP133'!W84,"AAAAAG///uk=")</f>
        <v>#VALUE!</v>
      </c>
      <c r="IA121" t="e">
        <f>AND('UP133'!X84,"AAAAAG///uo=")</f>
        <v>#VALUE!</v>
      </c>
      <c r="IB121" t="e">
        <f>AND('UP133'!Y84,"AAAAAG///us=")</f>
        <v>#VALUE!</v>
      </c>
      <c r="IC121" t="e">
        <f>AND('UP133'!Z84,"AAAAAG///uw=")</f>
        <v>#VALUE!</v>
      </c>
      <c r="ID121" t="e">
        <f>AND('UP133'!AA84,"AAAAAG///u0=")</f>
        <v>#VALUE!</v>
      </c>
      <c r="IE121" t="e">
        <f>AND('UP133'!AB84,"AAAAAG///u4=")</f>
        <v>#VALUE!</v>
      </c>
      <c r="IF121" t="e">
        <f>AND('UP133'!AC84,"AAAAAG///u8=")</f>
        <v>#VALUE!</v>
      </c>
      <c r="IG121" t="e">
        <f>AND('UP133'!AD84,"AAAAAG///vA=")</f>
        <v>#VALUE!</v>
      </c>
      <c r="IH121" t="e">
        <f>AND('UP133'!AE84,"AAAAAG///vE=")</f>
        <v>#VALUE!</v>
      </c>
      <c r="II121" t="e">
        <f>AND('UP133'!AF84,"AAAAAG///vI=")</f>
        <v>#VALUE!</v>
      </c>
      <c r="IJ121" t="e">
        <f>AND('UP133'!AG84,"AAAAAG///vM=")</f>
        <v>#VALUE!</v>
      </c>
      <c r="IK121" t="e">
        <f>AND('UP133'!AH84,"AAAAAG///vQ=")</f>
        <v>#VALUE!</v>
      </c>
      <c r="IL121" t="e">
        <f>AND('UP133'!AI84,"AAAAAG///vU=")</f>
        <v>#VALUE!</v>
      </c>
      <c r="IM121" t="e">
        <f>AND('UP133'!AJ84,"AAAAAG///vY=")</f>
        <v>#VALUE!</v>
      </c>
      <c r="IN121" t="e">
        <f>AND('UP133'!AK84,"AAAAAG///vc=")</f>
        <v>#VALUE!</v>
      </c>
      <c r="IO121" t="e">
        <f>AND('UP133'!AL84,"AAAAAG///vg=")</f>
        <v>#VALUE!</v>
      </c>
      <c r="IP121" t="e">
        <f>AND('UP133'!AM84,"AAAAAG///vk=")</f>
        <v>#VALUE!</v>
      </c>
      <c r="IQ121" t="e">
        <f>AND('UP133'!AN84,"AAAAAG///vo=")</f>
        <v>#VALUE!</v>
      </c>
      <c r="IR121" t="e">
        <f>AND('UP133'!AO84,"AAAAAG///vs=")</f>
        <v>#VALUE!</v>
      </c>
      <c r="IS121" t="e">
        <f>AND('UP133'!AP84,"AAAAAG///vw=")</f>
        <v>#VALUE!</v>
      </c>
      <c r="IT121" t="e">
        <f>AND('UP133'!AQ84,"AAAAAG///v0=")</f>
        <v>#VALUE!</v>
      </c>
      <c r="IU121" t="e">
        <f>AND('UP133'!AR84,"AAAAAG///v4=")</f>
        <v>#VALUE!</v>
      </c>
      <c r="IV121" t="e">
        <f>AND('UP133'!AS84,"AAAAAG///v8=")</f>
        <v>#VALUE!</v>
      </c>
    </row>
    <row r="122" spans="1:256">
      <c r="A122" t="e">
        <f>AND('UP133'!AT84,"AAAAADe7SgA=")</f>
        <v>#VALUE!</v>
      </c>
      <c r="B122" t="e">
        <f>AND('UP133'!AU84,"AAAAADe7SgE=")</f>
        <v>#VALUE!</v>
      </c>
      <c r="C122" t="e">
        <f>AND('UP133'!AV84,"AAAAADe7SgI=")</f>
        <v>#VALUE!</v>
      </c>
      <c r="D122" t="e">
        <f>AND('UP133'!AW84,"AAAAADe7SgM=")</f>
        <v>#VALUE!</v>
      </c>
      <c r="E122" t="e">
        <f>AND('UP133'!AX84,"AAAAADe7SgQ=")</f>
        <v>#VALUE!</v>
      </c>
      <c r="F122" t="e">
        <f>AND('UP133'!AY84,"AAAAADe7SgU=")</f>
        <v>#VALUE!</v>
      </c>
      <c r="G122" t="e">
        <f>AND('UP133'!AZ84,"AAAAADe7SgY=")</f>
        <v>#VALUE!</v>
      </c>
      <c r="H122" t="e">
        <f>AND('UP133'!BA84,"AAAAADe7Sgc=")</f>
        <v>#VALUE!</v>
      </c>
      <c r="I122" t="e">
        <f>AND('UP133'!BB84,"AAAAADe7Sgg=")</f>
        <v>#VALUE!</v>
      </c>
      <c r="J122" t="e">
        <f>AND('UP133'!BC84,"AAAAADe7Sgk=")</f>
        <v>#VALUE!</v>
      </c>
      <c r="K122" t="e">
        <f>AND('UP133'!BD84,"AAAAADe7Sgo=")</f>
        <v>#VALUE!</v>
      </c>
      <c r="L122" t="e">
        <f>AND('UP133'!BE84,"AAAAADe7Sgs=")</f>
        <v>#VALUE!</v>
      </c>
      <c r="M122" t="e">
        <f>AND('UP133'!BF84,"AAAAADe7Sgw=")</f>
        <v>#VALUE!</v>
      </c>
      <c r="N122" t="e">
        <f>AND('UP133'!BG84,"AAAAADe7Sg0=")</f>
        <v>#VALUE!</v>
      </c>
      <c r="O122" t="e">
        <f>AND('UP133'!BH84,"AAAAADe7Sg4=")</f>
        <v>#VALUE!</v>
      </c>
      <c r="P122" t="e">
        <f>AND('UP133'!BI84,"AAAAADe7Sg8=")</f>
        <v>#VALUE!</v>
      </c>
      <c r="Q122" t="e">
        <f>AND('UP133'!BJ84,"AAAAADe7ShA=")</f>
        <v>#VALUE!</v>
      </c>
      <c r="R122" t="e">
        <f>AND('UP133'!BK84,"AAAAADe7ShE=")</f>
        <v>#VALUE!</v>
      </c>
      <c r="S122" t="e">
        <f>AND('UP133'!BL84,"AAAAADe7ShI=")</f>
        <v>#VALUE!</v>
      </c>
      <c r="T122" t="e">
        <f>AND('UP133'!BM84,"AAAAADe7ShM=")</f>
        <v>#VALUE!</v>
      </c>
      <c r="U122" t="e">
        <f>AND('UP133'!BN84,"AAAAADe7ShQ=")</f>
        <v>#VALUE!</v>
      </c>
      <c r="V122" t="e">
        <f>AND('UP133'!BO84,"AAAAADe7ShU=")</f>
        <v>#VALUE!</v>
      </c>
      <c r="W122" t="e">
        <f>AND('UP133'!BP84,"AAAAADe7ShY=")</f>
        <v>#VALUE!</v>
      </c>
      <c r="X122" t="e">
        <f>AND('UP133'!BQ84,"AAAAADe7Shc=")</f>
        <v>#VALUE!</v>
      </c>
      <c r="Y122" t="e">
        <f>AND('UP133'!BR84,"AAAAADe7Shg=")</f>
        <v>#VALUE!</v>
      </c>
      <c r="Z122" t="e">
        <f>AND('UP133'!BS84,"AAAAADe7Shk=")</f>
        <v>#VALUE!</v>
      </c>
      <c r="AA122" t="e">
        <f>AND('UP133'!BT84,"AAAAADe7Sho=")</f>
        <v>#VALUE!</v>
      </c>
      <c r="AB122" t="e">
        <f>AND('UP133'!BU84,"AAAAADe7Shs=")</f>
        <v>#VALUE!</v>
      </c>
      <c r="AC122" t="e">
        <f>AND('UP133'!BV84,"AAAAADe7Shw=")</f>
        <v>#VALUE!</v>
      </c>
      <c r="AD122" t="e">
        <f>AND('UP133'!BW84,"AAAAADe7Sh0=")</f>
        <v>#VALUE!</v>
      </c>
      <c r="AE122" t="e">
        <f>AND('UP133'!BX84,"AAAAADe7Sh4=")</f>
        <v>#VALUE!</v>
      </c>
      <c r="AF122" t="e">
        <f>AND('UP133'!BY84,"AAAAADe7Sh8=")</f>
        <v>#VALUE!</v>
      </c>
      <c r="AG122" t="e">
        <f>AND('UP133'!BZ84,"AAAAADe7SiA=")</f>
        <v>#VALUE!</v>
      </c>
      <c r="AH122" t="e">
        <f>AND('UP133'!CA84,"AAAAADe7SiE=")</f>
        <v>#VALUE!</v>
      </c>
      <c r="AI122" t="e">
        <f>AND('UP133'!CB84,"AAAAADe7SiI=")</f>
        <v>#VALUE!</v>
      </c>
      <c r="AJ122" t="e">
        <f>AND('UP133'!CC84,"AAAAADe7SiM=")</f>
        <v>#VALUE!</v>
      </c>
      <c r="AK122" t="e">
        <f>AND('UP133'!CD84,"AAAAADe7SiQ=")</f>
        <v>#VALUE!</v>
      </c>
      <c r="AL122" t="e">
        <f>AND('UP133'!CE84,"AAAAADe7SiU=")</f>
        <v>#VALUE!</v>
      </c>
      <c r="AM122" t="e">
        <f>AND('UP133'!CF84,"AAAAADe7SiY=")</f>
        <v>#VALUE!</v>
      </c>
      <c r="AN122" t="e">
        <f>AND('UP133'!CG84,"AAAAADe7Sic=")</f>
        <v>#VALUE!</v>
      </c>
      <c r="AO122" t="e">
        <f>AND('UP133'!CH84,"AAAAADe7Sig=")</f>
        <v>#VALUE!</v>
      </c>
      <c r="AP122" t="e">
        <f>AND('UP133'!CI84,"AAAAADe7Sik=")</f>
        <v>#VALUE!</v>
      </c>
      <c r="AQ122" t="e">
        <f>AND('UP133'!CJ84,"AAAAADe7Sio=")</f>
        <v>#VALUE!</v>
      </c>
      <c r="AR122" t="e">
        <f>AND('UP133'!CK84,"AAAAADe7Sis=")</f>
        <v>#VALUE!</v>
      </c>
      <c r="AS122" t="e">
        <f>AND('UP133'!CL84,"AAAAADe7Siw=")</f>
        <v>#VALUE!</v>
      </c>
      <c r="AT122" t="e">
        <f>AND('UP133'!CM84,"AAAAADe7Si0=")</f>
        <v>#VALUE!</v>
      </c>
      <c r="AU122" t="e">
        <f>AND('UP133'!CN84,"AAAAADe7Si4=")</f>
        <v>#VALUE!</v>
      </c>
      <c r="AV122" t="e">
        <f>AND('UP133'!CO84,"AAAAADe7Si8=")</f>
        <v>#VALUE!</v>
      </c>
      <c r="AW122" t="e">
        <f>AND('UP133'!CP84,"AAAAADe7SjA=")</f>
        <v>#VALUE!</v>
      </c>
      <c r="AX122" t="e">
        <f>AND('UP133'!CQ84,"AAAAADe7SjE=")</f>
        <v>#VALUE!</v>
      </c>
      <c r="AY122" t="e">
        <f>AND('UP133'!CR84,"AAAAADe7SjI=")</f>
        <v>#VALUE!</v>
      </c>
      <c r="AZ122" t="e">
        <f>AND('UP133'!CS84,"AAAAADe7SjM=")</f>
        <v>#VALUE!</v>
      </c>
      <c r="BA122" t="e">
        <f>AND('UP133'!CT84,"AAAAADe7SjQ=")</f>
        <v>#VALUE!</v>
      </c>
      <c r="BB122" t="e">
        <f>AND('UP133'!CU84,"AAAAADe7SjU=")</f>
        <v>#VALUE!</v>
      </c>
      <c r="BC122" t="e">
        <f>AND('UP133'!CV84,"AAAAADe7SjY=")</f>
        <v>#VALUE!</v>
      </c>
      <c r="BD122" t="e">
        <f>AND('UP133'!CW84,"AAAAADe7Sjc=")</f>
        <v>#VALUE!</v>
      </c>
      <c r="BE122" t="e">
        <f>AND('UP133'!CX84,"AAAAADe7Sjg=")</f>
        <v>#VALUE!</v>
      </c>
      <c r="BF122" t="e">
        <f>AND('UP133'!CY84,"AAAAADe7Sjk=")</f>
        <v>#VALUE!</v>
      </c>
      <c r="BG122" t="e">
        <f>AND('UP133'!CZ84,"AAAAADe7Sjo=")</f>
        <v>#VALUE!</v>
      </c>
      <c r="BH122" t="e">
        <f>AND('UP133'!DA84,"AAAAADe7Sjs=")</f>
        <v>#VALUE!</v>
      </c>
      <c r="BI122" t="e">
        <f>AND('UP133'!DB84,"AAAAADe7Sjw=")</f>
        <v>#VALUE!</v>
      </c>
      <c r="BJ122" t="e">
        <f>AND('UP133'!DC84,"AAAAADe7Sj0=")</f>
        <v>#VALUE!</v>
      </c>
      <c r="BK122" t="e">
        <f>AND('UP133'!DD84,"AAAAADe7Sj4=")</f>
        <v>#VALUE!</v>
      </c>
      <c r="BL122" t="e">
        <f>AND('UP133'!DE84,"AAAAADe7Sj8=")</f>
        <v>#VALUE!</v>
      </c>
      <c r="BM122" t="e">
        <f>AND('UP133'!DF84,"AAAAADe7SkA=")</f>
        <v>#VALUE!</v>
      </c>
      <c r="BN122" t="e">
        <f>AND('UP133'!DG84,"AAAAADe7SkE=")</f>
        <v>#VALUE!</v>
      </c>
      <c r="BO122" t="e">
        <f>AND('UP133'!DH84,"AAAAADe7SkI=")</f>
        <v>#VALUE!</v>
      </c>
      <c r="BP122" t="e">
        <f>AND('UP133'!DI84,"AAAAADe7SkM=")</f>
        <v>#VALUE!</v>
      </c>
      <c r="BQ122" t="e">
        <f>AND('UP133'!DJ84,"AAAAADe7SkQ=")</f>
        <v>#VALUE!</v>
      </c>
      <c r="BR122" t="e">
        <f>AND('UP133'!DK84,"AAAAADe7SkU=")</f>
        <v>#VALUE!</v>
      </c>
      <c r="BS122" t="e">
        <f>AND('UP133'!DL84,"AAAAADe7SkY=")</f>
        <v>#VALUE!</v>
      </c>
      <c r="BT122" t="e">
        <f>AND('UP133'!DM84,"AAAAADe7Skc=")</f>
        <v>#VALUE!</v>
      </c>
      <c r="BU122" t="e">
        <f>AND('UP133'!DN84,"AAAAADe7Skg=")</f>
        <v>#VALUE!</v>
      </c>
      <c r="BV122" t="e">
        <f>AND('UP133'!DO84,"AAAAADe7Skk=")</f>
        <v>#VALUE!</v>
      </c>
      <c r="BW122" t="e">
        <f>AND('UP133'!DP84,"AAAAADe7Sko=")</f>
        <v>#VALUE!</v>
      </c>
      <c r="BX122" t="e">
        <f>AND('UP133'!DQ84,"AAAAADe7Sks=")</f>
        <v>#VALUE!</v>
      </c>
      <c r="BY122" t="e">
        <f>AND('UP133'!DR84,"AAAAADe7Skw=")</f>
        <v>#VALUE!</v>
      </c>
      <c r="BZ122" t="e">
        <f>AND('UP133'!DS84,"AAAAADe7Sk0=")</f>
        <v>#VALUE!</v>
      </c>
      <c r="CA122" t="e">
        <f>AND('UP133'!DT84,"AAAAADe7Sk4=")</f>
        <v>#VALUE!</v>
      </c>
      <c r="CB122" t="e">
        <f>AND('UP133'!DU84,"AAAAADe7Sk8=")</f>
        <v>#VALUE!</v>
      </c>
      <c r="CC122" t="e">
        <f>AND('UP133'!DV84,"AAAAADe7SlA=")</f>
        <v>#VALUE!</v>
      </c>
      <c r="CD122" t="e">
        <f>AND('UP133'!DW84,"AAAAADe7SlE=")</f>
        <v>#VALUE!</v>
      </c>
      <c r="CE122" t="e">
        <f>AND('UP133'!DX84,"AAAAADe7SlI=")</f>
        <v>#VALUE!</v>
      </c>
      <c r="CF122" t="e">
        <f>AND('UP133'!DY84,"AAAAADe7SlM=")</f>
        <v>#VALUE!</v>
      </c>
      <c r="CG122" t="e">
        <f>AND('UP133'!DZ84,"AAAAADe7SlQ=")</f>
        <v>#VALUE!</v>
      </c>
      <c r="CH122" t="e">
        <f>AND('UP133'!EA84,"AAAAADe7SlU=")</f>
        <v>#VALUE!</v>
      </c>
      <c r="CI122" t="e">
        <f>AND('UP133'!EB84,"AAAAADe7SlY=")</f>
        <v>#VALUE!</v>
      </c>
      <c r="CJ122" t="e">
        <f>AND('UP133'!EC84,"AAAAADe7Slc=")</f>
        <v>#VALUE!</v>
      </c>
      <c r="CK122" t="e">
        <f>AND('UP133'!ED84,"AAAAADe7Slg=")</f>
        <v>#VALUE!</v>
      </c>
      <c r="CL122" t="e">
        <f>AND('UP133'!EE84,"AAAAADe7Slk=")</f>
        <v>#VALUE!</v>
      </c>
      <c r="CM122" t="e">
        <f>AND('UP133'!EF84,"AAAAADe7Slo=")</f>
        <v>#VALUE!</v>
      </c>
      <c r="CN122" t="e">
        <f>AND('UP133'!EG84,"AAAAADe7Sls=")</f>
        <v>#VALUE!</v>
      </c>
      <c r="CO122" t="e">
        <f>AND('UP133'!EH84,"AAAAADe7Slw=")</f>
        <v>#VALUE!</v>
      </c>
      <c r="CP122" t="e">
        <f>AND('UP133'!EI84,"AAAAADe7Sl0=")</f>
        <v>#VALUE!</v>
      </c>
      <c r="CQ122" t="e">
        <f>AND('UP133'!EJ84,"AAAAADe7Sl4=")</f>
        <v>#VALUE!</v>
      </c>
      <c r="CR122" t="e">
        <f>AND('UP133'!EK84,"AAAAADe7Sl8=")</f>
        <v>#VALUE!</v>
      </c>
      <c r="CS122" t="e">
        <f>AND('UP133'!EL84,"AAAAADe7SmA=")</f>
        <v>#VALUE!</v>
      </c>
      <c r="CT122" t="e">
        <f>AND('UP133'!EM84,"AAAAADe7SmE=")</f>
        <v>#VALUE!</v>
      </c>
      <c r="CU122" t="e">
        <f>AND('UP133'!EN84,"AAAAADe7SmI=")</f>
        <v>#VALUE!</v>
      </c>
      <c r="CV122" t="e">
        <f>AND('UP133'!EO84,"AAAAADe7SmM=")</f>
        <v>#VALUE!</v>
      </c>
      <c r="CW122" t="e">
        <f>AND('UP133'!EP84,"AAAAADe7SmQ=")</f>
        <v>#VALUE!</v>
      </c>
      <c r="CX122" t="e">
        <f>AND('UP133'!EQ84,"AAAAADe7SmU=")</f>
        <v>#VALUE!</v>
      </c>
      <c r="CY122" t="e">
        <f>AND('UP133'!ER84,"AAAAADe7SmY=")</f>
        <v>#VALUE!</v>
      </c>
      <c r="CZ122" t="e">
        <f>AND('UP133'!ES84,"AAAAADe7Smc=")</f>
        <v>#VALUE!</v>
      </c>
      <c r="DA122" t="e">
        <f>AND('UP133'!ET84,"AAAAADe7Smg=")</f>
        <v>#VALUE!</v>
      </c>
      <c r="DB122" t="e">
        <f>AND('UP133'!EU84,"AAAAADe7Smk=")</f>
        <v>#VALUE!</v>
      </c>
      <c r="DC122" t="e">
        <f>AND('UP133'!EV84,"AAAAADe7Smo=")</f>
        <v>#VALUE!</v>
      </c>
      <c r="DD122" t="e">
        <f>AND('UP133'!EW84,"AAAAADe7Sms=")</f>
        <v>#VALUE!</v>
      </c>
      <c r="DE122" t="e">
        <f>AND('UP133'!EX84,"AAAAADe7Smw=")</f>
        <v>#VALUE!</v>
      </c>
      <c r="DF122" t="e">
        <f>AND('UP133'!EY84,"AAAAADe7Sm0=")</f>
        <v>#VALUE!</v>
      </c>
      <c r="DG122" t="e">
        <f>AND('UP133'!EZ84,"AAAAADe7Sm4=")</f>
        <v>#VALUE!</v>
      </c>
      <c r="DH122" t="e">
        <f>AND('UP133'!FA84,"AAAAADe7Sm8=")</f>
        <v>#VALUE!</v>
      </c>
      <c r="DI122" t="e">
        <f>AND('UP133'!FB84,"AAAAADe7SnA=")</f>
        <v>#VALUE!</v>
      </c>
      <c r="DJ122" t="e">
        <f>AND('UP133'!FC84,"AAAAADe7SnE=")</f>
        <v>#VALUE!</v>
      </c>
      <c r="DK122" t="e">
        <f>AND('UP133'!FD84,"AAAAADe7SnI=")</f>
        <v>#VALUE!</v>
      </c>
      <c r="DL122" t="e">
        <f>AND('UP133'!FE84,"AAAAADe7SnM=")</f>
        <v>#VALUE!</v>
      </c>
      <c r="DM122" t="e">
        <f>AND('UP133'!FF84,"AAAAADe7SnQ=")</f>
        <v>#VALUE!</v>
      </c>
      <c r="DN122" t="e">
        <f>AND('UP133'!FG84,"AAAAADe7SnU=")</f>
        <v>#VALUE!</v>
      </c>
      <c r="DO122" t="e">
        <f>AND('UP133'!FH84,"AAAAADe7SnY=")</f>
        <v>#VALUE!</v>
      </c>
      <c r="DP122" t="e">
        <f>AND('UP133'!FI84,"AAAAADe7Snc=")</f>
        <v>#VALUE!</v>
      </c>
      <c r="DQ122" t="e">
        <f>AND('UP133'!FJ84,"AAAAADe7Sng=")</f>
        <v>#VALUE!</v>
      </c>
      <c r="DR122" t="e">
        <f>AND('UP133'!FK84,"AAAAADe7Snk=")</f>
        <v>#VALUE!</v>
      </c>
      <c r="DS122" t="e">
        <f>AND('UP133'!FL84,"AAAAADe7Sno=")</f>
        <v>#VALUE!</v>
      </c>
      <c r="DT122" t="e">
        <f>AND('UP133'!FM84,"AAAAADe7Sns=")</f>
        <v>#VALUE!</v>
      </c>
      <c r="DU122" t="e">
        <f>AND('UP133'!FN84,"AAAAADe7Snw=")</f>
        <v>#VALUE!</v>
      </c>
      <c r="DV122" t="e">
        <f>AND('UP133'!FO84,"AAAAADe7Sn0=")</f>
        <v>#VALUE!</v>
      </c>
      <c r="DW122" t="e">
        <f>AND('UP133'!FP84,"AAAAADe7Sn4=")</f>
        <v>#VALUE!</v>
      </c>
      <c r="DX122" t="e">
        <f>AND('UP133'!FQ84,"AAAAADe7Sn8=")</f>
        <v>#VALUE!</v>
      </c>
      <c r="DY122" t="e">
        <f>AND('UP133'!FR84,"AAAAADe7SoA=")</f>
        <v>#VALUE!</v>
      </c>
      <c r="DZ122" t="e">
        <f>AND('UP133'!FS84,"AAAAADe7SoE=")</f>
        <v>#VALUE!</v>
      </c>
      <c r="EA122" t="e">
        <f>AND('UP133'!FT84,"AAAAADe7SoI=")</f>
        <v>#VALUE!</v>
      </c>
      <c r="EB122" t="e">
        <f>AND('UP133'!FU84,"AAAAADe7SoM=")</f>
        <v>#VALUE!</v>
      </c>
      <c r="EC122" t="e">
        <f>AND('UP133'!FV84,"AAAAADe7SoQ=")</f>
        <v>#VALUE!</v>
      </c>
      <c r="ED122" t="e">
        <f>AND('UP133'!FW84,"AAAAADe7SoU=")</f>
        <v>#VALUE!</v>
      </c>
      <c r="EE122" t="e">
        <f>AND('UP133'!FX84,"AAAAADe7SoY=")</f>
        <v>#VALUE!</v>
      </c>
      <c r="EF122" t="e">
        <f>AND('UP133'!FY84,"AAAAADe7Soc=")</f>
        <v>#VALUE!</v>
      </c>
      <c r="EG122" t="e">
        <f>AND('UP133'!FZ84,"AAAAADe7Sog=")</f>
        <v>#VALUE!</v>
      </c>
      <c r="EH122" t="e">
        <f>AND('UP133'!GA84,"AAAAADe7Sok=")</f>
        <v>#VALUE!</v>
      </c>
      <c r="EI122" t="e">
        <f>AND('UP133'!GB84,"AAAAADe7Soo=")</f>
        <v>#VALUE!</v>
      </c>
      <c r="EJ122" t="e">
        <f>AND('UP133'!GC84,"AAAAADe7Sos=")</f>
        <v>#VALUE!</v>
      </c>
      <c r="EK122" t="e">
        <f>AND('UP133'!GD84,"AAAAADe7Sow=")</f>
        <v>#VALUE!</v>
      </c>
      <c r="EL122" t="e">
        <f>AND('UP133'!GE84,"AAAAADe7So0=")</f>
        <v>#VALUE!</v>
      </c>
      <c r="EM122" t="e">
        <f>AND('UP133'!GF84,"AAAAADe7So4=")</f>
        <v>#VALUE!</v>
      </c>
      <c r="EN122" t="e">
        <f>AND('UP133'!GG84,"AAAAADe7So8=")</f>
        <v>#VALUE!</v>
      </c>
      <c r="EO122" t="e">
        <f>AND('UP133'!GH84,"AAAAADe7SpA=")</f>
        <v>#VALUE!</v>
      </c>
      <c r="EP122" t="e">
        <f>AND('UP133'!GI84,"AAAAADe7SpE=")</f>
        <v>#VALUE!</v>
      </c>
      <c r="EQ122" t="e">
        <f>AND('UP133'!GJ84,"AAAAADe7SpI=")</f>
        <v>#VALUE!</v>
      </c>
      <c r="ER122" t="e">
        <f>AND('UP133'!GK84,"AAAAADe7SpM=")</f>
        <v>#VALUE!</v>
      </c>
      <c r="ES122" t="e">
        <f>AND('UP133'!GL84,"AAAAADe7SpQ=")</f>
        <v>#VALUE!</v>
      </c>
      <c r="ET122" t="e">
        <f>AND('UP133'!GM84,"AAAAADe7SpU=")</f>
        <v>#VALUE!</v>
      </c>
      <c r="EU122" t="e">
        <f>AND('UP133'!GN84,"AAAAADe7SpY=")</f>
        <v>#VALUE!</v>
      </c>
      <c r="EV122" t="e">
        <f>AND('UP133'!GO84,"AAAAADe7Spc=")</f>
        <v>#VALUE!</v>
      </c>
      <c r="EW122" t="e">
        <f>AND('UP133'!GP84,"AAAAADe7Spg=")</f>
        <v>#VALUE!</v>
      </c>
      <c r="EX122" t="e">
        <f>AND('UP133'!GQ84,"AAAAADe7Spk=")</f>
        <v>#VALUE!</v>
      </c>
      <c r="EY122" t="e">
        <f>AND('UP133'!GR84,"AAAAADe7Spo=")</f>
        <v>#VALUE!</v>
      </c>
      <c r="EZ122" t="e">
        <f>AND('UP133'!GS84,"AAAAADe7Sps=")</f>
        <v>#VALUE!</v>
      </c>
      <c r="FA122" t="e">
        <f>AND('UP133'!GT84,"AAAAADe7Spw=")</f>
        <v>#VALUE!</v>
      </c>
      <c r="FB122" t="e">
        <f>AND('UP133'!GU84,"AAAAADe7Sp0=")</f>
        <v>#VALUE!</v>
      </c>
      <c r="FC122" t="e">
        <f>AND('UP133'!GV84,"AAAAADe7Sp4=")</f>
        <v>#VALUE!</v>
      </c>
      <c r="FD122" t="e">
        <f>AND('UP133'!GW84,"AAAAADe7Sp8=")</f>
        <v>#VALUE!</v>
      </c>
      <c r="FE122" t="e">
        <f>AND('UP133'!GX84,"AAAAADe7SqA=")</f>
        <v>#VALUE!</v>
      </c>
      <c r="FF122" t="e">
        <f>AND('UP133'!GY84,"AAAAADe7SqE=")</f>
        <v>#VALUE!</v>
      </c>
      <c r="FG122" t="e">
        <f>AND('UP133'!GZ84,"AAAAADe7SqI=")</f>
        <v>#VALUE!</v>
      </c>
      <c r="FH122" t="e">
        <f>AND('UP133'!HA84,"AAAAADe7SqM=")</f>
        <v>#VALUE!</v>
      </c>
      <c r="FI122" t="e">
        <f>AND('UP133'!HB84,"AAAAADe7SqQ=")</f>
        <v>#VALUE!</v>
      </c>
      <c r="FJ122" t="e">
        <f>AND('UP133'!HC84,"AAAAADe7SqU=")</f>
        <v>#VALUE!</v>
      </c>
      <c r="FK122" t="e">
        <f>AND('UP133'!HD84,"AAAAADe7SqY=")</f>
        <v>#VALUE!</v>
      </c>
      <c r="FL122" t="e">
        <f>AND('UP133'!HE84,"AAAAADe7Sqc=")</f>
        <v>#VALUE!</v>
      </c>
      <c r="FM122" t="e">
        <f>AND('UP133'!HF84,"AAAAADe7Sqg=")</f>
        <v>#VALUE!</v>
      </c>
      <c r="FN122" t="e">
        <f>AND('UP133'!HG84,"AAAAADe7Sqk=")</f>
        <v>#VALUE!</v>
      </c>
      <c r="FO122" t="e">
        <f>AND('UP133'!HH84,"AAAAADe7Sqo=")</f>
        <v>#VALUE!</v>
      </c>
      <c r="FP122" t="e">
        <f>AND('UP133'!HI84,"AAAAADe7Sqs=")</f>
        <v>#VALUE!</v>
      </c>
      <c r="FQ122" t="e">
        <f>AND('UP133'!HJ84,"AAAAADe7Sqw=")</f>
        <v>#VALUE!</v>
      </c>
      <c r="FR122" t="e">
        <f>AND('UP133'!HK84,"AAAAADe7Sq0=")</f>
        <v>#VALUE!</v>
      </c>
      <c r="FS122" t="e">
        <f>AND('UP133'!HL84,"AAAAADe7Sq4=")</f>
        <v>#VALUE!</v>
      </c>
      <c r="FT122" t="e">
        <f>AND('UP133'!HM84,"AAAAADe7Sq8=")</f>
        <v>#VALUE!</v>
      </c>
      <c r="FU122" t="e">
        <f>AND('UP133'!HN84,"AAAAADe7SrA=")</f>
        <v>#VALUE!</v>
      </c>
      <c r="FV122" t="e">
        <f>AND('UP133'!HO84,"AAAAADe7SrE=")</f>
        <v>#VALUE!</v>
      </c>
      <c r="FW122" t="e">
        <f>AND('UP133'!HP84,"AAAAADe7SrI=")</f>
        <v>#VALUE!</v>
      </c>
      <c r="FX122" t="e">
        <f>AND('UP133'!HQ84,"AAAAADe7SrM=")</f>
        <v>#VALUE!</v>
      </c>
      <c r="FY122" t="e">
        <f>AND('UP133'!HR84,"AAAAADe7SrQ=")</f>
        <v>#VALUE!</v>
      </c>
      <c r="FZ122" t="e">
        <f>AND('UP133'!HS84,"AAAAADe7SrU=")</f>
        <v>#VALUE!</v>
      </c>
      <c r="GA122" t="e">
        <f>AND('UP133'!HT84,"AAAAADe7SrY=")</f>
        <v>#VALUE!</v>
      </c>
      <c r="GB122" t="e">
        <f>AND('UP133'!HU84,"AAAAADe7Src=")</f>
        <v>#VALUE!</v>
      </c>
      <c r="GC122" t="e">
        <f>AND('UP133'!HV84,"AAAAADe7Srg=")</f>
        <v>#VALUE!</v>
      </c>
      <c r="GD122" t="e">
        <f>AND('UP133'!HW84,"AAAAADe7Srk=")</f>
        <v>#VALUE!</v>
      </c>
      <c r="GE122" t="e">
        <f>AND('UP133'!HX84,"AAAAADe7Sro=")</f>
        <v>#VALUE!</v>
      </c>
      <c r="GF122" t="e">
        <f>AND('UP133'!HY84,"AAAAADe7Srs=")</f>
        <v>#VALUE!</v>
      </c>
      <c r="GG122" t="e">
        <f>AND('UP133'!HZ84,"AAAAADe7Srw=")</f>
        <v>#VALUE!</v>
      </c>
      <c r="GH122" t="e">
        <f>AND('UP133'!IA84,"AAAAADe7Sr0=")</f>
        <v>#VALUE!</v>
      </c>
      <c r="GI122" t="e">
        <f>AND('UP133'!IB84,"AAAAADe7Sr4=")</f>
        <v>#VALUE!</v>
      </c>
      <c r="GJ122" t="e">
        <f>AND('UP133'!IC84,"AAAAADe7Sr8=")</f>
        <v>#VALUE!</v>
      </c>
      <c r="GK122" t="e">
        <f>AND('UP133'!ID84,"AAAAADe7SsA=")</f>
        <v>#VALUE!</v>
      </c>
      <c r="GL122" t="e">
        <f>AND('UP133'!IE84,"AAAAADe7SsE=")</f>
        <v>#VALUE!</v>
      </c>
      <c r="GM122" t="e">
        <f>AND('UP133'!IF84,"AAAAADe7SsI=")</f>
        <v>#VALUE!</v>
      </c>
      <c r="GN122" t="e">
        <f>AND('UP133'!IG84,"AAAAADe7SsM=")</f>
        <v>#VALUE!</v>
      </c>
      <c r="GO122" t="e">
        <f>AND('UP133'!IH84,"AAAAADe7SsQ=")</f>
        <v>#VALUE!</v>
      </c>
      <c r="GP122" t="e">
        <f>AND('UP133'!II84,"AAAAADe7SsU=")</f>
        <v>#VALUE!</v>
      </c>
      <c r="GQ122" t="e">
        <f>AND('UP133'!IJ84,"AAAAADe7SsY=")</f>
        <v>#VALUE!</v>
      </c>
      <c r="GR122" t="e">
        <f>AND('UP133'!IK84,"AAAAADe7Ssc=")</f>
        <v>#VALUE!</v>
      </c>
      <c r="GS122" t="e">
        <f>AND('UP133'!IL84,"AAAAADe7Ssg=")</f>
        <v>#VALUE!</v>
      </c>
      <c r="GT122" t="e">
        <f>AND('UP133'!IM84,"AAAAADe7Ssk=")</f>
        <v>#VALUE!</v>
      </c>
      <c r="GU122" t="e">
        <f>AND('UP133'!IN84,"AAAAADe7Sso=")</f>
        <v>#VALUE!</v>
      </c>
      <c r="GV122" t="e">
        <f>AND('UP133'!IO84,"AAAAADe7Sss=")</f>
        <v>#VALUE!</v>
      </c>
      <c r="GW122" t="e">
        <f>AND('UP133'!IP84,"AAAAADe7Ssw=")</f>
        <v>#VALUE!</v>
      </c>
      <c r="GX122" t="e">
        <f>AND('UP133'!IQ84,"AAAAADe7Ss0=")</f>
        <v>#VALUE!</v>
      </c>
      <c r="GY122">
        <f>IF('UP133'!85:85,"AAAAADe7Ss4=",0)</f>
        <v>0</v>
      </c>
      <c r="GZ122" t="e">
        <f>AND('UP133'!A85,"AAAAADe7Ss8=")</f>
        <v>#VALUE!</v>
      </c>
      <c r="HA122" t="e">
        <f>AND('UP133'!B85,"AAAAADe7StA=")</f>
        <v>#VALUE!</v>
      </c>
      <c r="HB122" t="e">
        <f>AND('UP133'!C85,"AAAAADe7StE=")</f>
        <v>#VALUE!</v>
      </c>
      <c r="HC122" t="e">
        <f>AND('UP133'!D85,"AAAAADe7StI=")</f>
        <v>#VALUE!</v>
      </c>
      <c r="HD122" t="e">
        <f>AND('UP133'!E85,"AAAAADe7StM=")</f>
        <v>#VALUE!</v>
      </c>
      <c r="HE122" t="e">
        <f>AND('UP133'!F85,"AAAAADe7StQ=")</f>
        <v>#VALUE!</v>
      </c>
      <c r="HF122" t="e">
        <f>AND('UP133'!G85,"AAAAADe7StU=")</f>
        <v>#VALUE!</v>
      </c>
      <c r="HG122" t="e">
        <f>AND('UP133'!H85,"AAAAADe7StY=")</f>
        <v>#VALUE!</v>
      </c>
      <c r="HH122" t="e">
        <f>AND('UP133'!I85,"AAAAADe7Stc=")</f>
        <v>#VALUE!</v>
      </c>
      <c r="HI122" t="e">
        <f>AND('UP133'!J85,"AAAAADe7Stg=")</f>
        <v>#VALUE!</v>
      </c>
      <c r="HJ122" t="e">
        <f>AND('UP133'!K85,"AAAAADe7Stk=")</f>
        <v>#VALUE!</v>
      </c>
      <c r="HK122" t="e">
        <f>AND('UP133'!L85,"AAAAADe7Sto=")</f>
        <v>#VALUE!</v>
      </c>
      <c r="HL122" t="e">
        <f>AND('UP133'!M85,"AAAAADe7Sts=")</f>
        <v>#VALUE!</v>
      </c>
      <c r="HM122" t="e">
        <f>AND('UP133'!N85,"AAAAADe7Stw=")</f>
        <v>#VALUE!</v>
      </c>
      <c r="HN122" t="e">
        <f>AND('UP133'!O85,"AAAAADe7St0=")</f>
        <v>#VALUE!</v>
      </c>
      <c r="HO122" t="e">
        <f>AND('UP133'!P85,"AAAAADe7St4=")</f>
        <v>#VALUE!</v>
      </c>
      <c r="HP122" t="e">
        <f>AND('UP133'!Q85,"AAAAADe7St8=")</f>
        <v>#VALUE!</v>
      </c>
      <c r="HQ122" t="e">
        <f>AND('UP133'!R85,"AAAAADe7SuA=")</f>
        <v>#VALUE!</v>
      </c>
      <c r="HR122" t="e">
        <f>AND('UP133'!S85,"AAAAADe7SuE=")</f>
        <v>#VALUE!</v>
      </c>
      <c r="HS122" t="e">
        <f>AND('UP133'!T85,"AAAAADe7SuI=")</f>
        <v>#VALUE!</v>
      </c>
      <c r="HT122" t="e">
        <f>AND('UP133'!U85,"AAAAADe7SuM=")</f>
        <v>#VALUE!</v>
      </c>
      <c r="HU122" t="e">
        <f>AND('UP133'!V85,"AAAAADe7SuQ=")</f>
        <v>#VALUE!</v>
      </c>
      <c r="HV122" t="e">
        <f>AND('UP133'!W85,"AAAAADe7SuU=")</f>
        <v>#VALUE!</v>
      </c>
      <c r="HW122" t="e">
        <f>AND('UP133'!X85,"AAAAADe7SuY=")</f>
        <v>#VALUE!</v>
      </c>
      <c r="HX122" t="e">
        <f>AND('UP133'!Y85,"AAAAADe7Suc=")</f>
        <v>#VALUE!</v>
      </c>
      <c r="HY122" t="e">
        <f>AND('UP133'!Z85,"AAAAADe7Sug=")</f>
        <v>#VALUE!</v>
      </c>
      <c r="HZ122" t="e">
        <f>AND('UP133'!AA85,"AAAAADe7Suk=")</f>
        <v>#VALUE!</v>
      </c>
      <c r="IA122" t="e">
        <f>AND('UP133'!AB85,"AAAAADe7Suo=")</f>
        <v>#VALUE!</v>
      </c>
      <c r="IB122" t="e">
        <f>AND('UP133'!AC85,"AAAAADe7Sus=")</f>
        <v>#VALUE!</v>
      </c>
      <c r="IC122" t="e">
        <f>AND('UP133'!AD85,"AAAAADe7Suw=")</f>
        <v>#VALUE!</v>
      </c>
      <c r="ID122" t="e">
        <f>AND('UP133'!AE85,"AAAAADe7Su0=")</f>
        <v>#VALUE!</v>
      </c>
      <c r="IE122" t="e">
        <f>AND('UP133'!AF85,"AAAAADe7Su4=")</f>
        <v>#VALUE!</v>
      </c>
      <c r="IF122" t="e">
        <f>AND('UP133'!AG85,"AAAAADe7Su8=")</f>
        <v>#VALUE!</v>
      </c>
      <c r="IG122" t="e">
        <f>AND('UP133'!AH85,"AAAAADe7SvA=")</f>
        <v>#VALUE!</v>
      </c>
      <c r="IH122" t="e">
        <f>AND('UP133'!AI85,"AAAAADe7SvE=")</f>
        <v>#VALUE!</v>
      </c>
      <c r="II122" t="e">
        <f>AND('UP133'!AJ85,"AAAAADe7SvI=")</f>
        <v>#VALUE!</v>
      </c>
      <c r="IJ122" t="e">
        <f>AND('UP133'!AK85,"AAAAADe7SvM=")</f>
        <v>#VALUE!</v>
      </c>
      <c r="IK122" t="e">
        <f>AND('UP133'!AL85,"AAAAADe7SvQ=")</f>
        <v>#VALUE!</v>
      </c>
      <c r="IL122" t="e">
        <f>AND('UP133'!AM85,"AAAAADe7SvU=")</f>
        <v>#VALUE!</v>
      </c>
      <c r="IM122" t="e">
        <f>AND('UP133'!AN85,"AAAAADe7SvY=")</f>
        <v>#VALUE!</v>
      </c>
      <c r="IN122" t="e">
        <f>AND('UP133'!AO85,"AAAAADe7Svc=")</f>
        <v>#VALUE!</v>
      </c>
      <c r="IO122" t="e">
        <f>AND('UP133'!AP85,"AAAAADe7Svg=")</f>
        <v>#VALUE!</v>
      </c>
      <c r="IP122" t="e">
        <f>AND('UP133'!AQ85,"AAAAADe7Svk=")</f>
        <v>#VALUE!</v>
      </c>
      <c r="IQ122" t="e">
        <f>AND('UP133'!AR85,"AAAAADe7Svo=")</f>
        <v>#VALUE!</v>
      </c>
      <c r="IR122" t="e">
        <f>AND('UP133'!AS85,"AAAAADe7Svs=")</f>
        <v>#VALUE!</v>
      </c>
      <c r="IS122" t="e">
        <f>AND('UP133'!AT85,"AAAAADe7Svw=")</f>
        <v>#VALUE!</v>
      </c>
      <c r="IT122" t="e">
        <f>AND('UP133'!AU85,"AAAAADe7Sv0=")</f>
        <v>#VALUE!</v>
      </c>
      <c r="IU122" t="e">
        <f>AND('UP133'!AV85,"AAAAADe7Sv4=")</f>
        <v>#VALUE!</v>
      </c>
      <c r="IV122" t="e">
        <f>AND('UP133'!AW85,"AAAAADe7Sv8=")</f>
        <v>#VALUE!</v>
      </c>
    </row>
    <row r="123" spans="1:256">
      <c r="A123" t="e">
        <f>AND('UP133'!AX85,"AAAAAC/93wA=")</f>
        <v>#VALUE!</v>
      </c>
      <c r="B123" t="e">
        <f>AND('UP133'!AY85,"AAAAAC/93wE=")</f>
        <v>#VALUE!</v>
      </c>
      <c r="C123" t="e">
        <f>AND('UP133'!AZ85,"AAAAAC/93wI=")</f>
        <v>#VALUE!</v>
      </c>
      <c r="D123" t="e">
        <f>AND('UP133'!BA85,"AAAAAC/93wM=")</f>
        <v>#VALUE!</v>
      </c>
      <c r="E123" t="e">
        <f>AND('UP133'!BB85,"AAAAAC/93wQ=")</f>
        <v>#VALUE!</v>
      </c>
      <c r="F123" t="e">
        <f>AND('UP133'!BC85,"AAAAAC/93wU=")</f>
        <v>#VALUE!</v>
      </c>
      <c r="G123" t="e">
        <f>AND('UP133'!BD85,"AAAAAC/93wY=")</f>
        <v>#VALUE!</v>
      </c>
      <c r="H123" t="e">
        <f>AND('UP133'!BE85,"AAAAAC/93wc=")</f>
        <v>#VALUE!</v>
      </c>
      <c r="I123" t="e">
        <f>AND('UP133'!BF85,"AAAAAC/93wg=")</f>
        <v>#VALUE!</v>
      </c>
      <c r="J123" t="e">
        <f>AND('UP133'!BG85,"AAAAAC/93wk=")</f>
        <v>#VALUE!</v>
      </c>
      <c r="K123" t="e">
        <f>AND('UP133'!BH85,"AAAAAC/93wo=")</f>
        <v>#VALUE!</v>
      </c>
      <c r="L123" t="e">
        <f>AND('UP133'!BI85,"AAAAAC/93ws=")</f>
        <v>#VALUE!</v>
      </c>
      <c r="M123" t="e">
        <f>AND('UP133'!BJ85,"AAAAAC/93ww=")</f>
        <v>#VALUE!</v>
      </c>
      <c r="N123" t="e">
        <f>AND('UP133'!BK85,"AAAAAC/93w0=")</f>
        <v>#VALUE!</v>
      </c>
      <c r="O123" t="e">
        <f>AND('UP133'!BL85,"AAAAAC/93w4=")</f>
        <v>#VALUE!</v>
      </c>
      <c r="P123" t="e">
        <f>AND('UP133'!BM85,"AAAAAC/93w8=")</f>
        <v>#VALUE!</v>
      </c>
      <c r="Q123" t="e">
        <f>AND('UP133'!BN85,"AAAAAC/93xA=")</f>
        <v>#VALUE!</v>
      </c>
      <c r="R123" t="e">
        <f>AND('UP133'!BO85,"AAAAAC/93xE=")</f>
        <v>#VALUE!</v>
      </c>
      <c r="S123" t="e">
        <f>AND('UP133'!BP85,"AAAAAC/93xI=")</f>
        <v>#VALUE!</v>
      </c>
      <c r="T123" t="e">
        <f>AND('UP133'!BQ85,"AAAAAC/93xM=")</f>
        <v>#VALUE!</v>
      </c>
      <c r="U123" t="e">
        <f>AND('UP133'!BR85,"AAAAAC/93xQ=")</f>
        <v>#VALUE!</v>
      </c>
      <c r="V123" t="e">
        <f>AND('UP133'!BS85,"AAAAAC/93xU=")</f>
        <v>#VALUE!</v>
      </c>
      <c r="W123" t="e">
        <f>AND('UP133'!BT85,"AAAAAC/93xY=")</f>
        <v>#VALUE!</v>
      </c>
      <c r="X123" t="e">
        <f>AND('UP133'!BU85,"AAAAAC/93xc=")</f>
        <v>#VALUE!</v>
      </c>
      <c r="Y123" t="e">
        <f>AND('UP133'!BV85,"AAAAAC/93xg=")</f>
        <v>#VALUE!</v>
      </c>
      <c r="Z123" t="e">
        <f>AND('UP133'!BW85,"AAAAAC/93xk=")</f>
        <v>#VALUE!</v>
      </c>
      <c r="AA123" t="e">
        <f>AND('UP133'!BX85,"AAAAAC/93xo=")</f>
        <v>#VALUE!</v>
      </c>
      <c r="AB123" t="e">
        <f>AND('UP133'!BY85,"AAAAAC/93xs=")</f>
        <v>#VALUE!</v>
      </c>
      <c r="AC123" t="e">
        <f>AND('UP133'!BZ85,"AAAAAC/93xw=")</f>
        <v>#VALUE!</v>
      </c>
      <c r="AD123" t="e">
        <f>AND('UP133'!CA85,"AAAAAC/93x0=")</f>
        <v>#VALUE!</v>
      </c>
      <c r="AE123" t="e">
        <f>AND('UP133'!CB85,"AAAAAC/93x4=")</f>
        <v>#VALUE!</v>
      </c>
      <c r="AF123" t="e">
        <f>AND('UP133'!CC85,"AAAAAC/93x8=")</f>
        <v>#VALUE!</v>
      </c>
      <c r="AG123" t="e">
        <f>AND('UP133'!CD85,"AAAAAC/93yA=")</f>
        <v>#VALUE!</v>
      </c>
      <c r="AH123" t="e">
        <f>AND('UP133'!CE85,"AAAAAC/93yE=")</f>
        <v>#VALUE!</v>
      </c>
      <c r="AI123" t="e">
        <f>AND('UP133'!CF85,"AAAAAC/93yI=")</f>
        <v>#VALUE!</v>
      </c>
      <c r="AJ123" t="e">
        <f>AND('UP133'!CG85,"AAAAAC/93yM=")</f>
        <v>#VALUE!</v>
      </c>
      <c r="AK123" t="e">
        <f>AND('UP133'!CH85,"AAAAAC/93yQ=")</f>
        <v>#VALUE!</v>
      </c>
      <c r="AL123" t="e">
        <f>AND('UP133'!CI85,"AAAAAC/93yU=")</f>
        <v>#VALUE!</v>
      </c>
      <c r="AM123" t="e">
        <f>AND('UP133'!CJ85,"AAAAAC/93yY=")</f>
        <v>#VALUE!</v>
      </c>
      <c r="AN123" t="e">
        <f>AND('UP133'!CK85,"AAAAAC/93yc=")</f>
        <v>#VALUE!</v>
      </c>
      <c r="AO123" t="e">
        <f>AND('UP133'!CL85,"AAAAAC/93yg=")</f>
        <v>#VALUE!</v>
      </c>
      <c r="AP123" t="e">
        <f>AND('UP133'!CM85,"AAAAAC/93yk=")</f>
        <v>#VALUE!</v>
      </c>
      <c r="AQ123" t="e">
        <f>AND('UP133'!CN85,"AAAAAC/93yo=")</f>
        <v>#VALUE!</v>
      </c>
      <c r="AR123" t="e">
        <f>AND('UP133'!CO85,"AAAAAC/93ys=")</f>
        <v>#VALUE!</v>
      </c>
      <c r="AS123" t="e">
        <f>AND('UP133'!CP85,"AAAAAC/93yw=")</f>
        <v>#VALUE!</v>
      </c>
      <c r="AT123" t="e">
        <f>AND('UP133'!CQ85,"AAAAAC/93y0=")</f>
        <v>#VALUE!</v>
      </c>
      <c r="AU123" t="e">
        <f>AND('UP133'!CR85,"AAAAAC/93y4=")</f>
        <v>#VALUE!</v>
      </c>
      <c r="AV123" t="e">
        <f>AND('UP133'!CS85,"AAAAAC/93y8=")</f>
        <v>#VALUE!</v>
      </c>
      <c r="AW123" t="e">
        <f>AND('UP133'!CT85,"AAAAAC/93zA=")</f>
        <v>#VALUE!</v>
      </c>
      <c r="AX123" t="e">
        <f>AND('UP133'!CU85,"AAAAAC/93zE=")</f>
        <v>#VALUE!</v>
      </c>
      <c r="AY123" t="e">
        <f>AND('UP133'!CV85,"AAAAAC/93zI=")</f>
        <v>#VALUE!</v>
      </c>
      <c r="AZ123" t="e">
        <f>AND('UP133'!CW85,"AAAAAC/93zM=")</f>
        <v>#VALUE!</v>
      </c>
      <c r="BA123" t="e">
        <f>AND('UP133'!CX85,"AAAAAC/93zQ=")</f>
        <v>#VALUE!</v>
      </c>
      <c r="BB123" t="e">
        <f>AND('UP133'!CY85,"AAAAAC/93zU=")</f>
        <v>#VALUE!</v>
      </c>
      <c r="BC123" t="e">
        <f>AND('UP133'!CZ85,"AAAAAC/93zY=")</f>
        <v>#VALUE!</v>
      </c>
      <c r="BD123" t="e">
        <f>AND('UP133'!DA85,"AAAAAC/93zc=")</f>
        <v>#VALUE!</v>
      </c>
      <c r="BE123" t="e">
        <f>AND('UP133'!DB85,"AAAAAC/93zg=")</f>
        <v>#VALUE!</v>
      </c>
      <c r="BF123" t="e">
        <f>AND('UP133'!DC85,"AAAAAC/93zk=")</f>
        <v>#VALUE!</v>
      </c>
      <c r="BG123" t="e">
        <f>AND('UP133'!DD85,"AAAAAC/93zo=")</f>
        <v>#VALUE!</v>
      </c>
      <c r="BH123" t="e">
        <f>AND('UP133'!DE85,"AAAAAC/93zs=")</f>
        <v>#VALUE!</v>
      </c>
      <c r="BI123" t="e">
        <f>AND('UP133'!DF85,"AAAAAC/93zw=")</f>
        <v>#VALUE!</v>
      </c>
      <c r="BJ123" t="e">
        <f>AND('UP133'!DG85,"AAAAAC/93z0=")</f>
        <v>#VALUE!</v>
      </c>
      <c r="BK123" t="e">
        <f>AND('UP133'!DH85,"AAAAAC/93z4=")</f>
        <v>#VALUE!</v>
      </c>
      <c r="BL123" t="e">
        <f>AND('UP133'!DI85,"AAAAAC/93z8=")</f>
        <v>#VALUE!</v>
      </c>
      <c r="BM123" t="e">
        <f>AND('UP133'!DJ85,"AAAAAC/930A=")</f>
        <v>#VALUE!</v>
      </c>
      <c r="BN123" t="e">
        <f>AND('UP133'!DK85,"AAAAAC/930E=")</f>
        <v>#VALUE!</v>
      </c>
      <c r="BO123" t="e">
        <f>AND('UP133'!DL85,"AAAAAC/930I=")</f>
        <v>#VALUE!</v>
      </c>
      <c r="BP123" t="e">
        <f>AND('UP133'!DM85,"AAAAAC/930M=")</f>
        <v>#VALUE!</v>
      </c>
      <c r="BQ123" t="e">
        <f>AND('UP133'!DN85,"AAAAAC/930Q=")</f>
        <v>#VALUE!</v>
      </c>
      <c r="BR123" t="e">
        <f>AND('UP133'!DO85,"AAAAAC/930U=")</f>
        <v>#VALUE!</v>
      </c>
      <c r="BS123" t="e">
        <f>AND('UP133'!DP85,"AAAAAC/930Y=")</f>
        <v>#VALUE!</v>
      </c>
      <c r="BT123" t="e">
        <f>AND('UP133'!DQ85,"AAAAAC/930c=")</f>
        <v>#VALUE!</v>
      </c>
      <c r="BU123" t="e">
        <f>AND('UP133'!DR85,"AAAAAC/930g=")</f>
        <v>#VALUE!</v>
      </c>
      <c r="BV123" t="e">
        <f>AND('UP133'!DS85,"AAAAAC/930k=")</f>
        <v>#VALUE!</v>
      </c>
      <c r="BW123" t="e">
        <f>AND('UP133'!DT85,"AAAAAC/930o=")</f>
        <v>#VALUE!</v>
      </c>
      <c r="BX123" t="e">
        <f>AND('UP133'!DU85,"AAAAAC/930s=")</f>
        <v>#VALUE!</v>
      </c>
      <c r="BY123" t="e">
        <f>AND('UP133'!DV85,"AAAAAC/930w=")</f>
        <v>#VALUE!</v>
      </c>
      <c r="BZ123" t="e">
        <f>AND('UP133'!DW85,"AAAAAC/9300=")</f>
        <v>#VALUE!</v>
      </c>
      <c r="CA123" t="e">
        <f>AND('UP133'!DX85,"AAAAAC/9304=")</f>
        <v>#VALUE!</v>
      </c>
      <c r="CB123" t="e">
        <f>AND('UP133'!DY85,"AAAAAC/9308=")</f>
        <v>#VALUE!</v>
      </c>
      <c r="CC123" t="e">
        <f>AND('UP133'!DZ85,"AAAAAC/931A=")</f>
        <v>#VALUE!</v>
      </c>
      <c r="CD123" t="e">
        <f>AND('UP133'!EA85,"AAAAAC/931E=")</f>
        <v>#VALUE!</v>
      </c>
      <c r="CE123" t="e">
        <f>AND('UP133'!EB85,"AAAAAC/931I=")</f>
        <v>#VALUE!</v>
      </c>
      <c r="CF123" t="e">
        <f>AND('UP133'!EC85,"AAAAAC/931M=")</f>
        <v>#VALUE!</v>
      </c>
      <c r="CG123" t="e">
        <f>AND('UP133'!ED85,"AAAAAC/931Q=")</f>
        <v>#VALUE!</v>
      </c>
      <c r="CH123" t="e">
        <f>AND('UP133'!EE85,"AAAAAC/931U=")</f>
        <v>#VALUE!</v>
      </c>
      <c r="CI123" t="e">
        <f>AND('UP133'!EF85,"AAAAAC/931Y=")</f>
        <v>#VALUE!</v>
      </c>
      <c r="CJ123" t="e">
        <f>AND('UP133'!EG85,"AAAAAC/931c=")</f>
        <v>#VALUE!</v>
      </c>
      <c r="CK123" t="e">
        <f>AND('UP133'!EH85,"AAAAAC/931g=")</f>
        <v>#VALUE!</v>
      </c>
      <c r="CL123" t="e">
        <f>AND('UP133'!EI85,"AAAAAC/931k=")</f>
        <v>#VALUE!</v>
      </c>
      <c r="CM123" t="e">
        <f>AND('UP133'!EJ85,"AAAAAC/931o=")</f>
        <v>#VALUE!</v>
      </c>
      <c r="CN123" t="e">
        <f>AND('UP133'!EK85,"AAAAAC/931s=")</f>
        <v>#VALUE!</v>
      </c>
      <c r="CO123" t="e">
        <f>AND('UP133'!EL85,"AAAAAC/931w=")</f>
        <v>#VALUE!</v>
      </c>
      <c r="CP123" t="e">
        <f>AND('UP133'!EM85,"AAAAAC/9310=")</f>
        <v>#VALUE!</v>
      </c>
      <c r="CQ123" t="e">
        <f>AND('UP133'!EN85,"AAAAAC/9314=")</f>
        <v>#VALUE!</v>
      </c>
      <c r="CR123" t="e">
        <f>AND('UP133'!EO85,"AAAAAC/9318=")</f>
        <v>#VALUE!</v>
      </c>
      <c r="CS123" t="e">
        <f>AND('UP133'!EP85,"AAAAAC/932A=")</f>
        <v>#VALUE!</v>
      </c>
      <c r="CT123" t="e">
        <f>AND('UP133'!EQ85,"AAAAAC/932E=")</f>
        <v>#VALUE!</v>
      </c>
      <c r="CU123" t="e">
        <f>AND('UP133'!ER85,"AAAAAC/932I=")</f>
        <v>#VALUE!</v>
      </c>
      <c r="CV123" t="e">
        <f>AND('UP133'!ES85,"AAAAAC/932M=")</f>
        <v>#VALUE!</v>
      </c>
      <c r="CW123" t="e">
        <f>AND('UP133'!ET85,"AAAAAC/932Q=")</f>
        <v>#VALUE!</v>
      </c>
      <c r="CX123" t="e">
        <f>AND('UP133'!EU85,"AAAAAC/932U=")</f>
        <v>#VALUE!</v>
      </c>
      <c r="CY123" t="e">
        <f>AND('UP133'!EV85,"AAAAAC/932Y=")</f>
        <v>#VALUE!</v>
      </c>
      <c r="CZ123" t="e">
        <f>AND('UP133'!EW85,"AAAAAC/932c=")</f>
        <v>#VALUE!</v>
      </c>
      <c r="DA123" t="e">
        <f>AND('UP133'!EX85,"AAAAAC/932g=")</f>
        <v>#VALUE!</v>
      </c>
      <c r="DB123" t="e">
        <f>AND('UP133'!EY85,"AAAAAC/932k=")</f>
        <v>#VALUE!</v>
      </c>
      <c r="DC123" t="e">
        <f>AND('UP133'!EZ85,"AAAAAC/932o=")</f>
        <v>#VALUE!</v>
      </c>
      <c r="DD123" t="e">
        <f>AND('UP133'!FA85,"AAAAAC/932s=")</f>
        <v>#VALUE!</v>
      </c>
      <c r="DE123" t="e">
        <f>AND('UP133'!FB85,"AAAAAC/932w=")</f>
        <v>#VALUE!</v>
      </c>
      <c r="DF123" t="e">
        <f>AND('UP133'!FC85,"AAAAAC/9320=")</f>
        <v>#VALUE!</v>
      </c>
      <c r="DG123" t="e">
        <f>AND('UP133'!FD85,"AAAAAC/9324=")</f>
        <v>#VALUE!</v>
      </c>
      <c r="DH123" t="e">
        <f>AND('UP133'!FE85,"AAAAAC/9328=")</f>
        <v>#VALUE!</v>
      </c>
      <c r="DI123" t="e">
        <f>AND('UP133'!FF85,"AAAAAC/933A=")</f>
        <v>#VALUE!</v>
      </c>
      <c r="DJ123" t="e">
        <f>AND('UP133'!FG85,"AAAAAC/933E=")</f>
        <v>#VALUE!</v>
      </c>
      <c r="DK123" t="e">
        <f>AND('UP133'!FH85,"AAAAAC/933I=")</f>
        <v>#VALUE!</v>
      </c>
      <c r="DL123" t="e">
        <f>AND('UP133'!FI85,"AAAAAC/933M=")</f>
        <v>#VALUE!</v>
      </c>
      <c r="DM123" t="e">
        <f>AND('UP133'!FJ85,"AAAAAC/933Q=")</f>
        <v>#VALUE!</v>
      </c>
      <c r="DN123" t="e">
        <f>AND('UP133'!FK85,"AAAAAC/933U=")</f>
        <v>#VALUE!</v>
      </c>
      <c r="DO123" t="e">
        <f>AND('UP133'!FL85,"AAAAAC/933Y=")</f>
        <v>#VALUE!</v>
      </c>
      <c r="DP123" t="e">
        <f>AND('UP133'!FM85,"AAAAAC/933c=")</f>
        <v>#VALUE!</v>
      </c>
      <c r="DQ123" t="e">
        <f>AND('UP133'!FN85,"AAAAAC/933g=")</f>
        <v>#VALUE!</v>
      </c>
      <c r="DR123" t="e">
        <f>AND('UP133'!FO85,"AAAAAC/933k=")</f>
        <v>#VALUE!</v>
      </c>
      <c r="DS123" t="e">
        <f>AND('UP133'!FP85,"AAAAAC/933o=")</f>
        <v>#VALUE!</v>
      </c>
      <c r="DT123" t="e">
        <f>AND('UP133'!FQ85,"AAAAAC/933s=")</f>
        <v>#VALUE!</v>
      </c>
      <c r="DU123" t="e">
        <f>AND('UP133'!FR85,"AAAAAC/933w=")</f>
        <v>#VALUE!</v>
      </c>
      <c r="DV123" t="e">
        <f>AND('UP133'!FS85,"AAAAAC/9330=")</f>
        <v>#VALUE!</v>
      </c>
      <c r="DW123" t="e">
        <f>AND('UP133'!FT85,"AAAAAC/9334=")</f>
        <v>#VALUE!</v>
      </c>
      <c r="DX123" t="e">
        <f>AND('UP133'!FU85,"AAAAAC/9338=")</f>
        <v>#VALUE!</v>
      </c>
      <c r="DY123" t="e">
        <f>AND('UP133'!FV85,"AAAAAC/934A=")</f>
        <v>#VALUE!</v>
      </c>
      <c r="DZ123" t="e">
        <f>AND('UP133'!FW85,"AAAAAC/934E=")</f>
        <v>#VALUE!</v>
      </c>
      <c r="EA123" t="e">
        <f>AND('UP133'!FX85,"AAAAAC/934I=")</f>
        <v>#VALUE!</v>
      </c>
      <c r="EB123" t="e">
        <f>AND('UP133'!FY85,"AAAAAC/934M=")</f>
        <v>#VALUE!</v>
      </c>
      <c r="EC123" t="e">
        <f>AND('UP133'!FZ85,"AAAAAC/934Q=")</f>
        <v>#VALUE!</v>
      </c>
      <c r="ED123" t="e">
        <f>AND('UP133'!GA85,"AAAAAC/934U=")</f>
        <v>#VALUE!</v>
      </c>
      <c r="EE123" t="e">
        <f>AND('UP133'!GB85,"AAAAAC/934Y=")</f>
        <v>#VALUE!</v>
      </c>
      <c r="EF123" t="e">
        <f>AND('UP133'!GC85,"AAAAAC/934c=")</f>
        <v>#VALUE!</v>
      </c>
      <c r="EG123" t="e">
        <f>AND('UP133'!GD85,"AAAAAC/934g=")</f>
        <v>#VALUE!</v>
      </c>
      <c r="EH123" t="e">
        <f>AND('UP133'!GE85,"AAAAAC/934k=")</f>
        <v>#VALUE!</v>
      </c>
      <c r="EI123" t="e">
        <f>AND('UP133'!GF85,"AAAAAC/934o=")</f>
        <v>#VALUE!</v>
      </c>
      <c r="EJ123" t="e">
        <f>AND('UP133'!GG85,"AAAAAC/934s=")</f>
        <v>#VALUE!</v>
      </c>
      <c r="EK123" t="e">
        <f>AND('UP133'!GH85,"AAAAAC/934w=")</f>
        <v>#VALUE!</v>
      </c>
      <c r="EL123" t="e">
        <f>AND('UP133'!GI85,"AAAAAC/9340=")</f>
        <v>#VALUE!</v>
      </c>
      <c r="EM123" t="e">
        <f>AND('UP133'!GJ85,"AAAAAC/9344=")</f>
        <v>#VALUE!</v>
      </c>
      <c r="EN123" t="e">
        <f>AND('UP133'!GK85,"AAAAAC/9348=")</f>
        <v>#VALUE!</v>
      </c>
      <c r="EO123" t="e">
        <f>AND('UP133'!GL85,"AAAAAC/935A=")</f>
        <v>#VALUE!</v>
      </c>
      <c r="EP123" t="e">
        <f>AND('UP133'!GM85,"AAAAAC/935E=")</f>
        <v>#VALUE!</v>
      </c>
      <c r="EQ123" t="e">
        <f>AND('UP133'!GN85,"AAAAAC/935I=")</f>
        <v>#VALUE!</v>
      </c>
      <c r="ER123" t="e">
        <f>AND('UP133'!GO85,"AAAAAC/935M=")</f>
        <v>#VALUE!</v>
      </c>
      <c r="ES123" t="e">
        <f>AND('UP133'!GP85,"AAAAAC/935Q=")</f>
        <v>#VALUE!</v>
      </c>
      <c r="ET123" t="e">
        <f>AND('UP133'!GQ85,"AAAAAC/935U=")</f>
        <v>#VALUE!</v>
      </c>
      <c r="EU123" t="e">
        <f>AND('UP133'!GR85,"AAAAAC/935Y=")</f>
        <v>#VALUE!</v>
      </c>
      <c r="EV123" t="e">
        <f>AND('UP133'!GS85,"AAAAAC/935c=")</f>
        <v>#VALUE!</v>
      </c>
      <c r="EW123" t="e">
        <f>AND('UP133'!GT85,"AAAAAC/935g=")</f>
        <v>#VALUE!</v>
      </c>
      <c r="EX123" t="e">
        <f>AND('UP133'!GU85,"AAAAAC/935k=")</f>
        <v>#VALUE!</v>
      </c>
      <c r="EY123" t="e">
        <f>AND('UP133'!GV85,"AAAAAC/935o=")</f>
        <v>#VALUE!</v>
      </c>
      <c r="EZ123" t="e">
        <f>AND('UP133'!GW85,"AAAAAC/935s=")</f>
        <v>#VALUE!</v>
      </c>
      <c r="FA123" t="e">
        <f>AND('UP133'!GX85,"AAAAAC/935w=")</f>
        <v>#VALUE!</v>
      </c>
      <c r="FB123" t="e">
        <f>AND('UP133'!GY85,"AAAAAC/9350=")</f>
        <v>#VALUE!</v>
      </c>
      <c r="FC123" t="e">
        <f>AND('UP133'!GZ85,"AAAAAC/9354=")</f>
        <v>#VALUE!</v>
      </c>
      <c r="FD123" t="e">
        <f>AND('UP133'!HA85,"AAAAAC/9358=")</f>
        <v>#VALUE!</v>
      </c>
      <c r="FE123" t="e">
        <f>AND('UP133'!HB85,"AAAAAC/936A=")</f>
        <v>#VALUE!</v>
      </c>
      <c r="FF123" t="e">
        <f>AND('UP133'!HC85,"AAAAAC/936E=")</f>
        <v>#VALUE!</v>
      </c>
      <c r="FG123" t="e">
        <f>AND('UP133'!HD85,"AAAAAC/936I=")</f>
        <v>#VALUE!</v>
      </c>
      <c r="FH123" t="e">
        <f>AND('UP133'!HE85,"AAAAAC/936M=")</f>
        <v>#VALUE!</v>
      </c>
      <c r="FI123" t="e">
        <f>AND('UP133'!HF85,"AAAAAC/936Q=")</f>
        <v>#VALUE!</v>
      </c>
      <c r="FJ123" t="e">
        <f>AND('UP133'!HG85,"AAAAAC/936U=")</f>
        <v>#VALUE!</v>
      </c>
      <c r="FK123" t="e">
        <f>AND('UP133'!HH85,"AAAAAC/936Y=")</f>
        <v>#VALUE!</v>
      </c>
      <c r="FL123" t="e">
        <f>AND('UP133'!HI85,"AAAAAC/936c=")</f>
        <v>#VALUE!</v>
      </c>
      <c r="FM123" t="e">
        <f>AND('UP133'!HJ85,"AAAAAC/936g=")</f>
        <v>#VALUE!</v>
      </c>
      <c r="FN123" t="e">
        <f>AND('UP133'!HK85,"AAAAAC/936k=")</f>
        <v>#VALUE!</v>
      </c>
      <c r="FO123" t="e">
        <f>AND('UP133'!HL85,"AAAAAC/936o=")</f>
        <v>#VALUE!</v>
      </c>
      <c r="FP123" t="e">
        <f>AND('UP133'!HM85,"AAAAAC/936s=")</f>
        <v>#VALUE!</v>
      </c>
      <c r="FQ123" t="e">
        <f>AND('UP133'!HN85,"AAAAAC/936w=")</f>
        <v>#VALUE!</v>
      </c>
      <c r="FR123" t="e">
        <f>AND('UP133'!HO85,"AAAAAC/9360=")</f>
        <v>#VALUE!</v>
      </c>
      <c r="FS123" t="e">
        <f>AND('UP133'!HP85,"AAAAAC/9364=")</f>
        <v>#VALUE!</v>
      </c>
      <c r="FT123" t="e">
        <f>AND('UP133'!HQ85,"AAAAAC/9368=")</f>
        <v>#VALUE!</v>
      </c>
      <c r="FU123" t="e">
        <f>AND('UP133'!HR85,"AAAAAC/937A=")</f>
        <v>#VALUE!</v>
      </c>
      <c r="FV123" t="e">
        <f>AND('UP133'!HS85,"AAAAAC/937E=")</f>
        <v>#VALUE!</v>
      </c>
      <c r="FW123" t="e">
        <f>AND('UP133'!HT85,"AAAAAC/937I=")</f>
        <v>#VALUE!</v>
      </c>
      <c r="FX123" t="e">
        <f>AND('UP133'!HU85,"AAAAAC/937M=")</f>
        <v>#VALUE!</v>
      </c>
      <c r="FY123" t="e">
        <f>AND('UP133'!HV85,"AAAAAC/937Q=")</f>
        <v>#VALUE!</v>
      </c>
      <c r="FZ123" t="e">
        <f>AND('UP133'!HW85,"AAAAAC/937U=")</f>
        <v>#VALUE!</v>
      </c>
      <c r="GA123" t="e">
        <f>AND('UP133'!HX85,"AAAAAC/937Y=")</f>
        <v>#VALUE!</v>
      </c>
      <c r="GB123" t="e">
        <f>AND('UP133'!HY85,"AAAAAC/937c=")</f>
        <v>#VALUE!</v>
      </c>
      <c r="GC123" t="e">
        <f>AND('UP133'!HZ85,"AAAAAC/937g=")</f>
        <v>#VALUE!</v>
      </c>
      <c r="GD123" t="e">
        <f>AND('UP133'!IA85,"AAAAAC/937k=")</f>
        <v>#VALUE!</v>
      </c>
      <c r="GE123" t="e">
        <f>AND('UP133'!IB85,"AAAAAC/937o=")</f>
        <v>#VALUE!</v>
      </c>
      <c r="GF123" t="e">
        <f>AND('UP133'!IC85,"AAAAAC/937s=")</f>
        <v>#VALUE!</v>
      </c>
      <c r="GG123" t="e">
        <f>AND('UP133'!ID85,"AAAAAC/937w=")</f>
        <v>#VALUE!</v>
      </c>
      <c r="GH123" t="e">
        <f>AND('UP133'!IE85,"AAAAAC/9370=")</f>
        <v>#VALUE!</v>
      </c>
      <c r="GI123" t="e">
        <f>AND('UP133'!IF85,"AAAAAC/9374=")</f>
        <v>#VALUE!</v>
      </c>
      <c r="GJ123" t="e">
        <f>AND('UP133'!IG85,"AAAAAC/9378=")</f>
        <v>#VALUE!</v>
      </c>
      <c r="GK123" t="e">
        <f>AND('UP133'!IH85,"AAAAAC/938A=")</f>
        <v>#VALUE!</v>
      </c>
      <c r="GL123" t="e">
        <f>AND('UP133'!II85,"AAAAAC/938E=")</f>
        <v>#VALUE!</v>
      </c>
      <c r="GM123" t="e">
        <f>AND('UP133'!IJ85,"AAAAAC/938I=")</f>
        <v>#VALUE!</v>
      </c>
      <c r="GN123" t="e">
        <f>AND('UP133'!IK85,"AAAAAC/938M=")</f>
        <v>#VALUE!</v>
      </c>
      <c r="GO123" t="e">
        <f>AND('UP133'!IL85,"AAAAAC/938Q=")</f>
        <v>#VALUE!</v>
      </c>
      <c r="GP123" t="e">
        <f>AND('UP133'!IM85,"AAAAAC/938U=")</f>
        <v>#VALUE!</v>
      </c>
      <c r="GQ123" t="e">
        <f>AND('UP133'!IN85,"AAAAAC/938Y=")</f>
        <v>#VALUE!</v>
      </c>
      <c r="GR123" t="e">
        <f>AND('UP133'!IO85,"AAAAAC/938c=")</f>
        <v>#VALUE!</v>
      </c>
      <c r="GS123" t="e">
        <f>AND('UP133'!IP85,"AAAAAC/938g=")</f>
        <v>#VALUE!</v>
      </c>
      <c r="GT123" t="e">
        <f>AND('UP133'!IQ85,"AAAAAC/938k=")</f>
        <v>#VALUE!</v>
      </c>
      <c r="GU123">
        <f>IF('UP133'!86:86,"AAAAAC/938o=",0)</f>
        <v>0</v>
      </c>
      <c r="GV123" t="e">
        <f>AND('UP133'!A86,"AAAAAC/938s=")</f>
        <v>#VALUE!</v>
      </c>
      <c r="GW123" t="e">
        <f>AND('UP133'!B86,"AAAAAC/938w=")</f>
        <v>#VALUE!</v>
      </c>
      <c r="GX123" t="e">
        <f>AND('UP133'!C86,"AAAAAC/9380=")</f>
        <v>#VALUE!</v>
      </c>
      <c r="GY123" t="e">
        <f>AND('UP133'!D86,"AAAAAC/9384=")</f>
        <v>#VALUE!</v>
      </c>
      <c r="GZ123" t="e">
        <f>AND('UP133'!E86,"AAAAAC/9388=")</f>
        <v>#VALUE!</v>
      </c>
      <c r="HA123" t="e">
        <f>AND('UP133'!F86,"AAAAAC/939A=")</f>
        <v>#VALUE!</v>
      </c>
      <c r="HB123" t="e">
        <f>AND('UP133'!G86,"AAAAAC/939E=")</f>
        <v>#VALUE!</v>
      </c>
      <c r="HC123" t="e">
        <f>AND('UP133'!H86,"AAAAAC/939I=")</f>
        <v>#VALUE!</v>
      </c>
      <c r="HD123" t="e">
        <f>AND('UP133'!I86,"AAAAAC/939M=")</f>
        <v>#VALUE!</v>
      </c>
      <c r="HE123" t="e">
        <f>AND('UP133'!J86,"AAAAAC/939Q=")</f>
        <v>#VALUE!</v>
      </c>
      <c r="HF123" t="e">
        <f>AND('UP133'!K86,"AAAAAC/939U=")</f>
        <v>#VALUE!</v>
      </c>
      <c r="HG123" t="e">
        <f>AND('UP133'!L86,"AAAAAC/939Y=")</f>
        <v>#VALUE!</v>
      </c>
      <c r="HH123" t="e">
        <f>AND('UP133'!M86,"AAAAAC/939c=")</f>
        <v>#VALUE!</v>
      </c>
      <c r="HI123" t="e">
        <f>AND('UP133'!N86,"AAAAAC/939g=")</f>
        <v>#VALUE!</v>
      </c>
      <c r="HJ123" t="e">
        <f>AND('UP133'!O86,"AAAAAC/939k=")</f>
        <v>#VALUE!</v>
      </c>
      <c r="HK123" t="e">
        <f>AND('UP133'!P86,"AAAAAC/939o=")</f>
        <v>#VALUE!</v>
      </c>
      <c r="HL123" t="e">
        <f>AND('UP133'!Q86,"AAAAAC/939s=")</f>
        <v>#VALUE!</v>
      </c>
      <c r="HM123" t="e">
        <f>AND('UP133'!R86,"AAAAAC/939w=")</f>
        <v>#VALUE!</v>
      </c>
      <c r="HN123" t="e">
        <f>AND('UP133'!S86,"AAAAAC/9390=")</f>
        <v>#VALUE!</v>
      </c>
      <c r="HO123" t="e">
        <f>AND('UP133'!T86,"AAAAAC/9394=")</f>
        <v>#VALUE!</v>
      </c>
      <c r="HP123" t="e">
        <f>AND('UP133'!U86,"AAAAAC/9398=")</f>
        <v>#VALUE!</v>
      </c>
      <c r="HQ123" t="e">
        <f>AND('UP133'!V86,"AAAAAC/93+A=")</f>
        <v>#VALUE!</v>
      </c>
      <c r="HR123" t="e">
        <f>AND('UP133'!W86,"AAAAAC/93+E=")</f>
        <v>#VALUE!</v>
      </c>
      <c r="HS123" t="e">
        <f>AND('UP133'!X86,"AAAAAC/93+I=")</f>
        <v>#VALUE!</v>
      </c>
      <c r="HT123" t="e">
        <f>AND('UP133'!Y86,"AAAAAC/93+M=")</f>
        <v>#VALUE!</v>
      </c>
      <c r="HU123" t="e">
        <f>AND('UP133'!Z86,"AAAAAC/93+Q=")</f>
        <v>#VALUE!</v>
      </c>
      <c r="HV123" t="e">
        <f>AND('UP133'!AA86,"AAAAAC/93+U=")</f>
        <v>#VALUE!</v>
      </c>
      <c r="HW123" t="e">
        <f>AND('UP133'!AB86,"AAAAAC/93+Y=")</f>
        <v>#VALUE!</v>
      </c>
      <c r="HX123" t="e">
        <f>AND('UP133'!AC86,"AAAAAC/93+c=")</f>
        <v>#VALUE!</v>
      </c>
      <c r="HY123" t="e">
        <f>AND('UP133'!AD86,"AAAAAC/93+g=")</f>
        <v>#VALUE!</v>
      </c>
      <c r="HZ123" t="e">
        <f>AND('UP133'!AE86,"AAAAAC/93+k=")</f>
        <v>#VALUE!</v>
      </c>
      <c r="IA123" t="e">
        <f>AND('UP133'!AF86,"AAAAAC/93+o=")</f>
        <v>#VALUE!</v>
      </c>
      <c r="IB123" t="e">
        <f>AND('UP133'!AG86,"AAAAAC/93+s=")</f>
        <v>#VALUE!</v>
      </c>
      <c r="IC123" t="e">
        <f>AND('UP133'!AH86,"AAAAAC/93+w=")</f>
        <v>#VALUE!</v>
      </c>
      <c r="ID123" t="e">
        <f>AND('UP133'!AI86,"AAAAAC/93+0=")</f>
        <v>#VALUE!</v>
      </c>
      <c r="IE123" t="e">
        <f>AND('UP133'!AJ86,"AAAAAC/93+4=")</f>
        <v>#VALUE!</v>
      </c>
      <c r="IF123" t="e">
        <f>AND('UP133'!AK86,"AAAAAC/93+8=")</f>
        <v>#VALUE!</v>
      </c>
      <c r="IG123" t="e">
        <f>AND('UP133'!AL86,"AAAAAC/93/A=")</f>
        <v>#VALUE!</v>
      </c>
      <c r="IH123" t="e">
        <f>AND('UP133'!AM86,"AAAAAC/93/E=")</f>
        <v>#VALUE!</v>
      </c>
      <c r="II123" t="e">
        <f>AND('UP133'!AN86,"AAAAAC/93/I=")</f>
        <v>#VALUE!</v>
      </c>
      <c r="IJ123" t="e">
        <f>AND('UP133'!AO86,"AAAAAC/93/M=")</f>
        <v>#VALUE!</v>
      </c>
      <c r="IK123" t="e">
        <f>AND('UP133'!AP86,"AAAAAC/93/Q=")</f>
        <v>#VALUE!</v>
      </c>
      <c r="IL123" t="e">
        <f>AND('UP133'!AQ86,"AAAAAC/93/U=")</f>
        <v>#VALUE!</v>
      </c>
      <c r="IM123" t="e">
        <f>AND('UP133'!AR86,"AAAAAC/93/Y=")</f>
        <v>#VALUE!</v>
      </c>
      <c r="IN123" t="e">
        <f>AND('UP133'!AS86,"AAAAAC/93/c=")</f>
        <v>#VALUE!</v>
      </c>
      <c r="IO123" t="e">
        <f>AND('UP133'!AT86,"AAAAAC/93/g=")</f>
        <v>#VALUE!</v>
      </c>
      <c r="IP123" t="e">
        <f>AND('UP133'!AU86,"AAAAAC/93/k=")</f>
        <v>#VALUE!</v>
      </c>
      <c r="IQ123" t="e">
        <f>AND('UP133'!AV86,"AAAAAC/93/o=")</f>
        <v>#VALUE!</v>
      </c>
      <c r="IR123" t="e">
        <f>AND('UP133'!AW86,"AAAAAC/93/s=")</f>
        <v>#VALUE!</v>
      </c>
      <c r="IS123" t="e">
        <f>AND('UP133'!AX86,"AAAAAC/93/w=")</f>
        <v>#VALUE!</v>
      </c>
      <c r="IT123" t="e">
        <f>AND('UP133'!AY86,"AAAAAC/93/0=")</f>
        <v>#VALUE!</v>
      </c>
      <c r="IU123" t="e">
        <f>AND('UP133'!AZ86,"AAAAAC/93/4=")</f>
        <v>#VALUE!</v>
      </c>
      <c r="IV123" t="e">
        <f>AND('UP133'!BA86,"AAAAAC/93/8=")</f>
        <v>#VALUE!</v>
      </c>
    </row>
    <row r="124" spans="1:256">
      <c r="A124" t="e">
        <f>AND('UP133'!BB86,"AAAAAD/f8wA=")</f>
        <v>#VALUE!</v>
      </c>
      <c r="B124" t="e">
        <f>AND('UP133'!BC86,"AAAAAD/f8wE=")</f>
        <v>#VALUE!</v>
      </c>
      <c r="C124" t="e">
        <f>AND('UP133'!BD86,"AAAAAD/f8wI=")</f>
        <v>#VALUE!</v>
      </c>
      <c r="D124" t="e">
        <f>AND('UP133'!BE86,"AAAAAD/f8wM=")</f>
        <v>#VALUE!</v>
      </c>
      <c r="E124" t="e">
        <f>AND('UP133'!BF86,"AAAAAD/f8wQ=")</f>
        <v>#VALUE!</v>
      </c>
      <c r="F124" t="e">
        <f>AND('UP133'!BG86,"AAAAAD/f8wU=")</f>
        <v>#VALUE!</v>
      </c>
      <c r="G124" t="e">
        <f>AND('UP133'!BH86,"AAAAAD/f8wY=")</f>
        <v>#VALUE!</v>
      </c>
      <c r="H124" t="e">
        <f>AND('UP133'!BI86,"AAAAAD/f8wc=")</f>
        <v>#VALUE!</v>
      </c>
      <c r="I124" t="e">
        <f>AND('UP133'!BJ86,"AAAAAD/f8wg=")</f>
        <v>#VALUE!</v>
      </c>
      <c r="J124" t="e">
        <f>AND('UP133'!BK86,"AAAAAD/f8wk=")</f>
        <v>#VALUE!</v>
      </c>
      <c r="K124" t="e">
        <f>AND('UP133'!BL86,"AAAAAD/f8wo=")</f>
        <v>#VALUE!</v>
      </c>
      <c r="L124" t="e">
        <f>AND('UP133'!BM86,"AAAAAD/f8ws=")</f>
        <v>#VALUE!</v>
      </c>
      <c r="M124" t="e">
        <f>AND('UP133'!BN86,"AAAAAD/f8ww=")</f>
        <v>#VALUE!</v>
      </c>
      <c r="N124" t="e">
        <f>AND('UP133'!BO86,"AAAAAD/f8w0=")</f>
        <v>#VALUE!</v>
      </c>
      <c r="O124" t="e">
        <f>AND('UP133'!BP86,"AAAAAD/f8w4=")</f>
        <v>#VALUE!</v>
      </c>
      <c r="P124" t="e">
        <f>AND('UP133'!BQ86,"AAAAAD/f8w8=")</f>
        <v>#VALUE!</v>
      </c>
      <c r="Q124" t="e">
        <f>AND('UP133'!BR86,"AAAAAD/f8xA=")</f>
        <v>#VALUE!</v>
      </c>
      <c r="R124" t="e">
        <f>AND('UP133'!BS86,"AAAAAD/f8xE=")</f>
        <v>#VALUE!</v>
      </c>
      <c r="S124" t="e">
        <f>AND('UP133'!BT86,"AAAAAD/f8xI=")</f>
        <v>#VALUE!</v>
      </c>
      <c r="T124" t="e">
        <f>AND('UP133'!BU86,"AAAAAD/f8xM=")</f>
        <v>#VALUE!</v>
      </c>
      <c r="U124" t="e">
        <f>AND('UP133'!BV86,"AAAAAD/f8xQ=")</f>
        <v>#VALUE!</v>
      </c>
      <c r="V124" t="e">
        <f>AND('UP133'!BW86,"AAAAAD/f8xU=")</f>
        <v>#VALUE!</v>
      </c>
      <c r="W124" t="e">
        <f>AND('UP133'!BX86,"AAAAAD/f8xY=")</f>
        <v>#VALUE!</v>
      </c>
      <c r="X124" t="e">
        <f>AND('UP133'!BY86,"AAAAAD/f8xc=")</f>
        <v>#VALUE!</v>
      </c>
      <c r="Y124" t="e">
        <f>AND('UP133'!BZ86,"AAAAAD/f8xg=")</f>
        <v>#VALUE!</v>
      </c>
      <c r="Z124" t="e">
        <f>AND('UP133'!CA86,"AAAAAD/f8xk=")</f>
        <v>#VALUE!</v>
      </c>
      <c r="AA124" t="e">
        <f>AND('UP133'!CB86,"AAAAAD/f8xo=")</f>
        <v>#VALUE!</v>
      </c>
      <c r="AB124" t="e">
        <f>AND('UP133'!CC86,"AAAAAD/f8xs=")</f>
        <v>#VALUE!</v>
      </c>
      <c r="AC124" t="e">
        <f>AND('UP133'!CD86,"AAAAAD/f8xw=")</f>
        <v>#VALUE!</v>
      </c>
      <c r="AD124" t="e">
        <f>AND('UP133'!CE86,"AAAAAD/f8x0=")</f>
        <v>#VALUE!</v>
      </c>
      <c r="AE124" t="e">
        <f>AND('UP133'!CF86,"AAAAAD/f8x4=")</f>
        <v>#VALUE!</v>
      </c>
      <c r="AF124" t="e">
        <f>AND('UP133'!CG86,"AAAAAD/f8x8=")</f>
        <v>#VALUE!</v>
      </c>
      <c r="AG124" t="e">
        <f>AND('UP133'!CH86,"AAAAAD/f8yA=")</f>
        <v>#VALUE!</v>
      </c>
      <c r="AH124" t="e">
        <f>AND('UP133'!CI86,"AAAAAD/f8yE=")</f>
        <v>#VALUE!</v>
      </c>
      <c r="AI124" t="e">
        <f>AND('UP133'!CJ86,"AAAAAD/f8yI=")</f>
        <v>#VALUE!</v>
      </c>
      <c r="AJ124" t="e">
        <f>AND('UP133'!CK86,"AAAAAD/f8yM=")</f>
        <v>#VALUE!</v>
      </c>
      <c r="AK124" t="e">
        <f>AND('UP133'!CL86,"AAAAAD/f8yQ=")</f>
        <v>#VALUE!</v>
      </c>
      <c r="AL124" t="e">
        <f>AND('UP133'!CM86,"AAAAAD/f8yU=")</f>
        <v>#VALUE!</v>
      </c>
      <c r="AM124" t="e">
        <f>AND('UP133'!CN86,"AAAAAD/f8yY=")</f>
        <v>#VALUE!</v>
      </c>
      <c r="AN124" t="e">
        <f>AND('UP133'!CO86,"AAAAAD/f8yc=")</f>
        <v>#VALUE!</v>
      </c>
      <c r="AO124" t="e">
        <f>AND('UP133'!CP86,"AAAAAD/f8yg=")</f>
        <v>#VALUE!</v>
      </c>
      <c r="AP124" t="e">
        <f>AND('UP133'!CQ86,"AAAAAD/f8yk=")</f>
        <v>#VALUE!</v>
      </c>
      <c r="AQ124" t="e">
        <f>AND('UP133'!CR86,"AAAAAD/f8yo=")</f>
        <v>#VALUE!</v>
      </c>
      <c r="AR124" t="e">
        <f>AND('UP133'!CS86,"AAAAAD/f8ys=")</f>
        <v>#VALUE!</v>
      </c>
      <c r="AS124" t="e">
        <f>AND('UP133'!CT86,"AAAAAD/f8yw=")</f>
        <v>#VALUE!</v>
      </c>
      <c r="AT124" t="e">
        <f>AND('UP133'!CU86,"AAAAAD/f8y0=")</f>
        <v>#VALUE!</v>
      </c>
      <c r="AU124" t="e">
        <f>AND('UP133'!CV86,"AAAAAD/f8y4=")</f>
        <v>#VALUE!</v>
      </c>
      <c r="AV124" t="e">
        <f>AND('UP133'!CW86,"AAAAAD/f8y8=")</f>
        <v>#VALUE!</v>
      </c>
      <c r="AW124" t="e">
        <f>AND('UP133'!CX86,"AAAAAD/f8zA=")</f>
        <v>#VALUE!</v>
      </c>
      <c r="AX124" t="e">
        <f>AND('UP133'!CY86,"AAAAAD/f8zE=")</f>
        <v>#VALUE!</v>
      </c>
      <c r="AY124" t="e">
        <f>AND('UP133'!CZ86,"AAAAAD/f8zI=")</f>
        <v>#VALUE!</v>
      </c>
      <c r="AZ124" t="e">
        <f>AND('UP133'!DA86,"AAAAAD/f8zM=")</f>
        <v>#VALUE!</v>
      </c>
      <c r="BA124" t="e">
        <f>AND('UP133'!DB86,"AAAAAD/f8zQ=")</f>
        <v>#VALUE!</v>
      </c>
      <c r="BB124" t="e">
        <f>AND('UP133'!DC86,"AAAAAD/f8zU=")</f>
        <v>#VALUE!</v>
      </c>
      <c r="BC124" t="e">
        <f>AND('UP133'!DD86,"AAAAAD/f8zY=")</f>
        <v>#VALUE!</v>
      </c>
      <c r="BD124" t="e">
        <f>AND('UP133'!DE86,"AAAAAD/f8zc=")</f>
        <v>#VALUE!</v>
      </c>
      <c r="BE124" t="e">
        <f>AND('UP133'!DF86,"AAAAAD/f8zg=")</f>
        <v>#VALUE!</v>
      </c>
      <c r="BF124" t="e">
        <f>AND('UP133'!DG86,"AAAAAD/f8zk=")</f>
        <v>#VALUE!</v>
      </c>
      <c r="BG124" t="e">
        <f>AND('UP133'!DH86,"AAAAAD/f8zo=")</f>
        <v>#VALUE!</v>
      </c>
      <c r="BH124" t="e">
        <f>AND('UP133'!DI86,"AAAAAD/f8zs=")</f>
        <v>#VALUE!</v>
      </c>
      <c r="BI124" t="e">
        <f>AND('UP133'!DJ86,"AAAAAD/f8zw=")</f>
        <v>#VALUE!</v>
      </c>
      <c r="BJ124" t="e">
        <f>AND('UP133'!DK86,"AAAAAD/f8z0=")</f>
        <v>#VALUE!</v>
      </c>
      <c r="BK124" t="e">
        <f>AND('UP133'!DL86,"AAAAAD/f8z4=")</f>
        <v>#VALUE!</v>
      </c>
      <c r="BL124" t="e">
        <f>AND('UP133'!DM86,"AAAAAD/f8z8=")</f>
        <v>#VALUE!</v>
      </c>
      <c r="BM124" t="e">
        <f>AND('UP133'!DN86,"AAAAAD/f80A=")</f>
        <v>#VALUE!</v>
      </c>
      <c r="BN124" t="e">
        <f>AND('UP133'!DO86,"AAAAAD/f80E=")</f>
        <v>#VALUE!</v>
      </c>
      <c r="BO124" t="e">
        <f>AND('UP133'!DP86,"AAAAAD/f80I=")</f>
        <v>#VALUE!</v>
      </c>
      <c r="BP124" t="e">
        <f>AND('UP133'!DQ86,"AAAAAD/f80M=")</f>
        <v>#VALUE!</v>
      </c>
      <c r="BQ124" t="e">
        <f>AND('UP133'!DR86,"AAAAAD/f80Q=")</f>
        <v>#VALUE!</v>
      </c>
      <c r="BR124" t="e">
        <f>AND('UP133'!DS86,"AAAAAD/f80U=")</f>
        <v>#VALUE!</v>
      </c>
      <c r="BS124" t="e">
        <f>AND('UP133'!DT86,"AAAAAD/f80Y=")</f>
        <v>#VALUE!</v>
      </c>
      <c r="BT124" t="e">
        <f>AND('UP133'!DU86,"AAAAAD/f80c=")</f>
        <v>#VALUE!</v>
      </c>
      <c r="BU124" t="e">
        <f>AND('UP133'!DV86,"AAAAAD/f80g=")</f>
        <v>#VALUE!</v>
      </c>
      <c r="BV124" t="e">
        <f>AND('UP133'!DW86,"AAAAAD/f80k=")</f>
        <v>#VALUE!</v>
      </c>
      <c r="BW124" t="e">
        <f>AND('UP133'!DX86,"AAAAAD/f80o=")</f>
        <v>#VALUE!</v>
      </c>
      <c r="BX124" t="e">
        <f>AND('UP133'!DY86,"AAAAAD/f80s=")</f>
        <v>#VALUE!</v>
      </c>
      <c r="BY124" t="e">
        <f>AND('UP133'!DZ86,"AAAAAD/f80w=")</f>
        <v>#VALUE!</v>
      </c>
      <c r="BZ124" t="e">
        <f>AND('UP133'!EA86,"AAAAAD/f800=")</f>
        <v>#VALUE!</v>
      </c>
      <c r="CA124" t="e">
        <f>AND('UP133'!EB86,"AAAAAD/f804=")</f>
        <v>#VALUE!</v>
      </c>
      <c r="CB124" t="e">
        <f>AND('UP133'!EC86,"AAAAAD/f808=")</f>
        <v>#VALUE!</v>
      </c>
      <c r="CC124" t="e">
        <f>AND('UP133'!ED86,"AAAAAD/f81A=")</f>
        <v>#VALUE!</v>
      </c>
      <c r="CD124" t="e">
        <f>AND('UP133'!EE86,"AAAAAD/f81E=")</f>
        <v>#VALUE!</v>
      </c>
      <c r="CE124" t="e">
        <f>AND('UP133'!EF86,"AAAAAD/f81I=")</f>
        <v>#VALUE!</v>
      </c>
      <c r="CF124" t="e">
        <f>AND('UP133'!EG86,"AAAAAD/f81M=")</f>
        <v>#VALUE!</v>
      </c>
      <c r="CG124" t="e">
        <f>AND('UP133'!EH86,"AAAAAD/f81Q=")</f>
        <v>#VALUE!</v>
      </c>
      <c r="CH124" t="e">
        <f>AND('UP133'!EI86,"AAAAAD/f81U=")</f>
        <v>#VALUE!</v>
      </c>
      <c r="CI124" t="e">
        <f>AND('UP133'!EJ86,"AAAAAD/f81Y=")</f>
        <v>#VALUE!</v>
      </c>
      <c r="CJ124" t="e">
        <f>AND('UP133'!EK86,"AAAAAD/f81c=")</f>
        <v>#VALUE!</v>
      </c>
      <c r="CK124" t="e">
        <f>AND('UP133'!EL86,"AAAAAD/f81g=")</f>
        <v>#VALUE!</v>
      </c>
      <c r="CL124" t="e">
        <f>AND('UP133'!EM86,"AAAAAD/f81k=")</f>
        <v>#VALUE!</v>
      </c>
      <c r="CM124" t="e">
        <f>AND('UP133'!EN86,"AAAAAD/f81o=")</f>
        <v>#VALUE!</v>
      </c>
      <c r="CN124" t="e">
        <f>AND('UP133'!EO86,"AAAAAD/f81s=")</f>
        <v>#VALUE!</v>
      </c>
      <c r="CO124" t="e">
        <f>AND('UP133'!EP86,"AAAAAD/f81w=")</f>
        <v>#VALUE!</v>
      </c>
      <c r="CP124" t="e">
        <f>AND('UP133'!EQ86,"AAAAAD/f810=")</f>
        <v>#VALUE!</v>
      </c>
      <c r="CQ124" t="e">
        <f>AND('UP133'!ER86,"AAAAAD/f814=")</f>
        <v>#VALUE!</v>
      </c>
      <c r="CR124" t="e">
        <f>AND('UP133'!ES86,"AAAAAD/f818=")</f>
        <v>#VALUE!</v>
      </c>
      <c r="CS124" t="e">
        <f>AND('UP133'!ET86,"AAAAAD/f82A=")</f>
        <v>#VALUE!</v>
      </c>
      <c r="CT124" t="e">
        <f>AND('UP133'!EU86,"AAAAAD/f82E=")</f>
        <v>#VALUE!</v>
      </c>
      <c r="CU124" t="e">
        <f>AND('UP133'!EV86,"AAAAAD/f82I=")</f>
        <v>#VALUE!</v>
      </c>
      <c r="CV124" t="e">
        <f>AND('UP133'!EW86,"AAAAAD/f82M=")</f>
        <v>#VALUE!</v>
      </c>
      <c r="CW124" t="e">
        <f>AND('UP133'!EX86,"AAAAAD/f82Q=")</f>
        <v>#VALUE!</v>
      </c>
      <c r="CX124" t="e">
        <f>AND('UP133'!EY86,"AAAAAD/f82U=")</f>
        <v>#VALUE!</v>
      </c>
      <c r="CY124" t="e">
        <f>AND('UP133'!EZ86,"AAAAAD/f82Y=")</f>
        <v>#VALUE!</v>
      </c>
      <c r="CZ124" t="e">
        <f>AND('UP133'!FA86,"AAAAAD/f82c=")</f>
        <v>#VALUE!</v>
      </c>
      <c r="DA124" t="e">
        <f>AND('UP133'!FB86,"AAAAAD/f82g=")</f>
        <v>#VALUE!</v>
      </c>
      <c r="DB124" t="e">
        <f>AND('UP133'!FC86,"AAAAAD/f82k=")</f>
        <v>#VALUE!</v>
      </c>
      <c r="DC124" t="e">
        <f>AND('UP133'!FD86,"AAAAAD/f82o=")</f>
        <v>#VALUE!</v>
      </c>
      <c r="DD124" t="e">
        <f>AND('UP133'!FE86,"AAAAAD/f82s=")</f>
        <v>#VALUE!</v>
      </c>
      <c r="DE124" t="e">
        <f>AND('UP133'!FF86,"AAAAAD/f82w=")</f>
        <v>#VALUE!</v>
      </c>
      <c r="DF124" t="e">
        <f>AND('UP133'!FG86,"AAAAAD/f820=")</f>
        <v>#VALUE!</v>
      </c>
      <c r="DG124" t="e">
        <f>AND('UP133'!FH86,"AAAAAD/f824=")</f>
        <v>#VALUE!</v>
      </c>
      <c r="DH124" t="e">
        <f>AND('UP133'!FI86,"AAAAAD/f828=")</f>
        <v>#VALUE!</v>
      </c>
      <c r="DI124" t="e">
        <f>AND('UP133'!FJ86,"AAAAAD/f83A=")</f>
        <v>#VALUE!</v>
      </c>
      <c r="DJ124" t="e">
        <f>AND('UP133'!FK86,"AAAAAD/f83E=")</f>
        <v>#VALUE!</v>
      </c>
      <c r="DK124" t="e">
        <f>AND('UP133'!FL86,"AAAAAD/f83I=")</f>
        <v>#VALUE!</v>
      </c>
      <c r="DL124" t="e">
        <f>AND('UP133'!FM86,"AAAAAD/f83M=")</f>
        <v>#VALUE!</v>
      </c>
      <c r="DM124" t="e">
        <f>AND('UP133'!FN86,"AAAAAD/f83Q=")</f>
        <v>#VALUE!</v>
      </c>
      <c r="DN124" t="e">
        <f>AND('UP133'!FO86,"AAAAAD/f83U=")</f>
        <v>#VALUE!</v>
      </c>
      <c r="DO124" t="e">
        <f>AND('UP133'!FP86,"AAAAAD/f83Y=")</f>
        <v>#VALUE!</v>
      </c>
      <c r="DP124" t="e">
        <f>AND('UP133'!FQ86,"AAAAAD/f83c=")</f>
        <v>#VALUE!</v>
      </c>
      <c r="DQ124" t="e">
        <f>AND('UP133'!FR86,"AAAAAD/f83g=")</f>
        <v>#VALUE!</v>
      </c>
      <c r="DR124" t="e">
        <f>AND('UP133'!FS86,"AAAAAD/f83k=")</f>
        <v>#VALUE!</v>
      </c>
      <c r="DS124" t="e">
        <f>AND('UP133'!FT86,"AAAAAD/f83o=")</f>
        <v>#VALUE!</v>
      </c>
      <c r="DT124" t="e">
        <f>AND('UP133'!FU86,"AAAAAD/f83s=")</f>
        <v>#VALUE!</v>
      </c>
      <c r="DU124" t="e">
        <f>AND('UP133'!FV86,"AAAAAD/f83w=")</f>
        <v>#VALUE!</v>
      </c>
      <c r="DV124" t="e">
        <f>AND('UP133'!FW86,"AAAAAD/f830=")</f>
        <v>#VALUE!</v>
      </c>
      <c r="DW124" t="e">
        <f>AND('UP133'!FX86,"AAAAAD/f834=")</f>
        <v>#VALUE!</v>
      </c>
      <c r="DX124" t="e">
        <f>AND('UP133'!FY86,"AAAAAD/f838=")</f>
        <v>#VALUE!</v>
      </c>
      <c r="DY124" t="e">
        <f>AND('UP133'!FZ86,"AAAAAD/f84A=")</f>
        <v>#VALUE!</v>
      </c>
      <c r="DZ124" t="e">
        <f>AND('UP133'!GA86,"AAAAAD/f84E=")</f>
        <v>#VALUE!</v>
      </c>
      <c r="EA124" t="e">
        <f>AND('UP133'!GB86,"AAAAAD/f84I=")</f>
        <v>#VALUE!</v>
      </c>
      <c r="EB124" t="e">
        <f>AND('UP133'!GC86,"AAAAAD/f84M=")</f>
        <v>#VALUE!</v>
      </c>
      <c r="EC124" t="e">
        <f>AND('UP133'!GD86,"AAAAAD/f84Q=")</f>
        <v>#VALUE!</v>
      </c>
      <c r="ED124" t="e">
        <f>AND('UP133'!GE86,"AAAAAD/f84U=")</f>
        <v>#VALUE!</v>
      </c>
      <c r="EE124" t="e">
        <f>AND('UP133'!GF86,"AAAAAD/f84Y=")</f>
        <v>#VALUE!</v>
      </c>
      <c r="EF124" t="e">
        <f>AND('UP133'!GG86,"AAAAAD/f84c=")</f>
        <v>#VALUE!</v>
      </c>
      <c r="EG124" t="e">
        <f>AND('UP133'!GH86,"AAAAAD/f84g=")</f>
        <v>#VALUE!</v>
      </c>
      <c r="EH124" t="e">
        <f>AND('UP133'!GI86,"AAAAAD/f84k=")</f>
        <v>#VALUE!</v>
      </c>
      <c r="EI124" t="e">
        <f>AND('UP133'!GJ86,"AAAAAD/f84o=")</f>
        <v>#VALUE!</v>
      </c>
      <c r="EJ124" t="e">
        <f>AND('UP133'!GK86,"AAAAAD/f84s=")</f>
        <v>#VALUE!</v>
      </c>
      <c r="EK124" t="e">
        <f>AND('UP133'!GL86,"AAAAAD/f84w=")</f>
        <v>#VALUE!</v>
      </c>
      <c r="EL124" t="e">
        <f>AND('UP133'!GM86,"AAAAAD/f840=")</f>
        <v>#VALUE!</v>
      </c>
      <c r="EM124" t="e">
        <f>AND('UP133'!GN86,"AAAAAD/f844=")</f>
        <v>#VALUE!</v>
      </c>
      <c r="EN124" t="e">
        <f>AND('UP133'!GO86,"AAAAAD/f848=")</f>
        <v>#VALUE!</v>
      </c>
      <c r="EO124" t="e">
        <f>AND('UP133'!GP86,"AAAAAD/f85A=")</f>
        <v>#VALUE!</v>
      </c>
      <c r="EP124" t="e">
        <f>AND('UP133'!GQ86,"AAAAAD/f85E=")</f>
        <v>#VALUE!</v>
      </c>
      <c r="EQ124" t="e">
        <f>AND('UP133'!GR86,"AAAAAD/f85I=")</f>
        <v>#VALUE!</v>
      </c>
      <c r="ER124" t="e">
        <f>AND('UP133'!GS86,"AAAAAD/f85M=")</f>
        <v>#VALUE!</v>
      </c>
      <c r="ES124" t="e">
        <f>AND('UP133'!GT86,"AAAAAD/f85Q=")</f>
        <v>#VALUE!</v>
      </c>
      <c r="ET124" t="e">
        <f>AND('UP133'!GU86,"AAAAAD/f85U=")</f>
        <v>#VALUE!</v>
      </c>
      <c r="EU124" t="e">
        <f>AND('UP133'!GV86,"AAAAAD/f85Y=")</f>
        <v>#VALUE!</v>
      </c>
      <c r="EV124" t="e">
        <f>AND('UP133'!GW86,"AAAAAD/f85c=")</f>
        <v>#VALUE!</v>
      </c>
      <c r="EW124" t="e">
        <f>AND('UP133'!GX86,"AAAAAD/f85g=")</f>
        <v>#VALUE!</v>
      </c>
      <c r="EX124" t="e">
        <f>AND('UP133'!GY86,"AAAAAD/f85k=")</f>
        <v>#VALUE!</v>
      </c>
      <c r="EY124" t="e">
        <f>AND('UP133'!GZ86,"AAAAAD/f85o=")</f>
        <v>#VALUE!</v>
      </c>
      <c r="EZ124" t="e">
        <f>AND('UP133'!HA86,"AAAAAD/f85s=")</f>
        <v>#VALUE!</v>
      </c>
      <c r="FA124" t="e">
        <f>AND('UP133'!HB86,"AAAAAD/f85w=")</f>
        <v>#VALUE!</v>
      </c>
      <c r="FB124" t="e">
        <f>AND('UP133'!HC86,"AAAAAD/f850=")</f>
        <v>#VALUE!</v>
      </c>
      <c r="FC124" t="e">
        <f>AND('UP133'!HD86,"AAAAAD/f854=")</f>
        <v>#VALUE!</v>
      </c>
      <c r="FD124" t="e">
        <f>AND('UP133'!HE86,"AAAAAD/f858=")</f>
        <v>#VALUE!</v>
      </c>
      <c r="FE124" t="e">
        <f>AND('UP133'!HF86,"AAAAAD/f86A=")</f>
        <v>#VALUE!</v>
      </c>
      <c r="FF124" t="e">
        <f>AND('UP133'!HG86,"AAAAAD/f86E=")</f>
        <v>#VALUE!</v>
      </c>
      <c r="FG124" t="e">
        <f>AND('UP133'!HH86,"AAAAAD/f86I=")</f>
        <v>#VALUE!</v>
      </c>
      <c r="FH124" t="e">
        <f>AND('UP133'!HI86,"AAAAAD/f86M=")</f>
        <v>#VALUE!</v>
      </c>
      <c r="FI124" t="e">
        <f>AND('UP133'!HJ86,"AAAAAD/f86Q=")</f>
        <v>#VALUE!</v>
      </c>
      <c r="FJ124" t="e">
        <f>AND('UP133'!HK86,"AAAAAD/f86U=")</f>
        <v>#VALUE!</v>
      </c>
      <c r="FK124" t="e">
        <f>AND('UP133'!HL86,"AAAAAD/f86Y=")</f>
        <v>#VALUE!</v>
      </c>
      <c r="FL124" t="e">
        <f>AND('UP133'!HM86,"AAAAAD/f86c=")</f>
        <v>#VALUE!</v>
      </c>
      <c r="FM124" t="e">
        <f>AND('UP133'!HN86,"AAAAAD/f86g=")</f>
        <v>#VALUE!</v>
      </c>
      <c r="FN124" t="e">
        <f>AND('UP133'!HO86,"AAAAAD/f86k=")</f>
        <v>#VALUE!</v>
      </c>
      <c r="FO124" t="e">
        <f>AND('UP133'!HP86,"AAAAAD/f86o=")</f>
        <v>#VALUE!</v>
      </c>
      <c r="FP124" t="e">
        <f>AND('UP133'!HQ86,"AAAAAD/f86s=")</f>
        <v>#VALUE!</v>
      </c>
      <c r="FQ124" t="e">
        <f>AND('UP133'!HR86,"AAAAAD/f86w=")</f>
        <v>#VALUE!</v>
      </c>
      <c r="FR124" t="e">
        <f>AND('UP133'!HS86,"AAAAAD/f860=")</f>
        <v>#VALUE!</v>
      </c>
      <c r="FS124" t="e">
        <f>AND('UP133'!HT86,"AAAAAD/f864=")</f>
        <v>#VALUE!</v>
      </c>
      <c r="FT124" t="e">
        <f>AND('UP133'!HU86,"AAAAAD/f868=")</f>
        <v>#VALUE!</v>
      </c>
      <c r="FU124" t="e">
        <f>AND('UP133'!HV86,"AAAAAD/f87A=")</f>
        <v>#VALUE!</v>
      </c>
      <c r="FV124" t="e">
        <f>AND('UP133'!HW86,"AAAAAD/f87E=")</f>
        <v>#VALUE!</v>
      </c>
      <c r="FW124" t="e">
        <f>AND('UP133'!HX86,"AAAAAD/f87I=")</f>
        <v>#VALUE!</v>
      </c>
      <c r="FX124" t="e">
        <f>AND('UP133'!HY86,"AAAAAD/f87M=")</f>
        <v>#VALUE!</v>
      </c>
      <c r="FY124" t="e">
        <f>AND('UP133'!HZ86,"AAAAAD/f87Q=")</f>
        <v>#VALUE!</v>
      </c>
      <c r="FZ124" t="e">
        <f>AND('UP133'!IA86,"AAAAAD/f87U=")</f>
        <v>#VALUE!</v>
      </c>
      <c r="GA124" t="e">
        <f>AND('UP133'!IB86,"AAAAAD/f87Y=")</f>
        <v>#VALUE!</v>
      </c>
      <c r="GB124" t="e">
        <f>AND('UP133'!IC86,"AAAAAD/f87c=")</f>
        <v>#VALUE!</v>
      </c>
      <c r="GC124" t="e">
        <f>AND('UP133'!ID86,"AAAAAD/f87g=")</f>
        <v>#VALUE!</v>
      </c>
      <c r="GD124" t="e">
        <f>AND('UP133'!IE86,"AAAAAD/f87k=")</f>
        <v>#VALUE!</v>
      </c>
      <c r="GE124" t="e">
        <f>AND('UP133'!IF86,"AAAAAD/f87o=")</f>
        <v>#VALUE!</v>
      </c>
      <c r="GF124" t="e">
        <f>AND('UP133'!IG86,"AAAAAD/f87s=")</f>
        <v>#VALUE!</v>
      </c>
      <c r="GG124" t="e">
        <f>AND('UP133'!IH86,"AAAAAD/f87w=")</f>
        <v>#VALUE!</v>
      </c>
      <c r="GH124" t="e">
        <f>AND('UP133'!II86,"AAAAAD/f870=")</f>
        <v>#VALUE!</v>
      </c>
      <c r="GI124" t="e">
        <f>AND('UP133'!IJ86,"AAAAAD/f874=")</f>
        <v>#VALUE!</v>
      </c>
      <c r="GJ124" t="e">
        <f>AND('UP133'!IK86,"AAAAAD/f878=")</f>
        <v>#VALUE!</v>
      </c>
      <c r="GK124" t="e">
        <f>AND('UP133'!IL86,"AAAAAD/f88A=")</f>
        <v>#VALUE!</v>
      </c>
      <c r="GL124" t="e">
        <f>AND('UP133'!IM86,"AAAAAD/f88E=")</f>
        <v>#VALUE!</v>
      </c>
      <c r="GM124" t="e">
        <f>AND('UP133'!IN86,"AAAAAD/f88I=")</f>
        <v>#VALUE!</v>
      </c>
      <c r="GN124" t="e">
        <f>AND('UP133'!IO86,"AAAAAD/f88M=")</f>
        <v>#VALUE!</v>
      </c>
      <c r="GO124" t="e">
        <f>AND('UP133'!IP86,"AAAAAD/f88Q=")</f>
        <v>#VALUE!</v>
      </c>
      <c r="GP124" t="e">
        <f>AND('UP133'!IQ86,"AAAAAD/f88U=")</f>
        <v>#VALUE!</v>
      </c>
      <c r="GQ124">
        <f>IF('UP133'!87:87,"AAAAAD/f88Y=",0)</f>
        <v>0</v>
      </c>
      <c r="GR124" t="e">
        <f>AND('UP133'!A87,"AAAAAD/f88c=")</f>
        <v>#VALUE!</v>
      </c>
      <c r="GS124" t="e">
        <f>AND('UP133'!B87,"AAAAAD/f88g=")</f>
        <v>#VALUE!</v>
      </c>
      <c r="GT124" t="e">
        <f>AND('UP133'!C87,"AAAAAD/f88k=")</f>
        <v>#VALUE!</v>
      </c>
      <c r="GU124" t="e">
        <f>AND('UP133'!D87,"AAAAAD/f88o=")</f>
        <v>#VALUE!</v>
      </c>
      <c r="GV124" t="e">
        <f>AND('UP133'!E87,"AAAAAD/f88s=")</f>
        <v>#VALUE!</v>
      </c>
      <c r="GW124" t="e">
        <f>AND('UP133'!F87,"AAAAAD/f88w=")</f>
        <v>#VALUE!</v>
      </c>
      <c r="GX124" t="e">
        <f>AND('UP133'!G87,"AAAAAD/f880=")</f>
        <v>#VALUE!</v>
      </c>
      <c r="GY124" t="e">
        <f>AND('UP133'!H87,"AAAAAD/f884=")</f>
        <v>#VALUE!</v>
      </c>
      <c r="GZ124" t="e">
        <f>AND('UP133'!I87,"AAAAAD/f888=")</f>
        <v>#VALUE!</v>
      </c>
      <c r="HA124" t="e">
        <f>AND('UP133'!J87,"AAAAAD/f89A=")</f>
        <v>#VALUE!</v>
      </c>
      <c r="HB124" t="e">
        <f>AND('UP133'!K87,"AAAAAD/f89E=")</f>
        <v>#VALUE!</v>
      </c>
      <c r="HC124" t="e">
        <f>AND('UP133'!L87,"AAAAAD/f89I=")</f>
        <v>#VALUE!</v>
      </c>
      <c r="HD124" t="e">
        <f>AND('UP133'!M87,"AAAAAD/f89M=")</f>
        <v>#VALUE!</v>
      </c>
      <c r="HE124" t="e">
        <f>AND('UP133'!N87,"AAAAAD/f89Q=")</f>
        <v>#VALUE!</v>
      </c>
      <c r="HF124" t="e">
        <f>AND('UP133'!O87,"AAAAAD/f89U=")</f>
        <v>#VALUE!</v>
      </c>
      <c r="HG124" t="e">
        <f>AND('UP133'!P87,"AAAAAD/f89Y=")</f>
        <v>#VALUE!</v>
      </c>
      <c r="HH124" t="e">
        <f>AND('UP133'!Q87,"AAAAAD/f89c=")</f>
        <v>#VALUE!</v>
      </c>
      <c r="HI124" t="e">
        <f>AND('UP133'!R87,"AAAAAD/f89g=")</f>
        <v>#VALUE!</v>
      </c>
      <c r="HJ124" t="e">
        <f>AND('UP133'!S87,"AAAAAD/f89k=")</f>
        <v>#VALUE!</v>
      </c>
      <c r="HK124" t="e">
        <f>AND('UP133'!T87,"AAAAAD/f89o=")</f>
        <v>#VALUE!</v>
      </c>
      <c r="HL124" t="e">
        <f>AND('UP133'!U87,"AAAAAD/f89s=")</f>
        <v>#VALUE!</v>
      </c>
      <c r="HM124" t="e">
        <f>AND('UP133'!V87,"AAAAAD/f89w=")</f>
        <v>#VALUE!</v>
      </c>
      <c r="HN124" t="e">
        <f>AND('UP133'!W87,"AAAAAD/f890=")</f>
        <v>#VALUE!</v>
      </c>
      <c r="HO124" t="e">
        <f>AND('UP133'!X87,"AAAAAD/f894=")</f>
        <v>#VALUE!</v>
      </c>
      <c r="HP124" t="e">
        <f>AND('UP133'!Y87,"AAAAAD/f898=")</f>
        <v>#VALUE!</v>
      </c>
      <c r="HQ124" t="e">
        <f>AND('UP133'!Z87,"AAAAAD/f8+A=")</f>
        <v>#VALUE!</v>
      </c>
      <c r="HR124" t="e">
        <f>AND('UP133'!AA87,"AAAAAD/f8+E=")</f>
        <v>#VALUE!</v>
      </c>
      <c r="HS124" t="e">
        <f>AND('UP133'!AB87,"AAAAAD/f8+I=")</f>
        <v>#VALUE!</v>
      </c>
      <c r="HT124" t="e">
        <f>AND('UP133'!AC87,"AAAAAD/f8+M=")</f>
        <v>#VALUE!</v>
      </c>
      <c r="HU124" t="e">
        <f>AND('UP133'!AD87,"AAAAAD/f8+Q=")</f>
        <v>#VALUE!</v>
      </c>
      <c r="HV124" t="e">
        <f>AND('UP133'!AE87,"AAAAAD/f8+U=")</f>
        <v>#VALUE!</v>
      </c>
      <c r="HW124" t="e">
        <f>AND('UP133'!AF87,"AAAAAD/f8+Y=")</f>
        <v>#VALUE!</v>
      </c>
      <c r="HX124" t="e">
        <f>AND('UP133'!AG87,"AAAAAD/f8+c=")</f>
        <v>#VALUE!</v>
      </c>
      <c r="HY124" t="e">
        <f>AND('UP133'!AH87,"AAAAAD/f8+g=")</f>
        <v>#VALUE!</v>
      </c>
      <c r="HZ124" t="e">
        <f>AND('UP133'!AI87,"AAAAAD/f8+k=")</f>
        <v>#VALUE!</v>
      </c>
      <c r="IA124" t="e">
        <f>AND('UP133'!AJ87,"AAAAAD/f8+o=")</f>
        <v>#VALUE!</v>
      </c>
      <c r="IB124" t="e">
        <f>AND('UP133'!AK87,"AAAAAD/f8+s=")</f>
        <v>#VALUE!</v>
      </c>
      <c r="IC124" t="e">
        <f>AND('UP133'!AL87,"AAAAAD/f8+w=")</f>
        <v>#VALUE!</v>
      </c>
      <c r="ID124" t="e">
        <f>AND('UP133'!AM87,"AAAAAD/f8+0=")</f>
        <v>#VALUE!</v>
      </c>
      <c r="IE124" t="e">
        <f>AND('UP133'!AN87,"AAAAAD/f8+4=")</f>
        <v>#VALUE!</v>
      </c>
      <c r="IF124" t="e">
        <f>AND('UP133'!AO87,"AAAAAD/f8+8=")</f>
        <v>#VALUE!</v>
      </c>
      <c r="IG124" t="e">
        <f>AND('UP133'!AP87,"AAAAAD/f8/A=")</f>
        <v>#VALUE!</v>
      </c>
      <c r="IH124" t="e">
        <f>AND('UP133'!AQ87,"AAAAAD/f8/E=")</f>
        <v>#VALUE!</v>
      </c>
      <c r="II124" t="e">
        <f>AND('UP133'!AR87,"AAAAAD/f8/I=")</f>
        <v>#VALUE!</v>
      </c>
      <c r="IJ124" t="e">
        <f>AND('UP133'!AS87,"AAAAAD/f8/M=")</f>
        <v>#VALUE!</v>
      </c>
      <c r="IK124" t="e">
        <f>AND('UP133'!AT87,"AAAAAD/f8/Q=")</f>
        <v>#VALUE!</v>
      </c>
      <c r="IL124" t="e">
        <f>AND('UP133'!AU87,"AAAAAD/f8/U=")</f>
        <v>#VALUE!</v>
      </c>
      <c r="IM124" t="e">
        <f>AND('UP133'!AV87,"AAAAAD/f8/Y=")</f>
        <v>#VALUE!</v>
      </c>
      <c r="IN124" t="e">
        <f>AND('UP133'!AW87,"AAAAAD/f8/c=")</f>
        <v>#VALUE!</v>
      </c>
      <c r="IO124" t="e">
        <f>AND('UP133'!AX87,"AAAAAD/f8/g=")</f>
        <v>#VALUE!</v>
      </c>
      <c r="IP124" t="e">
        <f>AND('UP133'!AY87,"AAAAAD/f8/k=")</f>
        <v>#VALUE!</v>
      </c>
      <c r="IQ124" t="e">
        <f>AND('UP133'!AZ87,"AAAAAD/f8/o=")</f>
        <v>#VALUE!</v>
      </c>
      <c r="IR124" t="e">
        <f>AND('UP133'!BA87,"AAAAAD/f8/s=")</f>
        <v>#VALUE!</v>
      </c>
      <c r="IS124" t="e">
        <f>AND('UP133'!BB87,"AAAAAD/f8/w=")</f>
        <v>#VALUE!</v>
      </c>
      <c r="IT124" t="e">
        <f>AND('UP133'!BC87,"AAAAAD/f8/0=")</f>
        <v>#VALUE!</v>
      </c>
      <c r="IU124" t="e">
        <f>AND('UP133'!BD87,"AAAAAD/f8/4=")</f>
        <v>#VALUE!</v>
      </c>
      <c r="IV124" t="e">
        <f>AND('UP133'!BE87,"AAAAAD/f8/8=")</f>
        <v>#VALUE!</v>
      </c>
    </row>
    <row r="125" spans="1:256">
      <c r="A125" t="e">
        <f>AND('UP133'!BF87,"AAAAAH/1/wA=")</f>
        <v>#VALUE!</v>
      </c>
      <c r="B125" t="e">
        <f>AND('UP133'!BG87,"AAAAAH/1/wE=")</f>
        <v>#VALUE!</v>
      </c>
      <c r="C125" t="e">
        <f>AND('UP133'!BH87,"AAAAAH/1/wI=")</f>
        <v>#VALUE!</v>
      </c>
      <c r="D125" t="e">
        <f>AND('UP133'!BI87,"AAAAAH/1/wM=")</f>
        <v>#VALUE!</v>
      </c>
      <c r="E125" t="e">
        <f>AND('UP133'!BJ87,"AAAAAH/1/wQ=")</f>
        <v>#VALUE!</v>
      </c>
      <c r="F125" t="e">
        <f>AND('UP133'!BK87,"AAAAAH/1/wU=")</f>
        <v>#VALUE!</v>
      </c>
      <c r="G125" t="e">
        <f>AND('UP133'!BL87,"AAAAAH/1/wY=")</f>
        <v>#VALUE!</v>
      </c>
      <c r="H125" t="e">
        <f>AND('UP133'!BM87,"AAAAAH/1/wc=")</f>
        <v>#VALUE!</v>
      </c>
      <c r="I125" t="e">
        <f>AND('UP133'!BN87,"AAAAAH/1/wg=")</f>
        <v>#VALUE!</v>
      </c>
      <c r="J125" t="e">
        <f>AND('UP133'!BO87,"AAAAAH/1/wk=")</f>
        <v>#VALUE!</v>
      </c>
      <c r="K125" t="e">
        <f>AND('UP133'!BP87,"AAAAAH/1/wo=")</f>
        <v>#VALUE!</v>
      </c>
      <c r="L125" t="e">
        <f>AND('UP133'!BQ87,"AAAAAH/1/ws=")</f>
        <v>#VALUE!</v>
      </c>
      <c r="M125" t="e">
        <f>AND('UP133'!BR87,"AAAAAH/1/ww=")</f>
        <v>#VALUE!</v>
      </c>
      <c r="N125" t="e">
        <f>AND('UP133'!BS87,"AAAAAH/1/w0=")</f>
        <v>#VALUE!</v>
      </c>
      <c r="O125" t="e">
        <f>AND('UP133'!BT87,"AAAAAH/1/w4=")</f>
        <v>#VALUE!</v>
      </c>
      <c r="P125" t="e">
        <f>AND('UP133'!BU87,"AAAAAH/1/w8=")</f>
        <v>#VALUE!</v>
      </c>
      <c r="Q125" t="e">
        <f>AND('UP133'!BV87,"AAAAAH/1/xA=")</f>
        <v>#VALUE!</v>
      </c>
      <c r="R125" t="e">
        <f>AND('UP133'!BW87,"AAAAAH/1/xE=")</f>
        <v>#VALUE!</v>
      </c>
      <c r="S125" t="e">
        <f>AND('UP133'!BX87,"AAAAAH/1/xI=")</f>
        <v>#VALUE!</v>
      </c>
      <c r="T125" t="e">
        <f>AND('UP133'!BY87,"AAAAAH/1/xM=")</f>
        <v>#VALUE!</v>
      </c>
      <c r="U125" t="e">
        <f>AND('UP133'!BZ87,"AAAAAH/1/xQ=")</f>
        <v>#VALUE!</v>
      </c>
      <c r="V125" t="e">
        <f>AND('UP133'!CA87,"AAAAAH/1/xU=")</f>
        <v>#VALUE!</v>
      </c>
      <c r="W125" t="e">
        <f>AND('UP133'!CB87,"AAAAAH/1/xY=")</f>
        <v>#VALUE!</v>
      </c>
      <c r="X125" t="e">
        <f>AND('UP133'!CC87,"AAAAAH/1/xc=")</f>
        <v>#VALUE!</v>
      </c>
      <c r="Y125" t="e">
        <f>AND('UP133'!CD87,"AAAAAH/1/xg=")</f>
        <v>#VALUE!</v>
      </c>
      <c r="Z125" t="e">
        <f>AND('UP133'!CE87,"AAAAAH/1/xk=")</f>
        <v>#VALUE!</v>
      </c>
      <c r="AA125" t="e">
        <f>AND('UP133'!CF87,"AAAAAH/1/xo=")</f>
        <v>#VALUE!</v>
      </c>
      <c r="AB125" t="e">
        <f>AND('UP133'!CG87,"AAAAAH/1/xs=")</f>
        <v>#VALUE!</v>
      </c>
      <c r="AC125" t="e">
        <f>AND('UP133'!CH87,"AAAAAH/1/xw=")</f>
        <v>#VALUE!</v>
      </c>
      <c r="AD125" t="e">
        <f>AND('UP133'!CI87,"AAAAAH/1/x0=")</f>
        <v>#VALUE!</v>
      </c>
      <c r="AE125" t="e">
        <f>AND('UP133'!CJ87,"AAAAAH/1/x4=")</f>
        <v>#VALUE!</v>
      </c>
      <c r="AF125" t="e">
        <f>AND('UP133'!CK87,"AAAAAH/1/x8=")</f>
        <v>#VALUE!</v>
      </c>
      <c r="AG125" t="e">
        <f>AND('UP133'!CL87,"AAAAAH/1/yA=")</f>
        <v>#VALUE!</v>
      </c>
      <c r="AH125" t="e">
        <f>AND('UP133'!CM87,"AAAAAH/1/yE=")</f>
        <v>#VALUE!</v>
      </c>
      <c r="AI125" t="e">
        <f>AND('UP133'!CN87,"AAAAAH/1/yI=")</f>
        <v>#VALUE!</v>
      </c>
      <c r="AJ125" t="e">
        <f>AND('UP133'!CO87,"AAAAAH/1/yM=")</f>
        <v>#VALUE!</v>
      </c>
      <c r="AK125" t="e">
        <f>AND('UP133'!CP87,"AAAAAH/1/yQ=")</f>
        <v>#VALUE!</v>
      </c>
      <c r="AL125" t="e">
        <f>AND('UP133'!CQ87,"AAAAAH/1/yU=")</f>
        <v>#VALUE!</v>
      </c>
      <c r="AM125" t="e">
        <f>AND('UP133'!CR87,"AAAAAH/1/yY=")</f>
        <v>#VALUE!</v>
      </c>
      <c r="AN125" t="e">
        <f>AND('UP133'!CS87,"AAAAAH/1/yc=")</f>
        <v>#VALUE!</v>
      </c>
      <c r="AO125" t="e">
        <f>AND('UP133'!CT87,"AAAAAH/1/yg=")</f>
        <v>#VALUE!</v>
      </c>
      <c r="AP125" t="e">
        <f>AND('UP133'!CU87,"AAAAAH/1/yk=")</f>
        <v>#VALUE!</v>
      </c>
      <c r="AQ125" t="e">
        <f>AND('UP133'!CV87,"AAAAAH/1/yo=")</f>
        <v>#VALUE!</v>
      </c>
      <c r="AR125" t="e">
        <f>AND('UP133'!CW87,"AAAAAH/1/ys=")</f>
        <v>#VALUE!</v>
      </c>
      <c r="AS125" t="e">
        <f>AND('UP133'!CX87,"AAAAAH/1/yw=")</f>
        <v>#VALUE!</v>
      </c>
      <c r="AT125" t="e">
        <f>AND('UP133'!CY87,"AAAAAH/1/y0=")</f>
        <v>#VALUE!</v>
      </c>
      <c r="AU125" t="e">
        <f>AND('UP133'!CZ87,"AAAAAH/1/y4=")</f>
        <v>#VALUE!</v>
      </c>
      <c r="AV125" t="e">
        <f>AND('UP133'!DA87,"AAAAAH/1/y8=")</f>
        <v>#VALUE!</v>
      </c>
      <c r="AW125" t="e">
        <f>AND('UP133'!DB87,"AAAAAH/1/zA=")</f>
        <v>#VALUE!</v>
      </c>
      <c r="AX125" t="e">
        <f>AND('UP133'!DC87,"AAAAAH/1/zE=")</f>
        <v>#VALUE!</v>
      </c>
      <c r="AY125" t="e">
        <f>AND('UP133'!DD87,"AAAAAH/1/zI=")</f>
        <v>#VALUE!</v>
      </c>
      <c r="AZ125" t="e">
        <f>AND('UP133'!DE87,"AAAAAH/1/zM=")</f>
        <v>#VALUE!</v>
      </c>
      <c r="BA125" t="e">
        <f>AND('UP133'!DF87,"AAAAAH/1/zQ=")</f>
        <v>#VALUE!</v>
      </c>
      <c r="BB125" t="e">
        <f>AND('UP133'!DG87,"AAAAAH/1/zU=")</f>
        <v>#VALUE!</v>
      </c>
      <c r="BC125" t="e">
        <f>AND('UP133'!DH87,"AAAAAH/1/zY=")</f>
        <v>#VALUE!</v>
      </c>
      <c r="BD125" t="e">
        <f>AND('UP133'!DI87,"AAAAAH/1/zc=")</f>
        <v>#VALUE!</v>
      </c>
      <c r="BE125" t="e">
        <f>AND('UP133'!DJ87,"AAAAAH/1/zg=")</f>
        <v>#VALUE!</v>
      </c>
      <c r="BF125" t="e">
        <f>AND('UP133'!DK87,"AAAAAH/1/zk=")</f>
        <v>#VALUE!</v>
      </c>
      <c r="BG125" t="e">
        <f>AND('UP133'!DL87,"AAAAAH/1/zo=")</f>
        <v>#VALUE!</v>
      </c>
      <c r="BH125" t="e">
        <f>AND('UP133'!DM87,"AAAAAH/1/zs=")</f>
        <v>#VALUE!</v>
      </c>
      <c r="BI125" t="e">
        <f>AND('UP133'!DN87,"AAAAAH/1/zw=")</f>
        <v>#VALUE!</v>
      </c>
      <c r="BJ125" t="e">
        <f>AND('UP133'!DO87,"AAAAAH/1/z0=")</f>
        <v>#VALUE!</v>
      </c>
      <c r="BK125" t="e">
        <f>AND('UP133'!DP87,"AAAAAH/1/z4=")</f>
        <v>#VALUE!</v>
      </c>
      <c r="BL125" t="e">
        <f>AND('UP133'!DQ87,"AAAAAH/1/z8=")</f>
        <v>#VALUE!</v>
      </c>
      <c r="BM125" t="e">
        <f>AND('UP133'!DR87,"AAAAAH/1/0A=")</f>
        <v>#VALUE!</v>
      </c>
      <c r="BN125" t="e">
        <f>AND('UP133'!DS87,"AAAAAH/1/0E=")</f>
        <v>#VALUE!</v>
      </c>
      <c r="BO125" t="e">
        <f>AND('UP133'!DT87,"AAAAAH/1/0I=")</f>
        <v>#VALUE!</v>
      </c>
      <c r="BP125" t="e">
        <f>AND('UP133'!DU87,"AAAAAH/1/0M=")</f>
        <v>#VALUE!</v>
      </c>
      <c r="BQ125" t="e">
        <f>AND('UP133'!DV87,"AAAAAH/1/0Q=")</f>
        <v>#VALUE!</v>
      </c>
      <c r="BR125" t="e">
        <f>AND('UP133'!DW87,"AAAAAH/1/0U=")</f>
        <v>#VALUE!</v>
      </c>
      <c r="BS125" t="e">
        <f>AND('UP133'!DX87,"AAAAAH/1/0Y=")</f>
        <v>#VALUE!</v>
      </c>
      <c r="BT125" t="e">
        <f>AND('UP133'!DY87,"AAAAAH/1/0c=")</f>
        <v>#VALUE!</v>
      </c>
      <c r="BU125" t="e">
        <f>AND('UP133'!DZ87,"AAAAAH/1/0g=")</f>
        <v>#VALUE!</v>
      </c>
      <c r="BV125" t="e">
        <f>AND('UP133'!EA87,"AAAAAH/1/0k=")</f>
        <v>#VALUE!</v>
      </c>
      <c r="BW125" t="e">
        <f>AND('UP133'!EB87,"AAAAAH/1/0o=")</f>
        <v>#VALUE!</v>
      </c>
      <c r="BX125" t="e">
        <f>AND('UP133'!EC87,"AAAAAH/1/0s=")</f>
        <v>#VALUE!</v>
      </c>
      <c r="BY125" t="e">
        <f>AND('UP133'!ED87,"AAAAAH/1/0w=")</f>
        <v>#VALUE!</v>
      </c>
      <c r="BZ125" t="e">
        <f>AND('UP133'!EE87,"AAAAAH/1/00=")</f>
        <v>#VALUE!</v>
      </c>
      <c r="CA125" t="e">
        <f>AND('UP133'!EF87,"AAAAAH/1/04=")</f>
        <v>#VALUE!</v>
      </c>
      <c r="CB125" t="e">
        <f>AND('UP133'!EG87,"AAAAAH/1/08=")</f>
        <v>#VALUE!</v>
      </c>
      <c r="CC125" t="e">
        <f>AND('UP133'!EH87,"AAAAAH/1/1A=")</f>
        <v>#VALUE!</v>
      </c>
      <c r="CD125" t="e">
        <f>AND('UP133'!EI87,"AAAAAH/1/1E=")</f>
        <v>#VALUE!</v>
      </c>
      <c r="CE125" t="e">
        <f>AND('UP133'!EJ87,"AAAAAH/1/1I=")</f>
        <v>#VALUE!</v>
      </c>
      <c r="CF125" t="e">
        <f>AND('UP133'!EK87,"AAAAAH/1/1M=")</f>
        <v>#VALUE!</v>
      </c>
      <c r="CG125" t="e">
        <f>AND('UP133'!EL87,"AAAAAH/1/1Q=")</f>
        <v>#VALUE!</v>
      </c>
      <c r="CH125" t="e">
        <f>AND('UP133'!EM87,"AAAAAH/1/1U=")</f>
        <v>#VALUE!</v>
      </c>
      <c r="CI125" t="e">
        <f>AND('UP133'!EN87,"AAAAAH/1/1Y=")</f>
        <v>#VALUE!</v>
      </c>
      <c r="CJ125" t="e">
        <f>AND('UP133'!EO87,"AAAAAH/1/1c=")</f>
        <v>#VALUE!</v>
      </c>
      <c r="CK125" t="e">
        <f>AND('UP133'!EP87,"AAAAAH/1/1g=")</f>
        <v>#VALUE!</v>
      </c>
      <c r="CL125" t="e">
        <f>AND('UP133'!EQ87,"AAAAAH/1/1k=")</f>
        <v>#VALUE!</v>
      </c>
      <c r="CM125" t="e">
        <f>AND('UP133'!ER87,"AAAAAH/1/1o=")</f>
        <v>#VALUE!</v>
      </c>
      <c r="CN125" t="e">
        <f>AND('UP133'!ES87,"AAAAAH/1/1s=")</f>
        <v>#VALUE!</v>
      </c>
      <c r="CO125" t="e">
        <f>AND('UP133'!ET87,"AAAAAH/1/1w=")</f>
        <v>#VALUE!</v>
      </c>
      <c r="CP125" t="e">
        <f>AND('UP133'!EU87,"AAAAAH/1/10=")</f>
        <v>#VALUE!</v>
      </c>
      <c r="CQ125" t="e">
        <f>AND('UP133'!EV87,"AAAAAH/1/14=")</f>
        <v>#VALUE!</v>
      </c>
      <c r="CR125" t="e">
        <f>AND('UP133'!EW87,"AAAAAH/1/18=")</f>
        <v>#VALUE!</v>
      </c>
      <c r="CS125" t="e">
        <f>AND('UP133'!EX87,"AAAAAH/1/2A=")</f>
        <v>#VALUE!</v>
      </c>
      <c r="CT125" t="e">
        <f>AND('UP133'!EY87,"AAAAAH/1/2E=")</f>
        <v>#VALUE!</v>
      </c>
      <c r="CU125" t="e">
        <f>AND('UP133'!EZ87,"AAAAAH/1/2I=")</f>
        <v>#VALUE!</v>
      </c>
      <c r="CV125" t="e">
        <f>AND('UP133'!FA87,"AAAAAH/1/2M=")</f>
        <v>#VALUE!</v>
      </c>
      <c r="CW125" t="e">
        <f>AND('UP133'!FB87,"AAAAAH/1/2Q=")</f>
        <v>#VALUE!</v>
      </c>
      <c r="CX125" t="e">
        <f>AND('UP133'!FC87,"AAAAAH/1/2U=")</f>
        <v>#VALUE!</v>
      </c>
      <c r="CY125" t="e">
        <f>AND('UP133'!FD87,"AAAAAH/1/2Y=")</f>
        <v>#VALUE!</v>
      </c>
      <c r="CZ125" t="e">
        <f>AND('UP133'!FE87,"AAAAAH/1/2c=")</f>
        <v>#VALUE!</v>
      </c>
      <c r="DA125" t="e">
        <f>AND('UP133'!FF87,"AAAAAH/1/2g=")</f>
        <v>#VALUE!</v>
      </c>
      <c r="DB125" t="e">
        <f>AND('UP133'!FG87,"AAAAAH/1/2k=")</f>
        <v>#VALUE!</v>
      </c>
      <c r="DC125" t="e">
        <f>AND('UP133'!FH87,"AAAAAH/1/2o=")</f>
        <v>#VALUE!</v>
      </c>
      <c r="DD125" t="e">
        <f>AND('UP133'!FI87,"AAAAAH/1/2s=")</f>
        <v>#VALUE!</v>
      </c>
      <c r="DE125" t="e">
        <f>AND('UP133'!FJ87,"AAAAAH/1/2w=")</f>
        <v>#VALUE!</v>
      </c>
      <c r="DF125" t="e">
        <f>AND('UP133'!FK87,"AAAAAH/1/20=")</f>
        <v>#VALUE!</v>
      </c>
      <c r="DG125" t="e">
        <f>AND('UP133'!FL87,"AAAAAH/1/24=")</f>
        <v>#VALUE!</v>
      </c>
      <c r="DH125" t="e">
        <f>AND('UP133'!FM87,"AAAAAH/1/28=")</f>
        <v>#VALUE!</v>
      </c>
      <c r="DI125" t="e">
        <f>AND('UP133'!FN87,"AAAAAH/1/3A=")</f>
        <v>#VALUE!</v>
      </c>
      <c r="DJ125" t="e">
        <f>AND('UP133'!FO87,"AAAAAH/1/3E=")</f>
        <v>#VALUE!</v>
      </c>
      <c r="DK125" t="e">
        <f>AND('UP133'!FP87,"AAAAAH/1/3I=")</f>
        <v>#VALUE!</v>
      </c>
      <c r="DL125" t="e">
        <f>AND('UP133'!FQ87,"AAAAAH/1/3M=")</f>
        <v>#VALUE!</v>
      </c>
      <c r="DM125" t="e">
        <f>AND('UP133'!FR87,"AAAAAH/1/3Q=")</f>
        <v>#VALUE!</v>
      </c>
      <c r="DN125" t="e">
        <f>AND('UP133'!FS87,"AAAAAH/1/3U=")</f>
        <v>#VALUE!</v>
      </c>
      <c r="DO125" t="e">
        <f>AND('UP133'!FT87,"AAAAAH/1/3Y=")</f>
        <v>#VALUE!</v>
      </c>
      <c r="DP125" t="e">
        <f>AND('UP133'!FU87,"AAAAAH/1/3c=")</f>
        <v>#VALUE!</v>
      </c>
      <c r="DQ125" t="e">
        <f>AND('UP133'!FV87,"AAAAAH/1/3g=")</f>
        <v>#VALUE!</v>
      </c>
      <c r="DR125" t="e">
        <f>AND('UP133'!FW87,"AAAAAH/1/3k=")</f>
        <v>#VALUE!</v>
      </c>
      <c r="DS125" t="e">
        <f>AND('UP133'!FX87,"AAAAAH/1/3o=")</f>
        <v>#VALUE!</v>
      </c>
      <c r="DT125" t="e">
        <f>AND('UP133'!FY87,"AAAAAH/1/3s=")</f>
        <v>#VALUE!</v>
      </c>
      <c r="DU125" t="e">
        <f>AND('UP133'!FZ87,"AAAAAH/1/3w=")</f>
        <v>#VALUE!</v>
      </c>
      <c r="DV125" t="e">
        <f>AND('UP133'!GA87,"AAAAAH/1/30=")</f>
        <v>#VALUE!</v>
      </c>
      <c r="DW125" t="e">
        <f>AND('UP133'!GB87,"AAAAAH/1/34=")</f>
        <v>#VALUE!</v>
      </c>
      <c r="DX125" t="e">
        <f>AND('UP133'!GC87,"AAAAAH/1/38=")</f>
        <v>#VALUE!</v>
      </c>
      <c r="DY125" t="e">
        <f>AND('UP133'!GD87,"AAAAAH/1/4A=")</f>
        <v>#VALUE!</v>
      </c>
      <c r="DZ125" t="e">
        <f>AND('UP133'!GE87,"AAAAAH/1/4E=")</f>
        <v>#VALUE!</v>
      </c>
      <c r="EA125" t="e">
        <f>AND('UP133'!GF87,"AAAAAH/1/4I=")</f>
        <v>#VALUE!</v>
      </c>
      <c r="EB125" t="e">
        <f>AND('UP133'!GG87,"AAAAAH/1/4M=")</f>
        <v>#VALUE!</v>
      </c>
      <c r="EC125" t="e">
        <f>AND('UP133'!GH87,"AAAAAH/1/4Q=")</f>
        <v>#VALUE!</v>
      </c>
      <c r="ED125" t="e">
        <f>AND('UP133'!GI87,"AAAAAH/1/4U=")</f>
        <v>#VALUE!</v>
      </c>
      <c r="EE125" t="e">
        <f>AND('UP133'!GJ87,"AAAAAH/1/4Y=")</f>
        <v>#VALUE!</v>
      </c>
      <c r="EF125" t="e">
        <f>AND('UP133'!GK87,"AAAAAH/1/4c=")</f>
        <v>#VALUE!</v>
      </c>
      <c r="EG125" t="e">
        <f>AND('UP133'!GL87,"AAAAAH/1/4g=")</f>
        <v>#VALUE!</v>
      </c>
      <c r="EH125" t="e">
        <f>AND('UP133'!GM87,"AAAAAH/1/4k=")</f>
        <v>#VALUE!</v>
      </c>
      <c r="EI125" t="e">
        <f>AND('UP133'!GN87,"AAAAAH/1/4o=")</f>
        <v>#VALUE!</v>
      </c>
      <c r="EJ125" t="e">
        <f>AND('UP133'!GO87,"AAAAAH/1/4s=")</f>
        <v>#VALUE!</v>
      </c>
      <c r="EK125" t="e">
        <f>AND('UP133'!GP87,"AAAAAH/1/4w=")</f>
        <v>#VALUE!</v>
      </c>
      <c r="EL125" t="e">
        <f>AND('UP133'!GQ87,"AAAAAH/1/40=")</f>
        <v>#VALUE!</v>
      </c>
      <c r="EM125" t="e">
        <f>AND('UP133'!GR87,"AAAAAH/1/44=")</f>
        <v>#VALUE!</v>
      </c>
      <c r="EN125" t="e">
        <f>AND('UP133'!GS87,"AAAAAH/1/48=")</f>
        <v>#VALUE!</v>
      </c>
      <c r="EO125" t="e">
        <f>AND('UP133'!GT87,"AAAAAH/1/5A=")</f>
        <v>#VALUE!</v>
      </c>
      <c r="EP125" t="e">
        <f>AND('UP133'!GU87,"AAAAAH/1/5E=")</f>
        <v>#VALUE!</v>
      </c>
      <c r="EQ125" t="e">
        <f>AND('UP133'!GV87,"AAAAAH/1/5I=")</f>
        <v>#VALUE!</v>
      </c>
      <c r="ER125" t="e">
        <f>AND('UP133'!GW87,"AAAAAH/1/5M=")</f>
        <v>#VALUE!</v>
      </c>
      <c r="ES125" t="e">
        <f>AND('UP133'!GX87,"AAAAAH/1/5Q=")</f>
        <v>#VALUE!</v>
      </c>
      <c r="ET125" t="e">
        <f>AND('UP133'!GY87,"AAAAAH/1/5U=")</f>
        <v>#VALUE!</v>
      </c>
      <c r="EU125" t="e">
        <f>AND('UP133'!GZ87,"AAAAAH/1/5Y=")</f>
        <v>#VALUE!</v>
      </c>
      <c r="EV125" t="e">
        <f>AND('UP133'!HA87,"AAAAAH/1/5c=")</f>
        <v>#VALUE!</v>
      </c>
      <c r="EW125" t="e">
        <f>AND('UP133'!HB87,"AAAAAH/1/5g=")</f>
        <v>#VALUE!</v>
      </c>
      <c r="EX125" t="e">
        <f>AND('UP133'!HC87,"AAAAAH/1/5k=")</f>
        <v>#VALUE!</v>
      </c>
      <c r="EY125" t="e">
        <f>AND('UP133'!HD87,"AAAAAH/1/5o=")</f>
        <v>#VALUE!</v>
      </c>
      <c r="EZ125" t="e">
        <f>AND('UP133'!HE87,"AAAAAH/1/5s=")</f>
        <v>#VALUE!</v>
      </c>
      <c r="FA125" t="e">
        <f>AND('UP133'!HF87,"AAAAAH/1/5w=")</f>
        <v>#VALUE!</v>
      </c>
      <c r="FB125" t="e">
        <f>AND('UP133'!HG87,"AAAAAH/1/50=")</f>
        <v>#VALUE!</v>
      </c>
      <c r="FC125" t="e">
        <f>AND('UP133'!HH87,"AAAAAH/1/54=")</f>
        <v>#VALUE!</v>
      </c>
      <c r="FD125" t="e">
        <f>AND('UP133'!HI87,"AAAAAH/1/58=")</f>
        <v>#VALUE!</v>
      </c>
      <c r="FE125" t="e">
        <f>AND('UP133'!HJ87,"AAAAAH/1/6A=")</f>
        <v>#VALUE!</v>
      </c>
      <c r="FF125" t="e">
        <f>AND('UP133'!HK87,"AAAAAH/1/6E=")</f>
        <v>#VALUE!</v>
      </c>
      <c r="FG125" t="e">
        <f>AND('UP133'!HL87,"AAAAAH/1/6I=")</f>
        <v>#VALUE!</v>
      </c>
      <c r="FH125" t="e">
        <f>AND('UP133'!HM87,"AAAAAH/1/6M=")</f>
        <v>#VALUE!</v>
      </c>
      <c r="FI125" t="e">
        <f>AND('UP133'!HN87,"AAAAAH/1/6Q=")</f>
        <v>#VALUE!</v>
      </c>
      <c r="FJ125" t="e">
        <f>AND('UP133'!HO87,"AAAAAH/1/6U=")</f>
        <v>#VALUE!</v>
      </c>
      <c r="FK125" t="e">
        <f>AND('UP133'!HP87,"AAAAAH/1/6Y=")</f>
        <v>#VALUE!</v>
      </c>
      <c r="FL125" t="e">
        <f>AND('UP133'!HQ87,"AAAAAH/1/6c=")</f>
        <v>#VALUE!</v>
      </c>
      <c r="FM125" t="e">
        <f>AND('UP133'!HR87,"AAAAAH/1/6g=")</f>
        <v>#VALUE!</v>
      </c>
      <c r="FN125" t="e">
        <f>AND('UP133'!HS87,"AAAAAH/1/6k=")</f>
        <v>#VALUE!</v>
      </c>
      <c r="FO125" t="e">
        <f>AND('UP133'!HT87,"AAAAAH/1/6o=")</f>
        <v>#VALUE!</v>
      </c>
      <c r="FP125" t="e">
        <f>AND('UP133'!HU87,"AAAAAH/1/6s=")</f>
        <v>#VALUE!</v>
      </c>
      <c r="FQ125" t="e">
        <f>AND('UP133'!HV87,"AAAAAH/1/6w=")</f>
        <v>#VALUE!</v>
      </c>
      <c r="FR125" t="e">
        <f>AND('UP133'!HW87,"AAAAAH/1/60=")</f>
        <v>#VALUE!</v>
      </c>
      <c r="FS125" t="e">
        <f>AND('UP133'!HX87,"AAAAAH/1/64=")</f>
        <v>#VALUE!</v>
      </c>
      <c r="FT125" t="e">
        <f>AND('UP133'!HY87,"AAAAAH/1/68=")</f>
        <v>#VALUE!</v>
      </c>
      <c r="FU125" t="e">
        <f>AND('UP133'!HZ87,"AAAAAH/1/7A=")</f>
        <v>#VALUE!</v>
      </c>
      <c r="FV125" t="e">
        <f>AND('UP133'!IA87,"AAAAAH/1/7E=")</f>
        <v>#VALUE!</v>
      </c>
      <c r="FW125" t="e">
        <f>AND('UP133'!IB87,"AAAAAH/1/7I=")</f>
        <v>#VALUE!</v>
      </c>
      <c r="FX125" t="e">
        <f>AND('UP133'!IC87,"AAAAAH/1/7M=")</f>
        <v>#VALUE!</v>
      </c>
      <c r="FY125" t="e">
        <f>AND('UP133'!ID87,"AAAAAH/1/7Q=")</f>
        <v>#VALUE!</v>
      </c>
      <c r="FZ125" t="e">
        <f>AND('UP133'!IE87,"AAAAAH/1/7U=")</f>
        <v>#VALUE!</v>
      </c>
      <c r="GA125" t="e">
        <f>AND('UP133'!IF87,"AAAAAH/1/7Y=")</f>
        <v>#VALUE!</v>
      </c>
      <c r="GB125" t="e">
        <f>AND('UP133'!IG87,"AAAAAH/1/7c=")</f>
        <v>#VALUE!</v>
      </c>
      <c r="GC125" t="e">
        <f>AND('UP133'!IH87,"AAAAAH/1/7g=")</f>
        <v>#VALUE!</v>
      </c>
      <c r="GD125" t="e">
        <f>AND('UP133'!II87,"AAAAAH/1/7k=")</f>
        <v>#VALUE!</v>
      </c>
      <c r="GE125" t="e">
        <f>AND('UP133'!IJ87,"AAAAAH/1/7o=")</f>
        <v>#VALUE!</v>
      </c>
      <c r="GF125" t="e">
        <f>AND('UP133'!IK87,"AAAAAH/1/7s=")</f>
        <v>#VALUE!</v>
      </c>
      <c r="GG125" t="e">
        <f>AND('UP133'!IL87,"AAAAAH/1/7w=")</f>
        <v>#VALUE!</v>
      </c>
      <c r="GH125" t="e">
        <f>AND('UP133'!IM87,"AAAAAH/1/70=")</f>
        <v>#VALUE!</v>
      </c>
      <c r="GI125" t="e">
        <f>AND('UP133'!IN87,"AAAAAH/1/74=")</f>
        <v>#VALUE!</v>
      </c>
      <c r="GJ125" t="e">
        <f>AND('UP133'!IO87,"AAAAAH/1/78=")</f>
        <v>#VALUE!</v>
      </c>
      <c r="GK125" t="e">
        <f>AND('UP133'!IP87,"AAAAAH/1/8A=")</f>
        <v>#VALUE!</v>
      </c>
      <c r="GL125" t="e">
        <f>AND('UP133'!IQ87,"AAAAAH/1/8E=")</f>
        <v>#VALUE!</v>
      </c>
      <c r="GM125">
        <f>IF('UP133'!88:88,"AAAAAH/1/8I=",0)</f>
        <v>0</v>
      </c>
      <c r="GN125" t="e">
        <f>AND('UP133'!A88,"AAAAAH/1/8M=")</f>
        <v>#VALUE!</v>
      </c>
      <c r="GO125" t="e">
        <f>AND('UP133'!B88,"AAAAAH/1/8Q=")</f>
        <v>#VALUE!</v>
      </c>
      <c r="GP125" t="e">
        <f>AND('UP133'!C88,"AAAAAH/1/8U=")</f>
        <v>#VALUE!</v>
      </c>
      <c r="GQ125" t="e">
        <f>AND('UP133'!D88,"AAAAAH/1/8Y=")</f>
        <v>#VALUE!</v>
      </c>
      <c r="GR125" t="e">
        <f>AND('UP133'!E88,"AAAAAH/1/8c=")</f>
        <v>#VALUE!</v>
      </c>
      <c r="GS125" t="e">
        <f>AND('UP133'!F88,"AAAAAH/1/8g=")</f>
        <v>#VALUE!</v>
      </c>
      <c r="GT125" t="e">
        <f>AND('UP133'!G88,"AAAAAH/1/8k=")</f>
        <v>#VALUE!</v>
      </c>
      <c r="GU125" t="e">
        <f>AND('UP133'!H88,"AAAAAH/1/8o=")</f>
        <v>#VALUE!</v>
      </c>
      <c r="GV125" t="e">
        <f>AND('UP133'!I88,"AAAAAH/1/8s=")</f>
        <v>#VALUE!</v>
      </c>
      <c r="GW125" t="e">
        <f>AND('UP133'!J88,"AAAAAH/1/8w=")</f>
        <v>#VALUE!</v>
      </c>
      <c r="GX125" t="e">
        <f>AND('UP133'!K88,"AAAAAH/1/80=")</f>
        <v>#VALUE!</v>
      </c>
      <c r="GY125" t="e">
        <f>AND('UP133'!L88,"AAAAAH/1/84=")</f>
        <v>#VALUE!</v>
      </c>
      <c r="GZ125" t="e">
        <f>AND('UP133'!M88,"AAAAAH/1/88=")</f>
        <v>#VALUE!</v>
      </c>
      <c r="HA125" t="e">
        <f>AND('UP133'!N88,"AAAAAH/1/9A=")</f>
        <v>#VALUE!</v>
      </c>
      <c r="HB125" t="e">
        <f>AND('UP133'!O88,"AAAAAH/1/9E=")</f>
        <v>#VALUE!</v>
      </c>
      <c r="HC125" t="e">
        <f>AND('UP133'!P88,"AAAAAH/1/9I=")</f>
        <v>#VALUE!</v>
      </c>
      <c r="HD125" t="e">
        <f>AND('UP133'!Q88,"AAAAAH/1/9M=")</f>
        <v>#VALUE!</v>
      </c>
      <c r="HE125" t="e">
        <f>AND('UP133'!R88,"AAAAAH/1/9Q=")</f>
        <v>#VALUE!</v>
      </c>
      <c r="HF125" t="e">
        <f>AND('UP133'!S88,"AAAAAH/1/9U=")</f>
        <v>#VALUE!</v>
      </c>
      <c r="HG125" t="e">
        <f>AND('UP133'!T88,"AAAAAH/1/9Y=")</f>
        <v>#VALUE!</v>
      </c>
      <c r="HH125" t="e">
        <f>AND('UP133'!U88,"AAAAAH/1/9c=")</f>
        <v>#VALUE!</v>
      </c>
      <c r="HI125" t="e">
        <f>AND('UP133'!V88,"AAAAAH/1/9g=")</f>
        <v>#VALUE!</v>
      </c>
      <c r="HJ125" t="e">
        <f>AND('UP133'!W88,"AAAAAH/1/9k=")</f>
        <v>#VALUE!</v>
      </c>
      <c r="HK125" t="e">
        <f>AND('UP133'!X88,"AAAAAH/1/9o=")</f>
        <v>#VALUE!</v>
      </c>
      <c r="HL125" t="e">
        <f>AND('UP133'!Y88,"AAAAAH/1/9s=")</f>
        <v>#VALUE!</v>
      </c>
      <c r="HM125" t="e">
        <f>AND('UP133'!Z88,"AAAAAH/1/9w=")</f>
        <v>#VALUE!</v>
      </c>
      <c r="HN125" t="e">
        <f>AND('UP133'!AA88,"AAAAAH/1/90=")</f>
        <v>#VALUE!</v>
      </c>
      <c r="HO125" t="e">
        <f>AND('UP133'!AB88,"AAAAAH/1/94=")</f>
        <v>#VALUE!</v>
      </c>
      <c r="HP125" t="e">
        <f>AND('UP133'!AC88,"AAAAAH/1/98=")</f>
        <v>#VALUE!</v>
      </c>
      <c r="HQ125" t="e">
        <f>AND('UP133'!AD88,"AAAAAH/1/+A=")</f>
        <v>#VALUE!</v>
      </c>
      <c r="HR125" t="e">
        <f>AND('UP133'!AE88,"AAAAAH/1/+E=")</f>
        <v>#VALUE!</v>
      </c>
      <c r="HS125" t="e">
        <f>AND('UP133'!AF88,"AAAAAH/1/+I=")</f>
        <v>#VALUE!</v>
      </c>
      <c r="HT125" t="e">
        <f>AND('UP133'!AG88,"AAAAAH/1/+M=")</f>
        <v>#VALUE!</v>
      </c>
      <c r="HU125" t="e">
        <f>AND('UP133'!AH88,"AAAAAH/1/+Q=")</f>
        <v>#VALUE!</v>
      </c>
      <c r="HV125" t="e">
        <f>AND('UP133'!AI88,"AAAAAH/1/+U=")</f>
        <v>#VALUE!</v>
      </c>
      <c r="HW125" t="e">
        <f>AND('UP133'!AJ88,"AAAAAH/1/+Y=")</f>
        <v>#VALUE!</v>
      </c>
      <c r="HX125" t="e">
        <f>AND('UP133'!AK88,"AAAAAH/1/+c=")</f>
        <v>#VALUE!</v>
      </c>
      <c r="HY125" t="e">
        <f>AND('UP133'!AL88,"AAAAAH/1/+g=")</f>
        <v>#VALUE!</v>
      </c>
      <c r="HZ125" t="e">
        <f>AND('UP133'!AM88,"AAAAAH/1/+k=")</f>
        <v>#VALUE!</v>
      </c>
      <c r="IA125" t="e">
        <f>AND('UP133'!AN88,"AAAAAH/1/+o=")</f>
        <v>#VALUE!</v>
      </c>
      <c r="IB125" t="e">
        <f>AND('UP133'!AO88,"AAAAAH/1/+s=")</f>
        <v>#VALUE!</v>
      </c>
      <c r="IC125" t="e">
        <f>AND('UP133'!AP88,"AAAAAH/1/+w=")</f>
        <v>#VALUE!</v>
      </c>
      <c r="ID125" t="e">
        <f>AND('UP133'!AQ88,"AAAAAH/1/+0=")</f>
        <v>#VALUE!</v>
      </c>
      <c r="IE125" t="e">
        <f>AND('UP133'!AR88,"AAAAAH/1/+4=")</f>
        <v>#VALUE!</v>
      </c>
      <c r="IF125" t="e">
        <f>AND('UP133'!AS88,"AAAAAH/1/+8=")</f>
        <v>#VALUE!</v>
      </c>
      <c r="IG125" t="e">
        <f>AND('UP133'!AT88,"AAAAAH/1//A=")</f>
        <v>#VALUE!</v>
      </c>
      <c r="IH125" t="e">
        <f>AND('UP133'!AU88,"AAAAAH/1//E=")</f>
        <v>#VALUE!</v>
      </c>
      <c r="II125" t="e">
        <f>AND('UP133'!AV88,"AAAAAH/1//I=")</f>
        <v>#VALUE!</v>
      </c>
      <c r="IJ125" t="e">
        <f>AND('UP133'!AW88,"AAAAAH/1//M=")</f>
        <v>#VALUE!</v>
      </c>
      <c r="IK125" t="e">
        <f>AND('UP133'!AX88,"AAAAAH/1//Q=")</f>
        <v>#VALUE!</v>
      </c>
      <c r="IL125" t="e">
        <f>AND('UP133'!AY88,"AAAAAH/1//U=")</f>
        <v>#VALUE!</v>
      </c>
      <c r="IM125" t="e">
        <f>AND('UP133'!AZ88,"AAAAAH/1//Y=")</f>
        <v>#VALUE!</v>
      </c>
      <c r="IN125" t="e">
        <f>AND('UP133'!BA88,"AAAAAH/1//c=")</f>
        <v>#VALUE!</v>
      </c>
      <c r="IO125" t="e">
        <f>AND('UP133'!BB88,"AAAAAH/1//g=")</f>
        <v>#VALUE!</v>
      </c>
      <c r="IP125" t="e">
        <f>AND('UP133'!BC88,"AAAAAH/1//k=")</f>
        <v>#VALUE!</v>
      </c>
      <c r="IQ125" t="e">
        <f>AND('UP133'!BD88,"AAAAAH/1//o=")</f>
        <v>#VALUE!</v>
      </c>
      <c r="IR125" t="e">
        <f>AND('UP133'!BE88,"AAAAAH/1//s=")</f>
        <v>#VALUE!</v>
      </c>
      <c r="IS125" t="e">
        <f>AND('UP133'!BF88,"AAAAAH/1//w=")</f>
        <v>#VALUE!</v>
      </c>
      <c r="IT125" t="e">
        <f>AND('UP133'!BG88,"AAAAAH/1//0=")</f>
        <v>#VALUE!</v>
      </c>
      <c r="IU125" t="e">
        <f>AND('UP133'!BH88,"AAAAAH/1//4=")</f>
        <v>#VALUE!</v>
      </c>
      <c r="IV125" t="e">
        <f>AND('UP133'!BI88,"AAAAAH/1//8=")</f>
        <v>#VALUE!</v>
      </c>
    </row>
    <row r="126" spans="1:256">
      <c r="A126" t="e">
        <f>AND('UP133'!BJ88,"AAAAAG7Z1AA=")</f>
        <v>#VALUE!</v>
      </c>
      <c r="B126" t="e">
        <f>AND('UP133'!BK88,"AAAAAG7Z1AE=")</f>
        <v>#VALUE!</v>
      </c>
      <c r="C126" t="e">
        <f>AND('UP133'!BL88,"AAAAAG7Z1AI=")</f>
        <v>#VALUE!</v>
      </c>
      <c r="D126" t="e">
        <f>AND('UP133'!BM88,"AAAAAG7Z1AM=")</f>
        <v>#VALUE!</v>
      </c>
      <c r="E126" t="e">
        <f>AND('UP133'!BN88,"AAAAAG7Z1AQ=")</f>
        <v>#VALUE!</v>
      </c>
      <c r="F126" t="e">
        <f>AND('UP133'!BO88,"AAAAAG7Z1AU=")</f>
        <v>#VALUE!</v>
      </c>
      <c r="G126" t="e">
        <f>AND('UP133'!BP88,"AAAAAG7Z1AY=")</f>
        <v>#VALUE!</v>
      </c>
      <c r="H126" t="e">
        <f>AND('UP133'!BQ88,"AAAAAG7Z1Ac=")</f>
        <v>#VALUE!</v>
      </c>
      <c r="I126" t="e">
        <f>AND('UP133'!BR88,"AAAAAG7Z1Ag=")</f>
        <v>#VALUE!</v>
      </c>
      <c r="J126" t="e">
        <f>AND('UP133'!BS88,"AAAAAG7Z1Ak=")</f>
        <v>#VALUE!</v>
      </c>
      <c r="K126" t="e">
        <f>AND('UP133'!BT88,"AAAAAG7Z1Ao=")</f>
        <v>#VALUE!</v>
      </c>
      <c r="L126" t="e">
        <f>AND('UP133'!BU88,"AAAAAG7Z1As=")</f>
        <v>#VALUE!</v>
      </c>
      <c r="M126" t="e">
        <f>AND('UP133'!BV88,"AAAAAG7Z1Aw=")</f>
        <v>#VALUE!</v>
      </c>
      <c r="N126" t="e">
        <f>AND('UP133'!BW88,"AAAAAG7Z1A0=")</f>
        <v>#VALUE!</v>
      </c>
      <c r="O126" t="e">
        <f>AND('UP133'!BX88,"AAAAAG7Z1A4=")</f>
        <v>#VALUE!</v>
      </c>
      <c r="P126" t="e">
        <f>AND('UP133'!BY88,"AAAAAG7Z1A8=")</f>
        <v>#VALUE!</v>
      </c>
      <c r="Q126" t="e">
        <f>AND('UP133'!BZ88,"AAAAAG7Z1BA=")</f>
        <v>#VALUE!</v>
      </c>
      <c r="R126" t="e">
        <f>AND('UP133'!CA88,"AAAAAG7Z1BE=")</f>
        <v>#VALUE!</v>
      </c>
      <c r="S126" t="e">
        <f>AND('UP133'!CB88,"AAAAAG7Z1BI=")</f>
        <v>#VALUE!</v>
      </c>
      <c r="T126" t="e">
        <f>AND('UP133'!CC88,"AAAAAG7Z1BM=")</f>
        <v>#VALUE!</v>
      </c>
      <c r="U126" t="e">
        <f>AND('UP133'!CD88,"AAAAAG7Z1BQ=")</f>
        <v>#VALUE!</v>
      </c>
      <c r="V126" t="e">
        <f>AND('UP133'!CE88,"AAAAAG7Z1BU=")</f>
        <v>#VALUE!</v>
      </c>
      <c r="W126" t="e">
        <f>AND('UP133'!CF88,"AAAAAG7Z1BY=")</f>
        <v>#VALUE!</v>
      </c>
      <c r="X126" t="e">
        <f>AND('UP133'!CG88,"AAAAAG7Z1Bc=")</f>
        <v>#VALUE!</v>
      </c>
      <c r="Y126" t="e">
        <f>AND('UP133'!CH88,"AAAAAG7Z1Bg=")</f>
        <v>#VALUE!</v>
      </c>
      <c r="Z126" t="e">
        <f>AND('UP133'!CI88,"AAAAAG7Z1Bk=")</f>
        <v>#VALUE!</v>
      </c>
      <c r="AA126" t="e">
        <f>AND('UP133'!CJ88,"AAAAAG7Z1Bo=")</f>
        <v>#VALUE!</v>
      </c>
      <c r="AB126" t="e">
        <f>AND('UP133'!CK88,"AAAAAG7Z1Bs=")</f>
        <v>#VALUE!</v>
      </c>
      <c r="AC126" t="e">
        <f>AND('UP133'!CL88,"AAAAAG7Z1Bw=")</f>
        <v>#VALUE!</v>
      </c>
      <c r="AD126" t="e">
        <f>AND('UP133'!CM88,"AAAAAG7Z1B0=")</f>
        <v>#VALUE!</v>
      </c>
      <c r="AE126" t="e">
        <f>AND('UP133'!CN88,"AAAAAG7Z1B4=")</f>
        <v>#VALUE!</v>
      </c>
      <c r="AF126" t="e">
        <f>AND('UP133'!CO88,"AAAAAG7Z1B8=")</f>
        <v>#VALUE!</v>
      </c>
      <c r="AG126" t="e">
        <f>AND('UP133'!CP88,"AAAAAG7Z1CA=")</f>
        <v>#VALUE!</v>
      </c>
      <c r="AH126" t="e">
        <f>AND('UP133'!CQ88,"AAAAAG7Z1CE=")</f>
        <v>#VALUE!</v>
      </c>
      <c r="AI126" t="e">
        <f>AND('UP133'!CR88,"AAAAAG7Z1CI=")</f>
        <v>#VALUE!</v>
      </c>
      <c r="AJ126" t="e">
        <f>AND('UP133'!CS88,"AAAAAG7Z1CM=")</f>
        <v>#VALUE!</v>
      </c>
      <c r="AK126" t="e">
        <f>AND('UP133'!CT88,"AAAAAG7Z1CQ=")</f>
        <v>#VALUE!</v>
      </c>
      <c r="AL126" t="e">
        <f>AND('UP133'!CU88,"AAAAAG7Z1CU=")</f>
        <v>#VALUE!</v>
      </c>
      <c r="AM126" t="e">
        <f>AND('UP133'!CV88,"AAAAAG7Z1CY=")</f>
        <v>#VALUE!</v>
      </c>
      <c r="AN126" t="e">
        <f>AND('UP133'!CW88,"AAAAAG7Z1Cc=")</f>
        <v>#VALUE!</v>
      </c>
      <c r="AO126" t="e">
        <f>AND('UP133'!CX88,"AAAAAG7Z1Cg=")</f>
        <v>#VALUE!</v>
      </c>
      <c r="AP126" t="e">
        <f>AND('UP133'!CY88,"AAAAAG7Z1Ck=")</f>
        <v>#VALUE!</v>
      </c>
      <c r="AQ126" t="e">
        <f>AND('UP133'!CZ88,"AAAAAG7Z1Co=")</f>
        <v>#VALUE!</v>
      </c>
      <c r="AR126" t="e">
        <f>AND('UP133'!DA88,"AAAAAG7Z1Cs=")</f>
        <v>#VALUE!</v>
      </c>
      <c r="AS126" t="e">
        <f>AND('UP133'!DB88,"AAAAAG7Z1Cw=")</f>
        <v>#VALUE!</v>
      </c>
      <c r="AT126" t="e">
        <f>AND('UP133'!DC88,"AAAAAG7Z1C0=")</f>
        <v>#VALUE!</v>
      </c>
      <c r="AU126" t="e">
        <f>AND('UP133'!DD88,"AAAAAG7Z1C4=")</f>
        <v>#VALUE!</v>
      </c>
      <c r="AV126" t="e">
        <f>AND('UP133'!DE88,"AAAAAG7Z1C8=")</f>
        <v>#VALUE!</v>
      </c>
      <c r="AW126" t="e">
        <f>AND('UP133'!DF88,"AAAAAG7Z1DA=")</f>
        <v>#VALUE!</v>
      </c>
      <c r="AX126" t="e">
        <f>AND('UP133'!DG88,"AAAAAG7Z1DE=")</f>
        <v>#VALUE!</v>
      </c>
      <c r="AY126" t="e">
        <f>AND('UP133'!DH88,"AAAAAG7Z1DI=")</f>
        <v>#VALUE!</v>
      </c>
      <c r="AZ126" t="e">
        <f>AND('UP133'!DI88,"AAAAAG7Z1DM=")</f>
        <v>#VALUE!</v>
      </c>
      <c r="BA126" t="e">
        <f>AND('UP133'!DJ88,"AAAAAG7Z1DQ=")</f>
        <v>#VALUE!</v>
      </c>
      <c r="BB126" t="e">
        <f>AND('UP133'!DK88,"AAAAAG7Z1DU=")</f>
        <v>#VALUE!</v>
      </c>
      <c r="BC126" t="e">
        <f>AND('UP133'!DL88,"AAAAAG7Z1DY=")</f>
        <v>#VALUE!</v>
      </c>
      <c r="BD126" t="e">
        <f>AND('UP133'!DM88,"AAAAAG7Z1Dc=")</f>
        <v>#VALUE!</v>
      </c>
      <c r="BE126" t="e">
        <f>AND('UP133'!DN88,"AAAAAG7Z1Dg=")</f>
        <v>#VALUE!</v>
      </c>
      <c r="BF126" t="e">
        <f>AND('UP133'!DO88,"AAAAAG7Z1Dk=")</f>
        <v>#VALUE!</v>
      </c>
      <c r="BG126" t="e">
        <f>AND('UP133'!DP88,"AAAAAG7Z1Do=")</f>
        <v>#VALUE!</v>
      </c>
      <c r="BH126" t="e">
        <f>AND('UP133'!DQ88,"AAAAAG7Z1Ds=")</f>
        <v>#VALUE!</v>
      </c>
      <c r="BI126" t="e">
        <f>AND('UP133'!DR88,"AAAAAG7Z1Dw=")</f>
        <v>#VALUE!</v>
      </c>
      <c r="BJ126" t="e">
        <f>AND('UP133'!DS88,"AAAAAG7Z1D0=")</f>
        <v>#VALUE!</v>
      </c>
      <c r="BK126" t="e">
        <f>AND('UP133'!DT88,"AAAAAG7Z1D4=")</f>
        <v>#VALUE!</v>
      </c>
      <c r="BL126" t="e">
        <f>AND('UP133'!DU88,"AAAAAG7Z1D8=")</f>
        <v>#VALUE!</v>
      </c>
      <c r="BM126" t="e">
        <f>AND('UP133'!DV88,"AAAAAG7Z1EA=")</f>
        <v>#VALUE!</v>
      </c>
      <c r="BN126" t="e">
        <f>AND('UP133'!DW88,"AAAAAG7Z1EE=")</f>
        <v>#VALUE!</v>
      </c>
      <c r="BO126" t="e">
        <f>AND('UP133'!DX88,"AAAAAG7Z1EI=")</f>
        <v>#VALUE!</v>
      </c>
      <c r="BP126" t="e">
        <f>AND('UP133'!DY88,"AAAAAG7Z1EM=")</f>
        <v>#VALUE!</v>
      </c>
      <c r="BQ126" t="e">
        <f>AND('UP133'!DZ88,"AAAAAG7Z1EQ=")</f>
        <v>#VALUE!</v>
      </c>
      <c r="BR126" t="e">
        <f>AND('UP133'!EA88,"AAAAAG7Z1EU=")</f>
        <v>#VALUE!</v>
      </c>
      <c r="BS126" t="e">
        <f>AND('UP133'!EB88,"AAAAAG7Z1EY=")</f>
        <v>#VALUE!</v>
      </c>
      <c r="BT126" t="e">
        <f>AND('UP133'!EC88,"AAAAAG7Z1Ec=")</f>
        <v>#VALUE!</v>
      </c>
      <c r="BU126" t="e">
        <f>AND('UP133'!ED88,"AAAAAG7Z1Eg=")</f>
        <v>#VALUE!</v>
      </c>
      <c r="BV126" t="e">
        <f>AND('UP133'!EE88,"AAAAAG7Z1Ek=")</f>
        <v>#VALUE!</v>
      </c>
      <c r="BW126" t="e">
        <f>AND('UP133'!EF88,"AAAAAG7Z1Eo=")</f>
        <v>#VALUE!</v>
      </c>
      <c r="BX126" t="e">
        <f>AND('UP133'!EG88,"AAAAAG7Z1Es=")</f>
        <v>#VALUE!</v>
      </c>
      <c r="BY126" t="e">
        <f>AND('UP133'!EH88,"AAAAAG7Z1Ew=")</f>
        <v>#VALUE!</v>
      </c>
      <c r="BZ126" t="e">
        <f>AND('UP133'!EI88,"AAAAAG7Z1E0=")</f>
        <v>#VALUE!</v>
      </c>
      <c r="CA126" t="e">
        <f>AND('UP133'!EJ88,"AAAAAG7Z1E4=")</f>
        <v>#VALUE!</v>
      </c>
      <c r="CB126" t="e">
        <f>AND('UP133'!EK88,"AAAAAG7Z1E8=")</f>
        <v>#VALUE!</v>
      </c>
      <c r="CC126" t="e">
        <f>AND('UP133'!EL88,"AAAAAG7Z1FA=")</f>
        <v>#VALUE!</v>
      </c>
      <c r="CD126" t="e">
        <f>AND('UP133'!EM88,"AAAAAG7Z1FE=")</f>
        <v>#VALUE!</v>
      </c>
      <c r="CE126" t="e">
        <f>AND('UP133'!EN88,"AAAAAG7Z1FI=")</f>
        <v>#VALUE!</v>
      </c>
      <c r="CF126" t="e">
        <f>AND('UP133'!EO88,"AAAAAG7Z1FM=")</f>
        <v>#VALUE!</v>
      </c>
      <c r="CG126" t="e">
        <f>AND('UP133'!EP88,"AAAAAG7Z1FQ=")</f>
        <v>#VALUE!</v>
      </c>
      <c r="CH126" t="e">
        <f>AND('UP133'!EQ88,"AAAAAG7Z1FU=")</f>
        <v>#VALUE!</v>
      </c>
      <c r="CI126" t="e">
        <f>AND('UP133'!ER88,"AAAAAG7Z1FY=")</f>
        <v>#VALUE!</v>
      </c>
      <c r="CJ126" t="e">
        <f>AND('UP133'!ES88,"AAAAAG7Z1Fc=")</f>
        <v>#VALUE!</v>
      </c>
      <c r="CK126" t="e">
        <f>AND('UP133'!ET88,"AAAAAG7Z1Fg=")</f>
        <v>#VALUE!</v>
      </c>
      <c r="CL126" t="e">
        <f>AND('UP133'!EU88,"AAAAAG7Z1Fk=")</f>
        <v>#VALUE!</v>
      </c>
      <c r="CM126" t="e">
        <f>AND('UP133'!EV88,"AAAAAG7Z1Fo=")</f>
        <v>#VALUE!</v>
      </c>
      <c r="CN126" t="e">
        <f>AND('UP133'!EW88,"AAAAAG7Z1Fs=")</f>
        <v>#VALUE!</v>
      </c>
      <c r="CO126" t="e">
        <f>AND('UP133'!EX88,"AAAAAG7Z1Fw=")</f>
        <v>#VALUE!</v>
      </c>
      <c r="CP126" t="e">
        <f>AND('UP133'!EY88,"AAAAAG7Z1F0=")</f>
        <v>#VALUE!</v>
      </c>
      <c r="CQ126" t="e">
        <f>AND('UP133'!EZ88,"AAAAAG7Z1F4=")</f>
        <v>#VALUE!</v>
      </c>
      <c r="CR126" t="e">
        <f>AND('UP133'!FA88,"AAAAAG7Z1F8=")</f>
        <v>#VALUE!</v>
      </c>
      <c r="CS126" t="e">
        <f>AND('UP133'!FB88,"AAAAAG7Z1GA=")</f>
        <v>#VALUE!</v>
      </c>
      <c r="CT126" t="e">
        <f>AND('UP133'!FC88,"AAAAAG7Z1GE=")</f>
        <v>#VALUE!</v>
      </c>
      <c r="CU126" t="e">
        <f>AND('UP133'!FD88,"AAAAAG7Z1GI=")</f>
        <v>#VALUE!</v>
      </c>
      <c r="CV126" t="e">
        <f>AND('UP133'!FE88,"AAAAAG7Z1GM=")</f>
        <v>#VALUE!</v>
      </c>
      <c r="CW126" t="e">
        <f>AND('UP133'!FF88,"AAAAAG7Z1GQ=")</f>
        <v>#VALUE!</v>
      </c>
      <c r="CX126" t="e">
        <f>AND('UP133'!FG88,"AAAAAG7Z1GU=")</f>
        <v>#VALUE!</v>
      </c>
      <c r="CY126" t="e">
        <f>AND('UP133'!FH88,"AAAAAG7Z1GY=")</f>
        <v>#VALUE!</v>
      </c>
      <c r="CZ126" t="e">
        <f>AND('UP133'!FI88,"AAAAAG7Z1Gc=")</f>
        <v>#VALUE!</v>
      </c>
      <c r="DA126" t="e">
        <f>AND('UP133'!FJ88,"AAAAAG7Z1Gg=")</f>
        <v>#VALUE!</v>
      </c>
      <c r="DB126" t="e">
        <f>AND('UP133'!FK88,"AAAAAG7Z1Gk=")</f>
        <v>#VALUE!</v>
      </c>
      <c r="DC126" t="e">
        <f>AND('UP133'!FL88,"AAAAAG7Z1Go=")</f>
        <v>#VALUE!</v>
      </c>
      <c r="DD126" t="e">
        <f>AND('UP133'!FM88,"AAAAAG7Z1Gs=")</f>
        <v>#VALUE!</v>
      </c>
      <c r="DE126" t="e">
        <f>AND('UP133'!FN88,"AAAAAG7Z1Gw=")</f>
        <v>#VALUE!</v>
      </c>
      <c r="DF126" t="e">
        <f>AND('UP133'!FO88,"AAAAAG7Z1G0=")</f>
        <v>#VALUE!</v>
      </c>
      <c r="DG126" t="e">
        <f>AND('UP133'!FP88,"AAAAAG7Z1G4=")</f>
        <v>#VALUE!</v>
      </c>
      <c r="DH126" t="e">
        <f>AND('UP133'!FQ88,"AAAAAG7Z1G8=")</f>
        <v>#VALUE!</v>
      </c>
      <c r="DI126" t="e">
        <f>AND('UP133'!FR88,"AAAAAG7Z1HA=")</f>
        <v>#VALUE!</v>
      </c>
      <c r="DJ126" t="e">
        <f>AND('UP133'!FS88,"AAAAAG7Z1HE=")</f>
        <v>#VALUE!</v>
      </c>
      <c r="DK126" t="e">
        <f>AND('UP133'!FT88,"AAAAAG7Z1HI=")</f>
        <v>#VALUE!</v>
      </c>
      <c r="DL126" t="e">
        <f>AND('UP133'!FU88,"AAAAAG7Z1HM=")</f>
        <v>#VALUE!</v>
      </c>
      <c r="DM126" t="e">
        <f>AND('UP133'!FV88,"AAAAAG7Z1HQ=")</f>
        <v>#VALUE!</v>
      </c>
      <c r="DN126" t="e">
        <f>AND('UP133'!FW88,"AAAAAG7Z1HU=")</f>
        <v>#VALUE!</v>
      </c>
      <c r="DO126" t="e">
        <f>AND('UP133'!FX88,"AAAAAG7Z1HY=")</f>
        <v>#VALUE!</v>
      </c>
      <c r="DP126" t="e">
        <f>AND('UP133'!FY88,"AAAAAG7Z1Hc=")</f>
        <v>#VALUE!</v>
      </c>
      <c r="DQ126" t="e">
        <f>AND('UP133'!FZ88,"AAAAAG7Z1Hg=")</f>
        <v>#VALUE!</v>
      </c>
      <c r="DR126" t="e">
        <f>AND('UP133'!GA88,"AAAAAG7Z1Hk=")</f>
        <v>#VALUE!</v>
      </c>
      <c r="DS126" t="e">
        <f>AND('UP133'!GB88,"AAAAAG7Z1Ho=")</f>
        <v>#VALUE!</v>
      </c>
      <c r="DT126" t="e">
        <f>AND('UP133'!GC88,"AAAAAG7Z1Hs=")</f>
        <v>#VALUE!</v>
      </c>
      <c r="DU126" t="e">
        <f>AND('UP133'!GD88,"AAAAAG7Z1Hw=")</f>
        <v>#VALUE!</v>
      </c>
      <c r="DV126" t="e">
        <f>AND('UP133'!GE88,"AAAAAG7Z1H0=")</f>
        <v>#VALUE!</v>
      </c>
      <c r="DW126" t="e">
        <f>AND('UP133'!GF88,"AAAAAG7Z1H4=")</f>
        <v>#VALUE!</v>
      </c>
      <c r="DX126" t="e">
        <f>AND('UP133'!GG88,"AAAAAG7Z1H8=")</f>
        <v>#VALUE!</v>
      </c>
      <c r="DY126" t="e">
        <f>AND('UP133'!GH88,"AAAAAG7Z1IA=")</f>
        <v>#VALUE!</v>
      </c>
      <c r="DZ126" t="e">
        <f>AND('UP133'!GI88,"AAAAAG7Z1IE=")</f>
        <v>#VALUE!</v>
      </c>
      <c r="EA126" t="e">
        <f>AND('UP133'!GJ88,"AAAAAG7Z1II=")</f>
        <v>#VALUE!</v>
      </c>
      <c r="EB126" t="e">
        <f>AND('UP133'!GK88,"AAAAAG7Z1IM=")</f>
        <v>#VALUE!</v>
      </c>
      <c r="EC126" t="e">
        <f>AND('UP133'!GL88,"AAAAAG7Z1IQ=")</f>
        <v>#VALUE!</v>
      </c>
      <c r="ED126" t="e">
        <f>AND('UP133'!GM88,"AAAAAG7Z1IU=")</f>
        <v>#VALUE!</v>
      </c>
      <c r="EE126" t="e">
        <f>AND('UP133'!GN88,"AAAAAG7Z1IY=")</f>
        <v>#VALUE!</v>
      </c>
      <c r="EF126" t="e">
        <f>AND('UP133'!GO88,"AAAAAG7Z1Ic=")</f>
        <v>#VALUE!</v>
      </c>
      <c r="EG126" t="e">
        <f>AND('UP133'!GP88,"AAAAAG7Z1Ig=")</f>
        <v>#VALUE!</v>
      </c>
      <c r="EH126" t="e">
        <f>AND('UP133'!GQ88,"AAAAAG7Z1Ik=")</f>
        <v>#VALUE!</v>
      </c>
      <c r="EI126" t="e">
        <f>AND('UP133'!GR88,"AAAAAG7Z1Io=")</f>
        <v>#VALUE!</v>
      </c>
      <c r="EJ126" t="e">
        <f>AND('UP133'!GS88,"AAAAAG7Z1Is=")</f>
        <v>#VALUE!</v>
      </c>
      <c r="EK126" t="e">
        <f>AND('UP133'!GT88,"AAAAAG7Z1Iw=")</f>
        <v>#VALUE!</v>
      </c>
      <c r="EL126" t="e">
        <f>AND('UP133'!GU88,"AAAAAG7Z1I0=")</f>
        <v>#VALUE!</v>
      </c>
      <c r="EM126" t="e">
        <f>AND('UP133'!GV88,"AAAAAG7Z1I4=")</f>
        <v>#VALUE!</v>
      </c>
      <c r="EN126" t="e">
        <f>AND('UP133'!GW88,"AAAAAG7Z1I8=")</f>
        <v>#VALUE!</v>
      </c>
      <c r="EO126" t="e">
        <f>AND('UP133'!GX88,"AAAAAG7Z1JA=")</f>
        <v>#VALUE!</v>
      </c>
      <c r="EP126" t="e">
        <f>AND('UP133'!GY88,"AAAAAG7Z1JE=")</f>
        <v>#VALUE!</v>
      </c>
      <c r="EQ126" t="e">
        <f>AND('UP133'!GZ88,"AAAAAG7Z1JI=")</f>
        <v>#VALUE!</v>
      </c>
      <c r="ER126" t="e">
        <f>AND('UP133'!HA88,"AAAAAG7Z1JM=")</f>
        <v>#VALUE!</v>
      </c>
      <c r="ES126" t="e">
        <f>AND('UP133'!HB88,"AAAAAG7Z1JQ=")</f>
        <v>#VALUE!</v>
      </c>
      <c r="ET126" t="e">
        <f>AND('UP133'!HC88,"AAAAAG7Z1JU=")</f>
        <v>#VALUE!</v>
      </c>
      <c r="EU126" t="e">
        <f>AND('UP133'!HD88,"AAAAAG7Z1JY=")</f>
        <v>#VALUE!</v>
      </c>
      <c r="EV126" t="e">
        <f>AND('UP133'!HE88,"AAAAAG7Z1Jc=")</f>
        <v>#VALUE!</v>
      </c>
      <c r="EW126" t="e">
        <f>AND('UP133'!HF88,"AAAAAG7Z1Jg=")</f>
        <v>#VALUE!</v>
      </c>
      <c r="EX126" t="e">
        <f>AND('UP133'!HG88,"AAAAAG7Z1Jk=")</f>
        <v>#VALUE!</v>
      </c>
      <c r="EY126" t="e">
        <f>AND('UP133'!HH88,"AAAAAG7Z1Jo=")</f>
        <v>#VALUE!</v>
      </c>
      <c r="EZ126" t="e">
        <f>AND('UP133'!HI88,"AAAAAG7Z1Js=")</f>
        <v>#VALUE!</v>
      </c>
      <c r="FA126" t="e">
        <f>AND('UP133'!HJ88,"AAAAAG7Z1Jw=")</f>
        <v>#VALUE!</v>
      </c>
      <c r="FB126" t="e">
        <f>AND('UP133'!HK88,"AAAAAG7Z1J0=")</f>
        <v>#VALUE!</v>
      </c>
      <c r="FC126" t="e">
        <f>AND('UP133'!HL88,"AAAAAG7Z1J4=")</f>
        <v>#VALUE!</v>
      </c>
      <c r="FD126" t="e">
        <f>AND('UP133'!HM88,"AAAAAG7Z1J8=")</f>
        <v>#VALUE!</v>
      </c>
      <c r="FE126" t="e">
        <f>AND('UP133'!HN88,"AAAAAG7Z1KA=")</f>
        <v>#VALUE!</v>
      </c>
      <c r="FF126" t="e">
        <f>AND('UP133'!HO88,"AAAAAG7Z1KE=")</f>
        <v>#VALUE!</v>
      </c>
      <c r="FG126" t="e">
        <f>AND('UP133'!HP88,"AAAAAG7Z1KI=")</f>
        <v>#VALUE!</v>
      </c>
      <c r="FH126" t="e">
        <f>AND('UP133'!HQ88,"AAAAAG7Z1KM=")</f>
        <v>#VALUE!</v>
      </c>
      <c r="FI126" t="e">
        <f>AND('UP133'!HR88,"AAAAAG7Z1KQ=")</f>
        <v>#VALUE!</v>
      </c>
      <c r="FJ126" t="e">
        <f>AND('UP133'!HS88,"AAAAAG7Z1KU=")</f>
        <v>#VALUE!</v>
      </c>
      <c r="FK126" t="e">
        <f>AND('UP133'!HT88,"AAAAAG7Z1KY=")</f>
        <v>#VALUE!</v>
      </c>
      <c r="FL126" t="e">
        <f>AND('UP133'!HU88,"AAAAAG7Z1Kc=")</f>
        <v>#VALUE!</v>
      </c>
      <c r="FM126" t="e">
        <f>AND('UP133'!HV88,"AAAAAG7Z1Kg=")</f>
        <v>#VALUE!</v>
      </c>
      <c r="FN126" t="e">
        <f>AND('UP133'!HW88,"AAAAAG7Z1Kk=")</f>
        <v>#VALUE!</v>
      </c>
      <c r="FO126" t="e">
        <f>AND('UP133'!HX88,"AAAAAG7Z1Ko=")</f>
        <v>#VALUE!</v>
      </c>
      <c r="FP126" t="e">
        <f>AND('UP133'!HY88,"AAAAAG7Z1Ks=")</f>
        <v>#VALUE!</v>
      </c>
      <c r="FQ126" t="e">
        <f>AND('UP133'!HZ88,"AAAAAG7Z1Kw=")</f>
        <v>#VALUE!</v>
      </c>
      <c r="FR126" t="e">
        <f>AND('UP133'!IA88,"AAAAAG7Z1K0=")</f>
        <v>#VALUE!</v>
      </c>
      <c r="FS126" t="e">
        <f>AND('UP133'!IB88,"AAAAAG7Z1K4=")</f>
        <v>#VALUE!</v>
      </c>
      <c r="FT126" t="e">
        <f>AND('UP133'!IC88,"AAAAAG7Z1K8=")</f>
        <v>#VALUE!</v>
      </c>
      <c r="FU126" t="e">
        <f>AND('UP133'!ID88,"AAAAAG7Z1LA=")</f>
        <v>#VALUE!</v>
      </c>
      <c r="FV126" t="e">
        <f>AND('UP133'!IE88,"AAAAAG7Z1LE=")</f>
        <v>#VALUE!</v>
      </c>
      <c r="FW126" t="e">
        <f>AND('UP133'!IF88,"AAAAAG7Z1LI=")</f>
        <v>#VALUE!</v>
      </c>
      <c r="FX126" t="e">
        <f>AND('UP133'!IG88,"AAAAAG7Z1LM=")</f>
        <v>#VALUE!</v>
      </c>
      <c r="FY126" t="e">
        <f>AND('UP133'!IH88,"AAAAAG7Z1LQ=")</f>
        <v>#VALUE!</v>
      </c>
      <c r="FZ126" t="e">
        <f>AND('UP133'!II88,"AAAAAG7Z1LU=")</f>
        <v>#VALUE!</v>
      </c>
      <c r="GA126" t="e">
        <f>AND('UP133'!IJ88,"AAAAAG7Z1LY=")</f>
        <v>#VALUE!</v>
      </c>
      <c r="GB126" t="e">
        <f>AND('UP133'!IK88,"AAAAAG7Z1Lc=")</f>
        <v>#VALUE!</v>
      </c>
      <c r="GC126" t="e">
        <f>AND('UP133'!IL88,"AAAAAG7Z1Lg=")</f>
        <v>#VALUE!</v>
      </c>
      <c r="GD126" t="e">
        <f>AND('UP133'!IM88,"AAAAAG7Z1Lk=")</f>
        <v>#VALUE!</v>
      </c>
      <c r="GE126" t="e">
        <f>AND('UP133'!IN88,"AAAAAG7Z1Lo=")</f>
        <v>#VALUE!</v>
      </c>
      <c r="GF126" t="e">
        <f>AND('UP133'!IO88,"AAAAAG7Z1Ls=")</f>
        <v>#VALUE!</v>
      </c>
      <c r="GG126" t="e">
        <f>AND('UP133'!IP88,"AAAAAG7Z1Lw=")</f>
        <v>#VALUE!</v>
      </c>
      <c r="GH126" t="e">
        <f>AND('UP133'!IQ88,"AAAAAG7Z1L0=")</f>
        <v>#VALUE!</v>
      </c>
      <c r="GI126">
        <f>IF('UP133'!89:89,"AAAAAG7Z1L4=",0)</f>
        <v>0</v>
      </c>
      <c r="GJ126" t="e">
        <f>AND('UP133'!A89,"AAAAAG7Z1L8=")</f>
        <v>#VALUE!</v>
      </c>
      <c r="GK126" t="e">
        <f>AND('UP133'!B89,"AAAAAG7Z1MA=")</f>
        <v>#VALUE!</v>
      </c>
      <c r="GL126" t="e">
        <f>AND('UP133'!C89,"AAAAAG7Z1ME=")</f>
        <v>#VALUE!</v>
      </c>
      <c r="GM126" t="e">
        <f>AND('UP133'!D89,"AAAAAG7Z1MI=")</f>
        <v>#VALUE!</v>
      </c>
      <c r="GN126" t="e">
        <f>AND('UP133'!E89,"AAAAAG7Z1MM=")</f>
        <v>#VALUE!</v>
      </c>
      <c r="GO126" t="e">
        <f>AND('UP133'!F89,"AAAAAG7Z1MQ=")</f>
        <v>#VALUE!</v>
      </c>
      <c r="GP126" t="e">
        <f>AND('UP133'!G89,"AAAAAG7Z1MU=")</f>
        <v>#VALUE!</v>
      </c>
      <c r="GQ126" t="e">
        <f>AND('UP133'!H89,"AAAAAG7Z1MY=")</f>
        <v>#VALUE!</v>
      </c>
      <c r="GR126" t="e">
        <f>AND('UP133'!I89,"AAAAAG7Z1Mc=")</f>
        <v>#VALUE!</v>
      </c>
      <c r="GS126" t="e">
        <f>AND('UP133'!J89,"AAAAAG7Z1Mg=")</f>
        <v>#VALUE!</v>
      </c>
      <c r="GT126" t="e">
        <f>AND('UP133'!K89,"AAAAAG7Z1Mk=")</f>
        <v>#VALUE!</v>
      </c>
      <c r="GU126" t="e">
        <f>AND('UP133'!L89,"AAAAAG7Z1Mo=")</f>
        <v>#VALUE!</v>
      </c>
      <c r="GV126" t="e">
        <f>AND('UP133'!M89,"AAAAAG7Z1Ms=")</f>
        <v>#VALUE!</v>
      </c>
      <c r="GW126" t="e">
        <f>AND('UP133'!N89,"AAAAAG7Z1Mw=")</f>
        <v>#VALUE!</v>
      </c>
      <c r="GX126" t="e">
        <f>AND('UP133'!O89,"AAAAAG7Z1M0=")</f>
        <v>#VALUE!</v>
      </c>
      <c r="GY126" t="e">
        <f>AND('UP133'!P89,"AAAAAG7Z1M4=")</f>
        <v>#VALUE!</v>
      </c>
      <c r="GZ126" t="e">
        <f>AND('UP133'!Q89,"AAAAAG7Z1M8=")</f>
        <v>#VALUE!</v>
      </c>
      <c r="HA126" t="e">
        <f>AND('UP133'!R89,"AAAAAG7Z1NA=")</f>
        <v>#VALUE!</v>
      </c>
      <c r="HB126" t="e">
        <f>AND('UP133'!S89,"AAAAAG7Z1NE=")</f>
        <v>#VALUE!</v>
      </c>
      <c r="HC126" t="e">
        <f>AND('UP133'!T89,"AAAAAG7Z1NI=")</f>
        <v>#VALUE!</v>
      </c>
      <c r="HD126" t="e">
        <f>AND('UP133'!U89,"AAAAAG7Z1NM=")</f>
        <v>#VALUE!</v>
      </c>
      <c r="HE126" t="e">
        <f>AND('UP133'!V89,"AAAAAG7Z1NQ=")</f>
        <v>#VALUE!</v>
      </c>
      <c r="HF126" t="e">
        <f>AND('UP133'!W89,"AAAAAG7Z1NU=")</f>
        <v>#VALUE!</v>
      </c>
      <c r="HG126" t="e">
        <f>AND('UP133'!X89,"AAAAAG7Z1NY=")</f>
        <v>#VALUE!</v>
      </c>
      <c r="HH126" t="e">
        <f>AND('UP133'!Y89,"AAAAAG7Z1Nc=")</f>
        <v>#VALUE!</v>
      </c>
      <c r="HI126" t="e">
        <f>AND('UP133'!Z89,"AAAAAG7Z1Ng=")</f>
        <v>#VALUE!</v>
      </c>
      <c r="HJ126" t="e">
        <f>AND('UP133'!AA89,"AAAAAG7Z1Nk=")</f>
        <v>#VALUE!</v>
      </c>
      <c r="HK126" t="e">
        <f>AND('UP133'!AB89,"AAAAAG7Z1No=")</f>
        <v>#VALUE!</v>
      </c>
      <c r="HL126" t="e">
        <f>AND('UP133'!AC89,"AAAAAG7Z1Ns=")</f>
        <v>#VALUE!</v>
      </c>
      <c r="HM126" t="e">
        <f>AND('UP133'!AD89,"AAAAAG7Z1Nw=")</f>
        <v>#VALUE!</v>
      </c>
      <c r="HN126" t="e">
        <f>AND('UP133'!AE89,"AAAAAG7Z1N0=")</f>
        <v>#VALUE!</v>
      </c>
      <c r="HO126" t="e">
        <f>AND('UP133'!AF89,"AAAAAG7Z1N4=")</f>
        <v>#VALUE!</v>
      </c>
      <c r="HP126" t="e">
        <f>AND('UP133'!AG89,"AAAAAG7Z1N8=")</f>
        <v>#VALUE!</v>
      </c>
      <c r="HQ126" t="e">
        <f>AND('UP133'!AH89,"AAAAAG7Z1OA=")</f>
        <v>#VALUE!</v>
      </c>
      <c r="HR126" t="e">
        <f>AND('UP133'!AI89,"AAAAAG7Z1OE=")</f>
        <v>#VALUE!</v>
      </c>
      <c r="HS126" t="e">
        <f>AND('UP133'!AJ89,"AAAAAG7Z1OI=")</f>
        <v>#VALUE!</v>
      </c>
      <c r="HT126" t="e">
        <f>AND('UP133'!AK89,"AAAAAG7Z1OM=")</f>
        <v>#VALUE!</v>
      </c>
      <c r="HU126" t="e">
        <f>AND('UP133'!AL89,"AAAAAG7Z1OQ=")</f>
        <v>#VALUE!</v>
      </c>
      <c r="HV126" t="e">
        <f>AND('UP133'!AM89,"AAAAAG7Z1OU=")</f>
        <v>#VALUE!</v>
      </c>
      <c r="HW126" t="e">
        <f>AND('UP133'!AN89,"AAAAAG7Z1OY=")</f>
        <v>#VALUE!</v>
      </c>
      <c r="HX126" t="e">
        <f>AND('UP133'!AO89,"AAAAAG7Z1Oc=")</f>
        <v>#VALUE!</v>
      </c>
      <c r="HY126" t="e">
        <f>AND('UP133'!AP89,"AAAAAG7Z1Og=")</f>
        <v>#VALUE!</v>
      </c>
      <c r="HZ126" t="e">
        <f>AND('UP133'!AQ89,"AAAAAG7Z1Ok=")</f>
        <v>#VALUE!</v>
      </c>
      <c r="IA126" t="e">
        <f>AND('UP133'!AR89,"AAAAAG7Z1Oo=")</f>
        <v>#VALUE!</v>
      </c>
      <c r="IB126" t="e">
        <f>AND('UP133'!AS89,"AAAAAG7Z1Os=")</f>
        <v>#VALUE!</v>
      </c>
      <c r="IC126" t="e">
        <f>AND('UP133'!AT89,"AAAAAG7Z1Ow=")</f>
        <v>#VALUE!</v>
      </c>
      <c r="ID126" t="e">
        <f>AND('UP133'!AU89,"AAAAAG7Z1O0=")</f>
        <v>#VALUE!</v>
      </c>
      <c r="IE126" t="e">
        <f>AND('UP133'!AV89,"AAAAAG7Z1O4=")</f>
        <v>#VALUE!</v>
      </c>
      <c r="IF126" t="e">
        <f>AND('UP133'!AW89,"AAAAAG7Z1O8=")</f>
        <v>#VALUE!</v>
      </c>
      <c r="IG126" t="e">
        <f>AND('UP133'!AX89,"AAAAAG7Z1PA=")</f>
        <v>#VALUE!</v>
      </c>
      <c r="IH126" t="e">
        <f>AND('UP133'!AY89,"AAAAAG7Z1PE=")</f>
        <v>#VALUE!</v>
      </c>
      <c r="II126" t="e">
        <f>AND('UP133'!AZ89,"AAAAAG7Z1PI=")</f>
        <v>#VALUE!</v>
      </c>
      <c r="IJ126" t="e">
        <f>AND('UP133'!BA89,"AAAAAG7Z1PM=")</f>
        <v>#VALUE!</v>
      </c>
      <c r="IK126" t="e">
        <f>AND('UP133'!BB89,"AAAAAG7Z1PQ=")</f>
        <v>#VALUE!</v>
      </c>
      <c r="IL126" t="e">
        <f>AND('UP133'!BC89,"AAAAAG7Z1PU=")</f>
        <v>#VALUE!</v>
      </c>
      <c r="IM126" t="e">
        <f>AND('UP133'!BD89,"AAAAAG7Z1PY=")</f>
        <v>#VALUE!</v>
      </c>
      <c r="IN126" t="e">
        <f>AND('UP133'!BE89,"AAAAAG7Z1Pc=")</f>
        <v>#VALUE!</v>
      </c>
      <c r="IO126" t="e">
        <f>AND('UP133'!BF89,"AAAAAG7Z1Pg=")</f>
        <v>#VALUE!</v>
      </c>
      <c r="IP126" t="e">
        <f>AND('UP133'!BG89,"AAAAAG7Z1Pk=")</f>
        <v>#VALUE!</v>
      </c>
      <c r="IQ126" t="e">
        <f>AND('UP133'!BH89,"AAAAAG7Z1Po=")</f>
        <v>#VALUE!</v>
      </c>
      <c r="IR126" t="e">
        <f>AND('UP133'!BI89,"AAAAAG7Z1Ps=")</f>
        <v>#VALUE!</v>
      </c>
      <c r="IS126" t="e">
        <f>AND('UP133'!BJ89,"AAAAAG7Z1Pw=")</f>
        <v>#VALUE!</v>
      </c>
      <c r="IT126" t="e">
        <f>AND('UP133'!BK89,"AAAAAG7Z1P0=")</f>
        <v>#VALUE!</v>
      </c>
      <c r="IU126" t="e">
        <f>AND('UP133'!BL89,"AAAAAG7Z1P4=")</f>
        <v>#VALUE!</v>
      </c>
      <c r="IV126" t="e">
        <f>AND('UP133'!BM89,"AAAAAG7Z1P8=")</f>
        <v>#VALUE!</v>
      </c>
    </row>
    <row r="127" spans="1:256">
      <c r="A127" t="e">
        <f>AND('UP133'!BN89,"AAAAAHy/ewA=")</f>
        <v>#VALUE!</v>
      </c>
      <c r="B127" t="e">
        <f>AND('UP133'!BO89,"AAAAAHy/ewE=")</f>
        <v>#VALUE!</v>
      </c>
      <c r="C127" t="e">
        <f>AND('UP133'!BP89,"AAAAAHy/ewI=")</f>
        <v>#VALUE!</v>
      </c>
      <c r="D127" t="e">
        <f>AND('UP133'!BQ89,"AAAAAHy/ewM=")</f>
        <v>#VALUE!</v>
      </c>
      <c r="E127" t="e">
        <f>AND('UP133'!BR89,"AAAAAHy/ewQ=")</f>
        <v>#VALUE!</v>
      </c>
      <c r="F127" t="e">
        <f>AND('UP133'!BS89,"AAAAAHy/ewU=")</f>
        <v>#VALUE!</v>
      </c>
      <c r="G127" t="e">
        <f>AND('UP133'!BT89,"AAAAAHy/ewY=")</f>
        <v>#VALUE!</v>
      </c>
      <c r="H127" t="e">
        <f>AND('UP133'!BU89,"AAAAAHy/ewc=")</f>
        <v>#VALUE!</v>
      </c>
      <c r="I127" t="e">
        <f>AND('UP133'!BV89,"AAAAAHy/ewg=")</f>
        <v>#VALUE!</v>
      </c>
      <c r="J127" t="e">
        <f>AND('UP133'!BW89,"AAAAAHy/ewk=")</f>
        <v>#VALUE!</v>
      </c>
      <c r="K127" t="e">
        <f>AND('UP133'!BX89,"AAAAAHy/ewo=")</f>
        <v>#VALUE!</v>
      </c>
      <c r="L127" t="e">
        <f>AND('UP133'!BY89,"AAAAAHy/ews=")</f>
        <v>#VALUE!</v>
      </c>
      <c r="M127" t="e">
        <f>AND('UP133'!BZ89,"AAAAAHy/eww=")</f>
        <v>#VALUE!</v>
      </c>
      <c r="N127" t="e">
        <f>AND('UP133'!CA89,"AAAAAHy/ew0=")</f>
        <v>#VALUE!</v>
      </c>
      <c r="O127" t="e">
        <f>AND('UP133'!CB89,"AAAAAHy/ew4=")</f>
        <v>#VALUE!</v>
      </c>
      <c r="P127" t="e">
        <f>AND('UP133'!CC89,"AAAAAHy/ew8=")</f>
        <v>#VALUE!</v>
      </c>
      <c r="Q127" t="e">
        <f>AND('UP133'!CD89,"AAAAAHy/exA=")</f>
        <v>#VALUE!</v>
      </c>
      <c r="R127" t="e">
        <f>AND('UP133'!CE89,"AAAAAHy/exE=")</f>
        <v>#VALUE!</v>
      </c>
      <c r="S127" t="e">
        <f>AND('UP133'!CF89,"AAAAAHy/exI=")</f>
        <v>#VALUE!</v>
      </c>
      <c r="T127" t="e">
        <f>AND('UP133'!CG89,"AAAAAHy/exM=")</f>
        <v>#VALUE!</v>
      </c>
      <c r="U127" t="e">
        <f>AND('UP133'!CH89,"AAAAAHy/exQ=")</f>
        <v>#VALUE!</v>
      </c>
      <c r="V127" t="e">
        <f>AND('UP133'!CI89,"AAAAAHy/exU=")</f>
        <v>#VALUE!</v>
      </c>
      <c r="W127" t="e">
        <f>AND('UP133'!CJ89,"AAAAAHy/exY=")</f>
        <v>#VALUE!</v>
      </c>
      <c r="X127" t="e">
        <f>AND('UP133'!CK89,"AAAAAHy/exc=")</f>
        <v>#VALUE!</v>
      </c>
      <c r="Y127" t="e">
        <f>AND('UP133'!CL89,"AAAAAHy/exg=")</f>
        <v>#VALUE!</v>
      </c>
      <c r="Z127" t="e">
        <f>AND('UP133'!CM89,"AAAAAHy/exk=")</f>
        <v>#VALUE!</v>
      </c>
      <c r="AA127" t="e">
        <f>AND('UP133'!CN89,"AAAAAHy/exo=")</f>
        <v>#VALUE!</v>
      </c>
      <c r="AB127" t="e">
        <f>AND('UP133'!CO89,"AAAAAHy/exs=")</f>
        <v>#VALUE!</v>
      </c>
      <c r="AC127" t="e">
        <f>AND('UP133'!CP89,"AAAAAHy/exw=")</f>
        <v>#VALUE!</v>
      </c>
      <c r="AD127" t="e">
        <f>AND('UP133'!CQ89,"AAAAAHy/ex0=")</f>
        <v>#VALUE!</v>
      </c>
      <c r="AE127" t="e">
        <f>AND('UP133'!CR89,"AAAAAHy/ex4=")</f>
        <v>#VALUE!</v>
      </c>
      <c r="AF127" t="e">
        <f>AND('UP133'!CS89,"AAAAAHy/ex8=")</f>
        <v>#VALUE!</v>
      </c>
      <c r="AG127" t="e">
        <f>AND('UP133'!CT89,"AAAAAHy/eyA=")</f>
        <v>#VALUE!</v>
      </c>
      <c r="AH127" t="e">
        <f>AND('UP133'!CU89,"AAAAAHy/eyE=")</f>
        <v>#VALUE!</v>
      </c>
      <c r="AI127" t="e">
        <f>AND('UP133'!CV89,"AAAAAHy/eyI=")</f>
        <v>#VALUE!</v>
      </c>
      <c r="AJ127" t="e">
        <f>AND('UP133'!CW89,"AAAAAHy/eyM=")</f>
        <v>#VALUE!</v>
      </c>
      <c r="AK127" t="e">
        <f>AND('UP133'!CX89,"AAAAAHy/eyQ=")</f>
        <v>#VALUE!</v>
      </c>
      <c r="AL127" t="e">
        <f>AND('UP133'!CY89,"AAAAAHy/eyU=")</f>
        <v>#VALUE!</v>
      </c>
      <c r="AM127" t="e">
        <f>AND('UP133'!CZ89,"AAAAAHy/eyY=")</f>
        <v>#VALUE!</v>
      </c>
      <c r="AN127" t="e">
        <f>AND('UP133'!DA89,"AAAAAHy/eyc=")</f>
        <v>#VALUE!</v>
      </c>
      <c r="AO127" t="e">
        <f>AND('UP133'!DB89,"AAAAAHy/eyg=")</f>
        <v>#VALUE!</v>
      </c>
      <c r="AP127" t="e">
        <f>AND('UP133'!DC89,"AAAAAHy/eyk=")</f>
        <v>#VALUE!</v>
      </c>
      <c r="AQ127" t="e">
        <f>AND('UP133'!DD89,"AAAAAHy/eyo=")</f>
        <v>#VALUE!</v>
      </c>
      <c r="AR127" t="e">
        <f>AND('UP133'!DE89,"AAAAAHy/eys=")</f>
        <v>#VALUE!</v>
      </c>
      <c r="AS127" t="e">
        <f>AND('UP133'!DF89,"AAAAAHy/eyw=")</f>
        <v>#VALUE!</v>
      </c>
      <c r="AT127" t="e">
        <f>AND('UP133'!DG89,"AAAAAHy/ey0=")</f>
        <v>#VALUE!</v>
      </c>
      <c r="AU127" t="e">
        <f>AND('UP133'!DH89,"AAAAAHy/ey4=")</f>
        <v>#VALUE!</v>
      </c>
      <c r="AV127" t="e">
        <f>AND('UP133'!DI89,"AAAAAHy/ey8=")</f>
        <v>#VALUE!</v>
      </c>
      <c r="AW127" t="e">
        <f>AND('UP133'!DJ89,"AAAAAHy/ezA=")</f>
        <v>#VALUE!</v>
      </c>
      <c r="AX127" t="e">
        <f>AND('UP133'!DK89,"AAAAAHy/ezE=")</f>
        <v>#VALUE!</v>
      </c>
      <c r="AY127" t="e">
        <f>AND('UP133'!DL89,"AAAAAHy/ezI=")</f>
        <v>#VALUE!</v>
      </c>
      <c r="AZ127" t="e">
        <f>AND('UP133'!DM89,"AAAAAHy/ezM=")</f>
        <v>#VALUE!</v>
      </c>
      <c r="BA127" t="e">
        <f>AND('UP133'!DN89,"AAAAAHy/ezQ=")</f>
        <v>#VALUE!</v>
      </c>
      <c r="BB127" t="e">
        <f>AND('UP133'!DO89,"AAAAAHy/ezU=")</f>
        <v>#VALUE!</v>
      </c>
      <c r="BC127" t="e">
        <f>AND('UP133'!DP89,"AAAAAHy/ezY=")</f>
        <v>#VALUE!</v>
      </c>
      <c r="BD127" t="e">
        <f>AND('UP133'!DQ89,"AAAAAHy/ezc=")</f>
        <v>#VALUE!</v>
      </c>
      <c r="BE127" t="e">
        <f>AND('UP133'!DR89,"AAAAAHy/ezg=")</f>
        <v>#VALUE!</v>
      </c>
      <c r="BF127" t="e">
        <f>AND('UP133'!DS89,"AAAAAHy/ezk=")</f>
        <v>#VALUE!</v>
      </c>
      <c r="BG127" t="e">
        <f>AND('UP133'!DT89,"AAAAAHy/ezo=")</f>
        <v>#VALUE!</v>
      </c>
      <c r="BH127" t="e">
        <f>AND('UP133'!DU89,"AAAAAHy/ezs=")</f>
        <v>#VALUE!</v>
      </c>
      <c r="BI127" t="e">
        <f>AND('UP133'!DV89,"AAAAAHy/ezw=")</f>
        <v>#VALUE!</v>
      </c>
      <c r="BJ127" t="e">
        <f>AND('UP133'!DW89,"AAAAAHy/ez0=")</f>
        <v>#VALUE!</v>
      </c>
      <c r="BK127" t="e">
        <f>AND('UP133'!DX89,"AAAAAHy/ez4=")</f>
        <v>#VALUE!</v>
      </c>
      <c r="BL127" t="e">
        <f>AND('UP133'!DY89,"AAAAAHy/ez8=")</f>
        <v>#VALUE!</v>
      </c>
      <c r="BM127" t="e">
        <f>AND('UP133'!DZ89,"AAAAAHy/e0A=")</f>
        <v>#VALUE!</v>
      </c>
      <c r="BN127" t="e">
        <f>AND('UP133'!EA89,"AAAAAHy/e0E=")</f>
        <v>#VALUE!</v>
      </c>
      <c r="BO127" t="e">
        <f>AND('UP133'!EB89,"AAAAAHy/e0I=")</f>
        <v>#VALUE!</v>
      </c>
      <c r="BP127" t="e">
        <f>AND('UP133'!EC89,"AAAAAHy/e0M=")</f>
        <v>#VALUE!</v>
      </c>
      <c r="BQ127" t="e">
        <f>AND('UP133'!ED89,"AAAAAHy/e0Q=")</f>
        <v>#VALUE!</v>
      </c>
      <c r="BR127" t="e">
        <f>AND('UP133'!EE89,"AAAAAHy/e0U=")</f>
        <v>#VALUE!</v>
      </c>
      <c r="BS127" t="e">
        <f>AND('UP133'!EF89,"AAAAAHy/e0Y=")</f>
        <v>#VALUE!</v>
      </c>
      <c r="BT127" t="e">
        <f>AND('UP133'!EG89,"AAAAAHy/e0c=")</f>
        <v>#VALUE!</v>
      </c>
      <c r="BU127" t="e">
        <f>AND('UP133'!EH89,"AAAAAHy/e0g=")</f>
        <v>#VALUE!</v>
      </c>
      <c r="BV127" t="e">
        <f>AND('UP133'!EI89,"AAAAAHy/e0k=")</f>
        <v>#VALUE!</v>
      </c>
      <c r="BW127" t="e">
        <f>AND('UP133'!EJ89,"AAAAAHy/e0o=")</f>
        <v>#VALUE!</v>
      </c>
      <c r="BX127" t="e">
        <f>AND('UP133'!EK89,"AAAAAHy/e0s=")</f>
        <v>#VALUE!</v>
      </c>
      <c r="BY127" t="e">
        <f>AND('UP133'!EL89,"AAAAAHy/e0w=")</f>
        <v>#VALUE!</v>
      </c>
      <c r="BZ127" t="e">
        <f>AND('UP133'!EM89,"AAAAAHy/e00=")</f>
        <v>#VALUE!</v>
      </c>
      <c r="CA127" t="e">
        <f>AND('UP133'!EN89,"AAAAAHy/e04=")</f>
        <v>#VALUE!</v>
      </c>
      <c r="CB127" t="e">
        <f>AND('UP133'!EO89,"AAAAAHy/e08=")</f>
        <v>#VALUE!</v>
      </c>
      <c r="CC127" t="e">
        <f>AND('UP133'!EP89,"AAAAAHy/e1A=")</f>
        <v>#VALUE!</v>
      </c>
      <c r="CD127" t="e">
        <f>AND('UP133'!EQ89,"AAAAAHy/e1E=")</f>
        <v>#VALUE!</v>
      </c>
      <c r="CE127" t="e">
        <f>AND('UP133'!ER89,"AAAAAHy/e1I=")</f>
        <v>#VALUE!</v>
      </c>
      <c r="CF127" t="e">
        <f>AND('UP133'!ES89,"AAAAAHy/e1M=")</f>
        <v>#VALUE!</v>
      </c>
      <c r="CG127" t="e">
        <f>AND('UP133'!ET89,"AAAAAHy/e1Q=")</f>
        <v>#VALUE!</v>
      </c>
      <c r="CH127" t="e">
        <f>AND('UP133'!EU89,"AAAAAHy/e1U=")</f>
        <v>#VALUE!</v>
      </c>
      <c r="CI127" t="e">
        <f>AND('UP133'!EV89,"AAAAAHy/e1Y=")</f>
        <v>#VALUE!</v>
      </c>
      <c r="CJ127" t="e">
        <f>AND('UP133'!EW89,"AAAAAHy/e1c=")</f>
        <v>#VALUE!</v>
      </c>
      <c r="CK127" t="e">
        <f>AND('UP133'!EX89,"AAAAAHy/e1g=")</f>
        <v>#VALUE!</v>
      </c>
      <c r="CL127" t="e">
        <f>AND('UP133'!EY89,"AAAAAHy/e1k=")</f>
        <v>#VALUE!</v>
      </c>
      <c r="CM127" t="e">
        <f>AND('UP133'!EZ89,"AAAAAHy/e1o=")</f>
        <v>#VALUE!</v>
      </c>
      <c r="CN127" t="e">
        <f>AND('UP133'!FA89,"AAAAAHy/e1s=")</f>
        <v>#VALUE!</v>
      </c>
      <c r="CO127" t="e">
        <f>AND('UP133'!FB89,"AAAAAHy/e1w=")</f>
        <v>#VALUE!</v>
      </c>
      <c r="CP127" t="e">
        <f>AND('UP133'!FC89,"AAAAAHy/e10=")</f>
        <v>#VALUE!</v>
      </c>
      <c r="CQ127" t="e">
        <f>AND('UP133'!FD89,"AAAAAHy/e14=")</f>
        <v>#VALUE!</v>
      </c>
      <c r="CR127" t="e">
        <f>AND('UP133'!FE89,"AAAAAHy/e18=")</f>
        <v>#VALUE!</v>
      </c>
      <c r="CS127" t="e">
        <f>AND('UP133'!FF89,"AAAAAHy/e2A=")</f>
        <v>#VALUE!</v>
      </c>
      <c r="CT127" t="e">
        <f>AND('UP133'!FG89,"AAAAAHy/e2E=")</f>
        <v>#VALUE!</v>
      </c>
      <c r="CU127" t="e">
        <f>AND('UP133'!FH89,"AAAAAHy/e2I=")</f>
        <v>#VALUE!</v>
      </c>
      <c r="CV127" t="e">
        <f>AND('UP133'!FI89,"AAAAAHy/e2M=")</f>
        <v>#VALUE!</v>
      </c>
      <c r="CW127" t="e">
        <f>AND('UP133'!FJ89,"AAAAAHy/e2Q=")</f>
        <v>#VALUE!</v>
      </c>
      <c r="CX127" t="e">
        <f>AND('UP133'!FK89,"AAAAAHy/e2U=")</f>
        <v>#VALUE!</v>
      </c>
      <c r="CY127" t="e">
        <f>AND('UP133'!FL89,"AAAAAHy/e2Y=")</f>
        <v>#VALUE!</v>
      </c>
      <c r="CZ127" t="e">
        <f>AND('UP133'!FM89,"AAAAAHy/e2c=")</f>
        <v>#VALUE!</v>
      </c>
      <c r="DA127" t="e">
        <f>AND('UP133'!FN89,"AAAAAHy/e2g=")</f>
        <v>#VALUE!</v>
      </c>
      <c r="DB127" t="e">
        <f>AND('UP133'!FO89,"AAAAAHy/e2k=")</f>
        <v>#VALUE!</v>
      </c>
      <c r="DC127" t="e">
        <f>AND('UP133'!FP89,"AAAAAHy/e2o=")</f>
        <v>#VALUE!</v>
      </c>
      <c r="DD127" t="e">
        <f>AND('UP133'!FQ89,"AAAAAHy/e2s=")</f>
        <v>#VALUE!</v>
      </c>
      <c r="DE127" t="e">
        <f>AND('UP133'!FR89,"AAAAAHy/e2w=")</f>
        <v>#VALUE!</v>
      </c>
      <c r="DF127" t="e">
        <f>AND('UP133'!FS89,"AAAAAHy/e20=")</f>
        <v>#VALUE!</v>
      </c>
      <c r="DG127" t="e">
        <f>AND('UP133'!FT89,"AAAAAHy/e24=")</f>
        <v>#VALUE!</v>
      </c>
      <c r="DH127" t="e">
        <f>AND('UP133'!FU89,"AAAAAHy/e28=")</f>
        <v>#VALUE!</v>
      </c>
      <c r="DI127" t="e">
        <f>AND('UP133'!FV89,"AAAAAHy/e3A=")</f>
        <v>#VALUE!</v>
      </c>
      <c r="DJ127" t="e">
        <f>AND('UP133'!FW89,"AAAAAHy/e3E=")</f>
        <v>#VALUE!</v>
      </c>
      <c r="DK127" t="e">
        <f>AND('UP133'!FX89,"AAAAAHy/e3I=")</f>
        <v>#VALUE!</v>
      </c>
      <c r="DL127" t="e">
        <f>AND('UP133'!FY89,"AAAAAHy/e3M=")</f>
        <v>#VALUE!</v>
      </c>
      <c r="DM127" t="e">
        <f>AND('UP133'!FZ89,"AAAAAHy/e3Q=")</f>
        <v>#VALUE!</v>
      </c>
      <c r="DN127" t="e">
        <f>AND('UP133'!GA89,"AAAAAHy/e3U=")</f>
        <v>#VALUE!</v>
      </c>
      <c r="DO127" t="e">
        <f>AND('UP133'!GB89,"AAAAAHy/e3Y=")</f>
        <v>#VALUE!</v>
      </c>
      <c r="DP127" t="e">
        <f>AND('UP133'!GC89,"AAAAAHy/e3c=")</f>
        <v>#VALUE!</v>
      </c>
      <c r="DQ127" t="e">
        <f>AND('UP133'!GD89,"AAAAAHy/e3g=")</f>
        <v>#VALUE!</v>
      </c>
      <c r="DR127" t="e">
        <f>AND('UP133'!GE89,"AAAAAHy/e3k=")</f>
        <v>#VALUE!</v>
      </c>
      <c r="DS127" t="e">
        <f>AND('UP133'!GF89,"AAAAAHy/e3o=")</f>
        <v>#VALUE!</v>
      </c>
      <c r="DT127" t="e">
        <f>AND('UP133'!GG89,"AAAAAHy/e3s=")</f>
        <v>#VALUE!</v>
      </c>
      <c r="DU127" t="e">
        <f>AND('UP133'!GH89,"AAAAAHy/e3w=")</f>
        <v>#VALUE!</v>
      </c>
      <c r="DV127" t="e">
        <f>AND('UP133'!GI89,"AAAAAHy/e30=")</f>
        <v>#VALUE!</v>
      </c>
      <c r="DW127" t="e">
        <f>AND('UP133'!GJ89,"AAAAAHy/e34=")</f>
        <v>#VALUE!</v>
      </c>
      <c r="DX127" t="e">
        <f>AND('UP133'!GK89,"AAAAAHy/e38=")</f>
        <v>#VALUE!</v>
      </c>
      <c r="DY127" t="e">
        <f>AND('UP133'!GL89,"AAAAAHy/e4A=")</f>
        <v>#VALUE!</v>
      </c>
      <c r="DZ127" t="e">
        <f>AND('UP133'!GM89,"AAAAAHy/e4E=")</f>
        <v>#VALUE!</v>
      </c>
      <c r="EA127" t="e">
        <f>AND('UP133'!GN89,"AAAAAHy/e4I=")</f>
        <v>#VALUE!</v>
      </c>
      <c r="EB127" t="e">
        <f>AND('UP133'!GO89,"AAAAAHy/e4M=")</f>
        <v>#VALUE!</v>
      </c>
      <c r="EC127" t="e">
        <f>AND('UP133'!GP89,"AAAAAHy/e4Q=")</f>
        <v>#VALUE!</v>
      </c>
      <c r="ED127" t="e">
        <f>AND('UP133'!GQ89,"AAAAAHy/e4U=")</f>
        <v>#VALUE!</v>
      </c>
      <c r="EE127" t="e">
        <f>AND('UP133'!GR89,"AAAAAHy/e4Y=")</f>
        <v>#VALUE!</v>
      </c>
      <c r="EF127" t="e">
        <f>AND('UP133'!GS89,"AAAAAHy/e4c=")</f>
        <v>#VALUE!</v>
      </c>
      <c r="EG127" t="e">
        <f>AND('UP133'!GT89,"AAAAAHy/e4g=")</f>
        <v>#VALUE!</v>
      </c>
      <c r="EH127" t="e">
        <f>AND('UP133'!GU89,"AAAAAHy/e4k=")</f>
        <v>#VALUE!</v>
      </c>
      <c r="EI127" t="e">
        <f>AND('UP133'!GV89,"AAAAAHy/e4o=")</f>
        <v>#VALUE!</v>
      </c>
      <c r="EJ127" t="e">
        <f>AND('UP133'!GW89,"AAAAAHy/e4s=")</f>
        <v>#VALUE!</v>
      </c>
      <c r="EK127" t="e">
        <f>AND('UP133'!GX89,"AAAAAHy/e4w=")</f>
        <v>#VALUE!</v>
      </c>
      <c r="EL127" t="e">
        <f>AND('UP133'!GY89,"AAAAAHy/e40=")</f>
        <v>#VALUE!</v>
      </c>
      <c r="EM127" t="e">
        <f>AND('UP133'!GZ89,"AAAAAHy/e44=")</f>
        <v>#VALUE!</v>
      </c>
      <c r="EN127" t="e">
        <f>AND('UP133'!HA89,"AAAAAHy/e48=")</f>
        <v>#VALUE!</v>
      </c>
      <c r="EO127" t="e">
        <f>AND('UP133'!HB89,"AAAAAHy/e5A=")</f>
        <v>#VALUE!</v>
      </c>
      <c r="EP127" t="e">
        <f>AND('UP133'!HC89,"AAAAAHy/e5E=")</f>
        <v>#VALUE!</v>
      </c>
      <c r="EQ127" t="e">
        <f>AND('UP133'!HD89,"AAAAAHy/e5I=")</f>
        <v>#VALUE!</v>
      </c>
      <c r="ER127" t="e">
        <f>AND('UP133'!HE89,"AAAAAHy/e5M=")</f>
        <v>#VALUE!</v>
      </c>
      <c r="ES127" t="e">
        <f>AND('UP133'!HF89,"AAAAAHy/e5Q=")</f>
        <v>#VALUE!</v>
      </c>
      <c r="ET127" t="e">
        <f>AND('UP133'!HG89,"AAAAAHy/e5U=")</f>
        <v>#VALUE!</v>
      </c>
      <c r="EU127" t="e">
        <f>AND('UP133'!HH89,"AAAAAHy/e5Y=")</f>
        <v>#VALUE!</v>
      </c>
      <c r="EV127" t="e">
        <f>AND('UP133'!HI89,"AAAAAHy/e5c=")</f>
        <v>#VALUE!</v>
      </c>
      <c r="EW127" t="e">
        <f>AND('UP133'!HJ89,"AAAAAHy/e5g=")</f>
        <v>#VALUE!</v>
      </c>
      <c r="EX127" t="e">
        <f>AND('UP133'!HK89,"AAAAAHy/e5k=")</f>
        <v>#VALUE!</v>
      </c>
      <c r="EY127" t="e">
        <f>AND('UP133'!HL89,"AAAAAHy/e5o=")</f>
        <v>#VALUE!</v>
      </c>
      <c r="EZ127" t="e">
        <f>AND('UP133'!HM89,"AAAAAHy/e5s=")</f>
        <v>#VALUE!</v>
      </c>
      <c r="FA127" t="e">
        <f>AND('UP133'!HN89,"AAAAAHy/e5w=")</f>
        <v>#VALUE!</v>
      </c>
      <c r="FB127" t="e">
        <f>AND('UP133'!HO89,"AAAAAHy/e50=")</f>
        <v>#VALUE!</v>
      </c>
      <c r="FC127" t="e">
        <f>AND('UP133'!HP89,"AAAAAHy/e54=")</f>
        <v>#VALUE!</v>
      </c>
      <c r="FD127" t="e">
        <f>AND('UP133'!HQ89,"AAAAAHy/e58=")</f>
        <v>#VALUE!</v>
      </c>
      <c r="FE127" t="e">
        <f>AND('UP133'!HR89,"AAAAAHy/e6A=")</f>
        <v>#VALUE!</v>
      </c>
      <c r="FF127" t="e">
        <f>AND('UP133'!HS89,"AAAAAHy/e6E=")</f>
        <v>#VALUE!</v>
      </c>
      <c r="FG127" t="e">
        <f>AND('UP133'!HT89,"AAAAAHy/e6I=")</f>
        <v>#VALUE!</v>
      </c>
      <c r="FH127" t="e">
        <f>AND('UP133'!HU89,"AAAAAHy/e6M=")</f>
        <v>#VALUE!</v>
      </c>
      <c r="FI127" t="e">
        <f>AND('UP133'!HV89,"AAAAAHy/e6Q=")</f>
        <v>#VALUE!</v>
      </c>
      <c r="FJ127" t="e">
        <f>AND('UP133'!HW89,"AAAAAHy/e6U=")</f>
        <v>#VALUE!</v>
      </c>
      <c r="FK127" t="e">
        <f>AND('UP133'!HX89,"AAAAAHy/e6Y=")</f>
        <v>#VALUE!</v>
      </c>
      <c r="FL127" t="e">
        <f>AND('UP133'!HY89,"AAAAAHy/e6c=")</f>
        <v>#VALUE!</v>
      </c>
      <c r="FM127" t="e">
        <f>AND('UP133'!HZ89,"AAAAAHy/e6g=")</f>
        <v>#VALUE!</v>
      </c>
      <c r="FN127" t="e">
        <f>AND('UP133'!IA89,"AAAAAHy/e6k=")</f>
        <v>#VALUE!</v>
      </c>
      <c r="FO127" t="e">
        <f>AND('UP133'!IB89,"AAAAAHy/e6o=")</f>
        <v>#VALUE!</v>
      </c>
      <c r="FP127" t="e">
        <f>AND('UP133'!IC89,"AAAAAHy/e6s=")</f>
        <v>#VALUE!</v>
      </c>
      <c r="FQ127" t="e">
        <f>AND('UP133'!ID89,"AAAAAHy/e6w=")</f>
        <v>#VALUE!</v>
      </c>
      <c r="FR127" t="e">
        <f>AND('UP133'!IE89,"AAAAAHy/e60=")</f>
        <v>#VALUE!</v>
      </c>
      <c r="FS127" t="e">
        <f>AND('UP133'!IF89,"AAAAAHy/e64=")</f>
        <v>#VALUE!</v>
      </c>
      <c r="FT127" t="e">
        <f>AND('UP133'!IG89,"AAAAAHy/e68=")</f>
        <v>#VALUE!</v>
      </c>
      <c r="FU127" t="e">
        <f>AND('UP133'!IH89,"AAAAAHy/e7A=")</f>
        <v>#VALUE!</v>
      </c>
      <c r="FV127" t="e">
        <f>AND('UP133'!II89,"AAAAAHy/e7E=")</f>
        <v>#VALUE!</v>
      </c>
      <c r="FW127" t="e">
        <f>AND('UP133'!IJ89,"AAAAAHy/e7I=")</f>
        <v>#VALUE!</v>
      </c>
      <c r="FX127" t="e">
        <f>AND('UP133'!IK89,"AAAAAHy/e7M=")</f>
        <v>#VALUE!</v>
      </c>
      <c r="FY127" t="e">
        <f>AND('UP133'!IL89,"AAAAAHy/e7Q=")</f>
        <v>#VALUE!</v>
      </c>
      <c r="FZ127" t="e">
        <f>AND('UP133'!IM89,"AAAAAHy/e7U=")</f>
        <v>#VALUE!</v>
      </c>
      <c r="GA127" t="e">
        <f>AND('UP133'!IN89,"AAAAAHy/e7Y=")</f>
        <v>#VALUE!</v>
      </c>
      <c r="GB127" t="e">
        <f>AND('UP133'!IO89,"AAAAAHy/e7c=")</f>
        <v>#VALUE!</v>
      </c>
      <c r="GC127" t="e">
        <f>AND('UP133'!IP89,"AAAAAHy/e7g=")</f>
        <v>#VALUE!</v>
      </c>
      <c r="GD127" t="e">
        <f>AND('UP133'!IQ89,"AAAAAHy/e7k=")</f>
        <v>#VALUE!</v>
      </c>
      <c r="GE127">
        <f>IF('UP133'!90:90,"AAAAAHy/e7o=",0)</f>
        <v>0</v>
      </c>
      <c r="GF127" t="e">
        <f>AND('UP133'!A90,"AAAAAHy/e7s=")</f>
        <v>#VALUE!</v>
      </c>
      <c r="GG127" t="e">
        <f>AND('UP133'!B90,"AAAAAHy/e7w=")</f>
        <v>#VALUE!</v>
      </c>
      <c r="GH127" t="e">
        <f>AND('UP133'!C90,"AAAAAHy/e70=")</f>
        <v>#VALUE!</v>
      </c>
      <c r="GI127" t="e">
        <f>AND('UP133'!D90,"AAAAAHy/e74=")</f>
        <v>#VALUE!</v>
      </c>
      <c r="GJ127" t="e">
        <f>AND('UP133'!E90,"AAAAAHy/e78=")</f>
        <v>#VALUE!</v>
      </c>
      <c r="GK127" t="e">
        <f>AND('UP133'!F90,"AAAAAHy/e8A=")</f>
        <v>#VALUE!</v>
      </c>
      <c r="GL127" t="e">
        <f>AND('UP133'!G90,"AAAAAHy/e8E=")</f>
        <v>#VALUE!</v>
      </c>
      <c r="GM127" t="e">
        <f>AND('UP133'!H90,"AAAAAHy/e8I=")</f>
        <v>#VALUE!</v>
      </c>
      <c r="GN127" t="e">
        <f>AND('UP133'!I90,"AAAAAHy/e8M=")</f>
        <v>#VALUE!</v>
      </c>
      <c r="GO127" t="e">
        <f>AND('UP133'!J90,"AAAAAHy/e8Q=")</f>
        <v>#VALUE!</v>
      </c>
      <c r="GP127" t="e">
        <f>AND('UP133'!K90,"AAAAAHy/e8U=")</f>
        <v>#VALUE!</v>
      </c>
      <c r="GQ127" t="e">
        <f>AND('UP133'!L90,"AAAAAHy/e8Y=")</f>
        <v>#VALUE!</v>
      </c>
      <c r="GR127" t="e">
        <f>AND('UP133'!M90,"AAAAAHy/e8c=")</f>
        <v>#VALUE!</v>
      </c>
      <c r="GS127" t="e">
        <f>AND('UP133'!N90,"AAAAAHy/e8g=")</f>
        <v>#VALUE!</v>
      </c>
      <c r="GT127" t="e">
        <f>AND('UP133'!O90,"AAAAAHy/e8k=")</f>
        <v>#VALUE!</v>
      </c>
      <c r="GU127" t="e">
        <f>AND('UP133'!P90,"AAAAAHy/e8o=")</f>
        <v>#VALUE!</v>
      </c>
      <c r="GV127" t="e">
        <f>AND('UP133'!Q90,"AAAAAHy/e8s=")</f>
        <v>#VALUE!</v>
      </c>
      <c r="GW127" t="e">
        <f>AND('UP133'!R90,"AAAAAHy/e8w=")</f>
        <v>#VALUE!</v>
      </c>
      <c r="GX127" t="e">
        <f>AND('UP133'!S90,"AAAAAHy/e80=")</f>
        <v>#VALUE!</v>
      </c>
      <c r="GY127" t="e">
        <f>AND('UP133'!T90,"AAAAAHy/e84=")</f>
        <v>#VALUE!</v>
      </c>
      <c r="GZ127" t="e">
        <f>AND('UP133'!U90,"AAAAAHy/e88=")</f>
        <v>#VALUE!</v>
      </c>
      <c r="HA127" t="e">
        <f>AND('UP133'!V90,"AAAAAHy/e9A=")</f>
        <v>#VALUE!</v>
      </c>
      <c r="HB127" t="e">
        <f>AND('UP133'!W90,"AAAAAHy/e9E=")</f>
        <v>#VALUE!</v>
      </c>
      <c r="HC127" t="e">
        <f>AND('UP133'!X90,"AAAAAHy/e9I=")</f>
        <v>#VALUE!</v>
      </c>
      <c r="HD127" t="e">
        <f>AND('UP133'!Y90,"AAAAAHy/e9M=")</f>
        <v>#VALUE!</v>
      </c>
      <c r="HE127" t="e">
        <f>AND('UP133'!Z90,"AAAAAHy/e9Q=")</f>
        <v>#VALUE!</v>
      </c>
      <c r="HF127" t="e">
        <f>AND('UP133'!AA90,"AAAAAHy/e9U=")</f>
        <v>#VALUE!</v>
      </c>
      <c r="HG127" t="e">
        <f>AND('UP133'!AB90,"AAAAAHy/e9Y=")</f>
        <v>#VALUE!</v>
      </c>
      <c r="HH127" t="e">
        <f>AND('UP133'!AC90,"AAAAAHy/e9c=")</f>
        <v>#VALUE!</v>
      </c>
      <c r="HI127" t="e">
        <f>AND('UP133'!AD90,"AAAAAHy/e9g=")</f>
        <v>#VALUE!</v>
      </c>
      <c r="HJ127" t="e">
        <f>AND('UP133'!AE90,"AAAAAHy/e9k=")</f>
        <v>#VALUE!</v>
      </c>
      <c r="HK127" t="e">
        <f>AND('UP133'!AF90,"AAAAAHy/e9o=")</f>
        <v>#VALUE!</v>
      </c>
      <c r="HL127" t="e">
        <f>AND('UP133'!AG90,"AAAAAHy/e9s=")</f>
        <v>#VALUE!</v>
      </c>
      <c r="HM127" t="e">
        <f>AND('UP133'!AH90,"AAAAAHy/e9w=")</f>
        <v>#VALUE!</v>
      </c>
      <c r="HN127" t="e">
        <f>AND('UP133'!AI90,"AAAAAHy/e90=")</f>
        <v>#VALUE!</v>
      </c>
      <c r="HO127" t="e">
        <f>AND('UP133'!AJ90,"AAAAAHy/e94=")</f>
        <v>#VALUE!</v>
      </c>
      <c r="HP127" t="e">
        <f>AND('UP133'!AK90,"AAAAAHy/e98=")</f>
        <v>#VALUE!</v>
      </c>
      <c r="HQ127" t="e">
        <f>AND('UP133'!AL90,"AAAAAHy/e+A=")</f>
        <v>#VALUE!</v>
      </c>
      <c r="HR127" t="e">
        <f>AND('UP133'!AM90,"AAAAAHy/e+E=")</f>
        <v>#VALUE!</v>
      </c>
      <c r="HS127" t="e">
        <f>AND('UP133'!AN90,"AAAAAHy/e+I=")</f>
        <v>#VALUE!</v>
      </c>
      <c r="HT127" t="e">
        <f>AND('UP133'!AO90,"AAAAAHy/e+M=")</f>
        <v>#VALUE!</v>
      </c>
      <c r="HU127" t="e">
        <f>AND('UP133'!AP90,"AAAAAHy/e+Q=")</f>
        <v>#VALUE!</v>
      </c>
      <c r="HV127" t="e">
        <f>AND('UP133'!AQ90,"AAAAAHy/e+U=")</f>
        <v>#VALUE!</v>
      </c>
      <c r="HW127" t="e">
        <f>AND('UP133'!AR90,"AAAAAHy/e+Y=")</f>
        <v>#VALUE!</v>
      </c>
      <c r="HX127" t="e">
        <f>AND('UP133'!AS90,"AAAAAHy/e+c=")</f>
        <v>#VALUE!</v>
      </c>
      <c r="HY127" t="e">
        <f>AND('UP133'!AT90,"AAAAAHy/e+g=")</f>
        <v>#VALUE!</v>
      </c>
      <c r="HZ127" t="e">
        <f>AND('UP133'!AU90,"AAAAAHy/e+k=")</f>
        <v>#VALUE!</v>
      </c>
      <c r="IA127" t="e">
        <f>AND('UP133'!AV90,"AAAAAHy/e+o=")</f>
        <v>#VALUE!</v>
      </c>
      <c r="IB127" t="e">
        <f>AND('UP133'!AW90,"AAAAAHy/e+s=")</f>
        <v>#VALUE!</v>
      </c>
      <c r="IC127" t="e">
        <f>AND('UP133'!AX90,"AAAAAHy/e+w=")</f>
        <v>#VALUE!</v>
      </c>
      <c r="ID127" t="e">
        <f>AND('UP133'!AY90,"AAAAAHy/e+0=")</f>
        <v>#VALUE!</v>
      </c>
      <c r="IE127" t="e">
        <f>AND('UP133'!AZ90,"AAAAAHy/e+4=")</f>
        <v>#VALUE!</v>
      </c>
      <c r="IF127" t="e">
        <f>AND('UP133'!BA90,"AAAAAHy/e+8=")</f>
        <v>#VALUE!</v>
      </c>
      <c r="IG127" t="e">
        <f>AND('UP133'!BB90,"AAAAAHy/e/A=")</f>
        <v>#VALUE!</v>
      </c>
      <c r="IH127" t="e">
        <f>AND('UP133'!BC90,"AAAAAHy/e/E=")</f>
        <v>#VALUE!</v>
      </c>
      <c r="II127" t="e">
        <f>AND('UP133'!BD90,"AAAAAHy/e/I=")</f>
        <v>#VALUE!</v>
      </c>
      <c r="IJ127" t="e">
        <f>AND('UP133'!BE90,"AAAAAHy/e/M=")</f>
        <v>#VALUE!</v>
      </c>
      <c r="IK127" t="e">
        <f>AND('UP133'!BF90,"AAAAAHy/e/Q=")</f>
        <v>#VALUE!</v>
      </c>
      <c r="IL127" t="e">
        <f>AND('UP133'!BG90,"AAAAAHy/e/U=")</f>
        <v>#VALUE!</v>
      </c>
      <c r="IM127" t="e">
        <f>AND('UP133'!BH90,"AAAAAHy/e/Y=")</f>
        <v>#VALUE!</v>
      </c>
      <c r="IN127" t="e">
        <f>AND('UP133'!BI90,"AAAAAHy/e/c=")</f>
        <v>#VALUE!</v>
      </c>
      <c r="IO127" t="e">
        <f>AND('UP133'!BJ90,"AAAAAHy/e/g=")</f>
        <v>#VALUE!</v>
      </c>
      <c r="IP127" t="e">
        <f>AND('UP133'!BK90,"AAAAAHy/e/k=")</f>
        <v>#VALUE!</v>
      </c>
      <c r="IQ127" t="e">
        <f>AND('UP133'!BL90,"AAAAAHy/e/o=")</f>
        <v>#VALUE!</v>
      </c>
      <c r="IR127" t="e">
        <f>AND('UP133'!BM90,"AAAAAHy/e/s=")</f>
        <v>#VALUE!</v>
      </c>
      <c r="IS127" t="e">
        <f>AND('UP133'!BN90,"AAAAAHy/e/w=")</f>
        <v>#VALUE!</v>
      </c>
      <c r="IT127" t="e">
        <f>AND('UP133'!BO90,"AAAAAHy/e/0=")</f>
        <v>#VALUE!</v>
      </c>
      <c r="IU127" t="e">
        <f>AND('UP133'!BP90,"AAAAAHy/e/4=")</f>
        <v>#VALUE!</v>
      </c>
      <c r="IV127" t="e">
        <f>AND('UP133'!BQ90,"AAAAAHy/e/8=")</f>
        <v>#VALUE!</v>
      </c>
    </row>
    <row r="128" spans="1:256">
      <c r="A128" t="e">
        <f>AND('UP133'!BR90,"AAAAAH699QA=")</f>
        <v>#VALUE!</v>
      </c>
      <c r="B128" t="e">
        <f>AND('UP133'!BS90,"AAAAAH699QE=")</f>
        <v>#VALUE!</v>
      </c>
      <c r="C128" t="e">
        <f>AND('UP133'!BT90,"AAAAAH699QI=")</f>
        <v>#VALUE!</v>
      </c>
      <c r="D128" t="e">
        <f>AND('UP133'!BU90,"AAAAAH699QM=")</f>
        <v>#VALUE!</v>
      </c>
      <c r="E128" t="e">
        <f>AND('UP133'!BV90,"AAAAAH699QQ=")</f>
        <v>#VALUE!</v>
      </c>
      <c r="F128" t="e">
        <f>AND('UP133'!BW90,"AAAAAH699QU=")</f>
        <v>#VALUE!</v>
      </c>
      <c r="G128" t="e">
        <f>AND('UP133'!BX90,"AAAAAH699QY=")</f>
        <v>#VALUE!</v>
      </c>
      <c r="H128" t="e">
        <f>AND('UP133'!BY90,"AAAAAH699Qc=")</f>
        <v>#VALUE!</v>
      </c>
      <c r="I128" t="e">
        <f>AND('UP133'!BZ90,"AAAAAH699Qg=")</f>
        <v>#VALUE!</v>
      </c>
      <c r="J128" t="e">
        <f>AND('UP133'!CA90,"AAAAAH699Qk=")</f>
        <v>#VALUE!</v>
      </c>
      <c r="K128" t="e">
        <f>AND('UP133'!CB90,"AAAAAH699Qo=")</f>
        <v>#VALUE!</v>
      </c>
      <c r="L128" t="e">
        <f>AND('UP133'!CC90,"AAAAAH699Qs=")</f>
        <v>#VALUE!</v>
      </c>
      <c r="M128" t="e">
        <f>AND('UP133'!CD90,"AAAAAH699Qw=")</f>
        <v>#VALUE!</v>
      </c>
      <c r="N128" t="e">
        <f>AND('UP133'!CE90,"AAAAAH699Q0=")</f>
        <v>#VALUE!</v>
      </c>
      <c r="O128" t="e">
        <f>AND('UP133'!CF90,"AAAAAH699Q4=")</f>
        <v>#VALUE!</v>
      </c>
      <c r="P128" t="e">
        <f>AND('UP133'!CG90,"AAAAAH699Q8=")</f>
        <v>#VALUE!</v>
      </c>
      <c r="Q128" t="e">
        <f>AND('UP133'!CH90,"AAAAAH699RA=")</f>
        <v>#VALUE!</v>
      </c>
      <c r="R128" t="e">
        <f>AND('UP133'!CI90,"AAAAAH699RE=")</f>
        <v>#VALUE!</v>
      </c>
      <c r="S128" t="e">
        <f>AND('UP133'!CJ90,"AAAAAH699RI=")</f>
        <v>#VALUE!</v>
      </c>
      <c r="T128" t="e">
        <f>AND('UP133'!CK90,"AAAAAH699RM=")</f>
        <v>#VALUE!</v>
      </c>
      <c r="U128" t="e">
        <f>AND('UP133'!CL90,"AAAAAH699RQ=")</f>
        <v>#VALUE!</v>
      </c>
      <c r="V128" t="e">
        <f>AND('UP133'!CM90,"AAAAAH699RU=")</f>
        <v>#VALUE!</v>
      </c>
      <c r="W128" t="e">
        <f>AND('UP133'!CN90,"AAAAAH699RY=")</f>
        <v>#VALUE!</v>
      </c>
      <c r="X128" t="e">
        <f>AND('UP133'!CO90,"AAAAAH699Rc=")</f>
        <v>#VALUE!</v>
      </c>
      <c r="Y128" t="e">
        <f>AND('UP133'!CP90,"AAAAAH699Rg=")</f>
        <v>#VALUE!</v>
      </c>
      <c r="Z128" t="e">
        <f>AND('UP133'!CQ90,"AAAAAH699Rk=")</f>
        <v>#VALUE!</v>
      </c>
      <c r="AA128" t="e">
        <f>AND('UP133'!CR90,"AAAAAH699Ro=")</f>
        <v>#VALUE!</v>
      </c>
      <c r="AB128" t="e">
        <f>AND('UP133'!CS90,"AAAAAH699Rs=")</f>
        <v>#VALUE!</v>
      </c>
      <c r="AC128" t="e">
        <f>AND('UP133'!CT90,"AAAAAH699Rw=")</f>
        <v>#VALUE!</v>
      </c>
      <c r="AD128" t="e">
        <f>AND('UP133'!CU90,"AAAAAH699R0=")</f>
        <v>#VALUE!</v>
      </c>
      <c r="AE128" t="e">
        <f>AND('UP133'!CV90,"AAAAAH699R4=")</f>
        <v>#VALUE!</v>
      </c>
      <c r="AF128" t="e">
        <f>AND('UP133'!CW90,"AAAAAH699R8=")</f>
        <v>#VALUE!</v>
      </c>
      <c r="AG128" t="e">
        <f>AND('UP133'!CX90,"AAAAAH699SA=")</f>
        <v>#VALUE!</v>
      </c>
      <c r="AH128" t="e">
        <f>AND('UP133'!CY90,"AAAAAH699SE=")</f>
        <v>#VALUE!</v>
      </c>
      <c r="AI128" t="e">
        <f>AND('UP133'!CZ90,"AAAAAH699SI=")</f>
        <v>#VALUE!</v>
      </c>
      <c r="AJ128" t="e">
        <f>AND('UP133'!DA90,"AAAAAH699SM=")</f>
        <v>#VALUE!</v>
      </c>
      <c r="AK128" t="e">
        <f>AND('UP133'!DB90,"AAAAAH699SQ=")</f>
        <v>#VALUE!</v>
      </c>
      <c r="AL128" t="e">
        <f>AND('UP133'!DC90,"AAAAAH699SU=")</f>
        <v>#VALUE!</v>
      </c>
      <c r="AM128" t="e">
        <f>AND('UP133'!DD90,"AAAAAH699SY=")</f>
        <v>#VALUE!</v>
      </c>
      <c r="AN128" t="e">
        <f>AND('UP133'!DE90,"AAAAAH699Sc=")</f>
        <v>#VALUE!</v>
      </c>
      <c r="AO128" t="e">
        <f>AND('UP133'!DF90,"AAAAAH699Sg=")</f>
        <v>#VALUE!</v>
      </c>
      <c r="AP128" t="e">
        <f>AND('UP133'!DG90,"AAAAAH699Sk=")</f>
        <v>#VALUE!</v>
      </c>
      <c r="AQ128" t="e">
        <f>AND('UP133'!DH90,"AAAAAH699So=")</f>
        <v>#VALUE!</v>
      </c>
      <c r="AR128" t="e">
        <f>AND('UP133'!DI90,"AAAAAH699Ss=")</f>
        <v>#VALUE!</v>
      </c>
      <c r="AS128" t="e">
        <f>AND('UP133'!DJ90,"AAAAAH699Sw=")</f>
        <v>#VALUE!</v>
      </c>
      <c r="AT128" t="e">
        <f>AND('UP133'!DK90,"AAAAAH699S0=")</f>
        <v>#VALUE!</v>
      </c>
      <c r="AU128" t="e">
        <f>AND('UP133'!DL90,"AAAAAH699S4=")</f>
        <v>#VALUE!</v>
      </c>
      <c r="AV128" t="e">
        <f>AND('UP133'!DM90,"AAAAAH699S8=")</f>
        <v>#VALUE!</v>
      </c>
      <c r="AW128" t="e">
        <f>AND('UP133'!DN90,"AAAAAH699TA=")</f>
        <v>#VALUE!</v>
      </c>
      <c r="AX128" t="e">
        <f>AND('UP133'!DO90,"AAAAAH699TE=")</f>
        <v>#VALUE!</v>
      </c>
      <c r="AY128" t="e">
        <f>AND('UP133'!DP90,"AAAAAH699TI=")</f>
        <v>#VALUE!</v>
      </c>
      <c r="AZ128" t="e">
        <f>AND('UP133'!DQ90,"AAAAAH699TM=")</f>
        <v>#VALUE!</v>
      </c>
      <c r="BA128" t="e">
        <f>AND('UP133'!DR90,"AAAAAH699TQ=")</f>
        <v>#VALUE!</v>
      </c>
      <c r="BB128" t="e">
        <f>AND('UP133'!DS90,"AAAAAH699TU=")</f>
        <v>#VALUE!</v>
      </c>
      <c r="BC128" t="e">
        <f>AND('UP133'!DT90,"AAAAAH699TY=")</f>
        <v>#VALUE!</v>
      </c>
      <c r="BD128" t="e">
        <f>AND('UP133'!DU90,"AAAAAH699Tc=")</f>
        <v>#VALUE!</v>
      </c>
      <c r="BE128" t="e">
        <f>AND('UP133'!DV90,"AAAAAH699Tg=")</f>
        <v>#VALUE!</v>
      </c>
      <c r="BF128" t="e">
        <f>AND('UP133'!DW90,"AAAAAH699Tk=")</f>
        <v>#VALUE!</v>
      </c>
      <c r="BG128" t="e">
        <f>AND('UP133'!DX90,"AAAAAH699To=")</f>
        <v>#VALUE!</v>
      </c>
      <c r="BH128" t="e">
        <f>AND('UP133'!DY90,"AAAAAH699Ts=")</f>
        <v>#VALUE!</v>
      </c>
      <c r="BI128" t="e">
        <f>AND('UP133'!DZ90,"AAAAAH699Tw=")</f>
        <v>#VALUE!</v>
      </c>
      <c r="BJ128" t="e">
        <f>AND('UP133'!EA90,"AAAAAH699T0=")</f>
        <v>#VALUE!</v>
      </c>
      <c r="BK128" t="e">
        <f>AND('UP133'!EB90,"AAAAAH699T4=")</f>
        <v>#VALUE!</v>
      </c>
      <c r="BL128" t="e">
        <f>AND('UP133'!EC90,"AAAAAH699T8=")</f>
        <v>#VALUE!</v>
      </c>
      <c r="BM128" t="e">
        <f>AND('UP133'!ED90,"AAAAAH699UA=")</f>
        <v>#VALUE!</v>
      </c>
      <c r="BN128" t="e">
        <f>AND('UP133'!EE90,"AAAAAH699UE=")</f>
        <v>#VALUE!</v>
      </c>
      <c r="BO128" t="e">
        <f>AND('UP133'!EF90,"AAAAAH699UI=")</f>
        <v>#VALUE!</v>
      </c>
      <c r="BP128" t="e">
        <f>AND('UP133'!EG90,"AAAAAH699UM=")</f>
        <v>#VALUE!</v>
      </c>
      <c r="BQ128" t="e">
        <f>AND('UP133'!EH90,"AAAAAH699UQ=")</f>
        <v>#VALUE!</v>
      </c>
      <c r="BR128" t="e">
        <f>AND('UP133'!EI90,"AAAAAH699UU=")</f>
        <v>#VALUE!</v>
      </c>
      <c r="BS128" t="e">
        <f>AND('UP133'!EJ90,"AAAAAH699UY=")</f>
        <v>#VALUE!</v>
      </c>
      <c r="BT128" t="e">
        <f>AND('UP133'!EK90,"AAAAAH699Uc=")</f>
        <v>#VALUE!</v>
      </c>
      <c r="BU128" t="e">
        <f>AND('UP133'!EL90,"AAAAAH699Ug=")</f>
        <v>#VALUE!</v>
      </c>
      <c r="BV128" t="e">
        <f>AND('UP133'!EM90,"AAAAAH699Uk=")</f>
        <v>#VALUE!</v>
      </c>
      <c r="BW128" t="e">
        <f>AND('UP133'!EN90,"AAAAAH699Uo=")</f>
        <v>#VALUE!</v>
      </c>
      <c r="BX128" t="e">
        <f>AND('UP133'!EO90,"AAAAAH699Us=")</f>
        <v>#VALUE!</v>
      </c>
      <c r="BY128" t="e">
        <f>AND('UP133'!EP90,"AAAAAH699Uw=")</f>
        <v>#VALUE!</v>
      </c>
      <c r="BZ128" t="e">
        <f>AND('UP133'!EQ90,"AAAAAH699U0=")</f>
        <v>#VALUE!</v>
      </c>
      <c r="CA128" t="e">
        <f>AND('UP133'!ER90,"AAAAAH699U4=")</f>
        <v>#VALUE!</v>
      </c>
      <c r="CB128" t="e">
        <f>AND('UP133'!ES90,"AAAAAH699U8=")</f>
        <v>#VALUE!</v>
      </c>
      <c r="CC128" t="e">
        <f>AND('UP133'!ET90,"AAAAAH699VA=")</f>
        <v>#VALUE!</v>
      </c>
      <c r="CD128" t="e">
        <f>AND('UP133'!EU90,"AAAAAH699VE=")</f>
        <v>#VALUE!</v>
      </c>
      <c r="CE128" t="e">
        <f>AND('UP133'!EV90,"AAAAAH699VI=")</f>
        <v>#VALUE!</v>
      </c>
      <c r="CF128" t="e">
        <f>AND('UP133'!EW90,"AAAAAH699VM=")</f>
        <v>#VALUE!</v>
      </c>
      <c r="CG128" t="e">
        <f>AND('UP133'!EX90,"AAAAAH699VQ=")</f>
        <v>#VALUE!</v>
      </c>
      <c r="CH128" t="e">
        <f>AND('UP133'!EY90,"AAAAAH699VU=")</f>
        <v>#VALUE!</v>
      </c>
      <c r="CI128" t="e">
        <f>AND('UP133'!EZ90,"AAAAAH699VY=")</f>
        <v>#VALUE!</v>
      </c>
      <c r="CJ128" t="e">
        <f>AND('UP133'!FA90,"AAAAAH699Vc=")</f>
        <v>#VALUE!</v>
      </c>
      <c r="CK128" t="e">
        <f>AND('UP133'!FB90,"AAAAAH699Vg=")</f>
        <v>#VALUE!</v>
      </c>
      <c r="CL128" t="e">
        <f>AND('UP133'!FC90,"AAAAAH699Vk=")</f>
        <v>#VALUE!</v>
      </c>
      <c r="CM128" t="e">
        <f>AND('UP133'!FD90,"AAAAAH699Vo=")</f>
        <v>#VALUE!</v>
      </c>
      <c r="CN128" t="e">
        <f>AND('UP133'!FE90,"AAAAAH699Vs=")</f>
        <v>#VALUE!</v>
      </c>
      <c r="CO128" t="e">
        <f>AND('UP133'!FF90,"AAAAAH699Vw=")</f>
        <v>#VALUE!</v>
      </c>
      <c r="CP128" t="e">
        <f>AND('UP133'!FG90,"AAAAAH699V0=")</f>
        <v>#VALUE!</v>
      </c>
      <c r="CQ128" t="e">
        <f>AND('UP133'!FH90,"AAAAAH699V4=")</f>
        <v>#VALUE!</v>
      </c>
      <c r="CR128" t="e">
        <f>AND('UP133'!FI90,"AAAAAH699V8=")</f>
        <v>#VALUE!</v>
      </c>
      <c r="CS128" t="e">
        <f>AND('UP133'!FJ90,"AAAAAH699WA=")</f>
        <v>#VALUE!</v>
      </c>
      <c r="CT128" t="e">
        <f>AND('UP133'!FK90,"AAAAAH699WE=")</f>
        <v>#VALUE!</v>
      </c>
      <c r="CU128" t="e">
        <f>AND('UP133'!FL90,"AAAAAH699WI=")</f>
        <v>#VALUE!</v>
      </c>
      <c r="CV128" t="e">
        <f>AND('UP133'!FM90,"AAAAAH699WM=")</f>
        <v>#VALUE!</v>
      </c>
      <c r="CW128" t="e">
        <f>AND('UP133'!FN90,"AAAAAH699WQ=")</f>
        <v>#VALUE!</v>
      </c>
      <c r="CX128" t="e">
        <f>AND('UP133'!FO90,"AAAAAH699WU=")</f>
        <v>#VALUE!</v>
      </c>
      <c r="CY128" t="e">
        <f>AND('UP133'!FP90,"AAAAAH699WY=")</f>
        <v>#VALUE!</v>
      </c>
      <c r="CZ128" t="e">
        <f>AND('UP133'!FQ90,"AAAAAH699Wc=")</f>
        <v>#VALUE!</v>
      </c>
      <c r="DA128" t="e">
        <f>AND('UP133'!FR90,"AAAAAH699Wg=")</f>
        <v>#VALUE!</v>
      </c>
      <c r="DB128" t="e">
        <f>AND('UP133'!FS90,"AAAAAH699Wk=")</f>
        <v>#VALUE!</v>
      </c>
      <c r="DC128" t="e">
        <f>AND('UP133'!FT90,"AAAAAH699Wo=")</f>
        <v>#VALUE!</v>
      </c>
      <c r="DD128" t="e">
        <f>AND('UP133'!FU90,"AAAAAH699Ws=")</f>
        <v>#VALUE!</v>
      </c>
      <c r="DE128" t="e">
        <f>AND('UP133'!FV90,"AAAAAH699Ww=")</f>
        <v>#VALUE!</v>
      </c>
      <c r="DF128" t="e">
        <f>AND('UP133'!FW90,"AAAAAH699W0=")</f>
        <v>#VALUE!</v>
      </c>
      <c r="DG128" t="e">
        <f>AND('UP133'!FX90,"AAAAAH699W4=")</f>
        <v>#VALUE!</v>
      </c>
      <c r="DH128" t="e">
        <f>AND('UP133'!FY90,"AAAAAH699W8=")</f>
        <v>#VALUE!</v>
      </c>
      <c r="DI128" t="e">
        <f>AND('UP133'!FZ90,"AAAAAH699XA=")</f>
        <v>#VALUE!</v>
      </c>
      <c r="DJ128" t="e">
        <f>AND('UP133'!GA90,"AAAAAH699XE=")</f>
        <v>#VALUE!</v>
      </c>
      <c r="DK128" t="e">
        <f>AND('UP133'!GB90,"AAAAAH699XI=")</f>
        <v>#VALUE!</v>
      </c>
      <c r="DL128" t="e">
        <f>AND('UP133'!GC90,"AAAAAH699XM=")</f>
        <v>#VALUE!</v>
      </c>
      <c r="DM128" t="e">
        <f>AND('UP133'!GD90,"AAAAAH699XQ=")</f>
        <v>#VALUE!</v>
      </c>
      <c r="DN128" t="e">
        <f>AND('UP133'!GE90,"AAAAAH699XU=")</f>
        <v>#VALUE!</v>
      </c>
      <c r="DO128" t="e">
        <f>AND('UP133'!GF90,"AAAAAH699XY=")</f>
        <v>#VALUE!</v>
      </c>
      <c r="DP128" t="e">
        <f>AND('UP133'!GG90,"AAAAAH699Xc=")</f>
        <v>#VALUE!</v>
      </c>
      <c r="DQ128" t="e">
        <f>AND('UP133'!GH90,"AAAAAH699Xg=")</f>
        <v>#VALUE!</v>
      </c>
      <c r="DR128" t="e">
        <f>AND('UP133'!GI90,"AAAAAH699Xk=")</f>
        <v>#VALUE!</v>
      </c>
      <c r="DS128" t="e">
        <f>AND('UP133'!GJ90,"AAAAAH699Xo=")</f>
        <v>#VALUE!</v>
      </c>
      <c r="DT128" t="e">
        <f>AND('UP133'!GK90,"AAAAAH699Xs=")</f>
        <v>#VALUE!</v>
      </c>
      <c r="DU128" t="e">
        <f>AND('UP133'!GL90,"AAAAAH699Xw=")</f>
        <v>#VALUE!</v>
      </c>
      <c r="DV128" t="e">
        <f>AND('UP133'!GM90,"AAAAAH699X0=")</f>
        <v>#VALUE!</v>
      </c>
      <c r="DW128" t="e">
        <f>AND('UP133'!GN90,"AAAAAH699X4=")</f>
        <v>#VALUE!</v>
      </c>
      <c r="DX128" t="e">
        <f>AND('UP133'!GO90,"AAAAAH699X8=")</f>
        <v>#VALUE!</v>
      </c>
      <c r="DY128" t="e">
        <f>AND('UP133'!GP90,"AAAAAH699YA=")</f>
        <v>#VALUE!</v>
      </c>
      <c r="DZ128" t="e">
        <f>AND('UP133'!GQ90,"AAAAAH699YE=")</f>
        <v>#VALUE!</v>
      </c>
      <c r="EA128" t="e">
        <f>AND('UP133'!GR90,"AAAAAH699YI=")</f>
        <v>#VALUE!</v>
      </c>
      <c r="EB128" t="e">
        <f>AND('UP133'!GS90,"AAAAAH699YM=")</f>
        <v>#VALUE!</v>
      </c>
      <c r="EC128" t="e">
        <f>AND('UP133'!GT90,"AAAAAH699YQ=")</f>
        <v>#VALUE!</v>
      </c>
      <c r="ED128" t="e">
        <f>AND('UP133'!GU90,"AAAAAH699YU=")</f>
        <v>#VALUE!</v>
      </c>
      <c r="EE128" t="e">
        <f>AND('UP133'!GV90,"AAAAAH699YY=")</f>
        <v>#VALUE!</v>
      </c>
      <c r="EF128" t="e">
        <f>AND('UP133'!GW90,"AAAAAH699Yc=")</f>
        <v>#VALUE!</v>
      </c>
      <c r="EG128" t="e">
        <f>AND('UP133'!GX90,"AAAAAH699Yg=")</f>
        <v>#VALUE!</v>
      </c>
      <c r="EH128" t="e">
        <f>AND('UP133'!GY90,"AAAAAH699Yk=")</f>
        <v>#VALUE!</v>
      </c>
      <c r="EI128" t="e">
        <f>AND('UP133'!GZ90,"AAAAAH699Yo=")</f>
        <v>#VALUE!</v>
      </c>
      <c r="EJ128" t="e">
        <f>AND('UP133'!HA90,"AAAAAH699Ys=")</f>
        <v>#VALUE!</v>
      </c>
      <c r="EK128" t="e">
        <f>AND('UP133'!HB90,"AAAAAH699Yw=")</f>
        <v>#VALUE!</v>
      </c>
      <c r="EL128" t="e">
        <f>AND('UP133'!HC90,"AAAAAH699Y0=")</f>
        <v>#VALUE!</v>
      </c>
      <c r="EM128" t="e">
        <f>AND('UP133'!HD90,"AAAAAH699Y4=")</f>
        <v>#VALUE!</v>
      </c>
      <c r="EN128" t="e">
        <f>AND('UP133'!HE90,"AAAAAH699Y8=")</f>
        <v>#VALUE!</v>
      </c>
      <c r="EO128" t="e">
        <f>AND('UP133'!HF90,"AAAAAH699ZA=")</f>
        <v>#VALUE!</v>
      </c>
      <c r="EP128" t="e">
        <f>AND('UP133'!HG90,"AAAAAH699ZE=")</f>
        <v>#VALUE!</v>
      </c>
      <c r="EQ128" t="e">
        <f>AND('UP133'!HH90,"AAAAAH699ZI=")</f>
        <v>#VALUE!</v>
      </c>
      <c r="ER128" t="e">
        <f>AND('UP133'!HI90,"AAAAAH699ZM=")</f>
        <v>#VALUE!</v>
      </c>
      <c r="ES128" t="e">
        <f>AND('UP133'!HJ90,"AAAAAH699ZQ=")</f>
        <v>#VALUE!</v>
      </c>
      <c r="ET128" t="e">
        <f>AND('UP133'!HK90,"AAAAAH699ZU=")</f>
        <v>#VALUE!</v>
      </c>
      <c r="EU128" t="e">
        <f>AND('UP133'!HL90,"AAAAAH699ZY=")</f>
        <v>#VALUE!</v>
      </c>
      <c r="EV128" t="e">
        <f>AND('UP133'!HM90,"AAAAAH699Zc=")</f>
        <v>#VALUE!</v>
      </c>
      <c r="EW128" t="e">
        <f>AND('UP133'!HN90,"AAAAAH699Zg=")</f>
        <v>#VALUE!</v>
      </c>
      <c r="EX128" t="e">
        <f>AND('UP133'!HO90,"AAAAAH699Zk=")</f>
        <v>#VALUE!</v>
      </c>
      <c r="EY128" t="e">
        <f>AND('UP133'!HP90,"AAAAAH699Zo=")</f>
        <v>#VALUE!</v>
      </c>
      <c r="EZ128" t="e">
        <f>AND('UP133'!HQ90,"AAAAAH699Zs=")</f>
        <v>#VALUE!</v>
      </c>
      <c r="FA128" t="e">
        <f>AND('UP133'!HR90,"AAAAAH699Zw=")</f>
        <v>#VALUE!</v>
      </c>
      <c r="FB128" t="e">
        <f>AND('UP133'!HS90,"AAAAAH699Z0=")</f>
        <v>#VALUE!</v>
      </c>
      <c r="FC128" t="e">
        <f>AND('UP133'!HT90,"AAAAAH699Z4=")</f>
        <v>#VALUE!</v>
      </c>
      <c r="FD128" t="e">
        <f>AND('UP133'!HU90,"AAAAAH699Z8=")</f>
        <v>#VALUE!</v>
      </c>
      <c r="FE128" t="e">
        <f>AND('UP133'!HV90,"AAAAAH699aA=")</f>
        <v>#VALUE!</v>
      </c>
      <c r="FF128" t="e">
        <f>AND('UP133'!HW90,"AAAAAH699aE=")</f>
        <v>#VALUE!</v>
      </c>
      <c r="FG128" t="e">
        <f>AND('UP133'!HX90,"AAAAAH699aI=")</f>
        <v>#VALUE!</v>
      </c>
      <c r="FH128" t="e">
        <f>AND('UP133'!HY90,"AAAAAH699aM=")</f>
        <v>#VALUE!</v>
      </c>
      <c r="FI128" t="e">
        <f>AND('UP133'!HZ90,"AAAAAH699aQ=")</f>
        <v>#VALUE!</v>
      </c>
      <c r="FJ128" t="e">
        <f>AND('UP133'!IA90,"AAAAAH699aU=")</f>
        <v>#VALUE!</v>
      </c>
      <c r="FK128" t="e">
        <f>AND('UP133'!IB90,"AAAAAH699aY=")</f>
        <v>#VALUE!</v>
      </c>
      <c r="FL128" t="e">
        <f>AND('UP133'!IC90,"AAAAAH699ac=")</f>
        <v>#VALUE!</v>
      </c>
      <c r="FM128" t="e">
        <f>AND('UP133'!ID90,"AAAAAH699ag=")</f>
        <v>#VALUE!</v>
      </c>
      <c r="FN128" t="e">
        <f>AND('UP133'!IE90,"AAAAAH699ak=")</f>
        <v>#VALUE!</v>
      </c>
      <c r="FO128" t="e">
        <f>AND('UP133'!IF90,"AAAAAH699ao=")</f>
        <v>#VALUE!</v>
      </c>
      <c r="FP128" t="e">
        <f>AND('UP133'!IG90,"AAAAAH699as=")</f>
        <v>#VALUE!</v>
      </c>
      <c r="FQ128" t="e">
        <f>AND('UP133'!IH90,"AAAAAH699aw=")</f>
        <v>#VALUE!</v>
      </c>
      <c r="FR128" t="e">
        <f>AND('UP133'!II90,"AAAAAH699a0=")</f>
        <v>#VALUE!</v>
      </c>
      <c r="FS128" t="e">
        <f>AND('UP133'!IJ90,"AAAAAH699a4=")</f>
        <v>#VALUE!</v>
      </c>
      <c r="FT128" t="e">
        <f>AND('UP133'!IK90,"AAAAAH699a8=")</f>
        <v>#VALUE!</v>
      </c>
      <c r="FU128" t="e">
        <f>AND('UP133'!IL90,"AAAAAH699bA=")</f>
        <v>#VALUE!</v>
      </c>
      <c r="FV128" t="e">
        <f>AND('UP133'!IM90,"AAAAAH699bE=")</f>
        <v>#VALUE!</v>
      </c>
      <c r="FW128" t="e">
        <f>AND('UP133'!IN90,"AAAAAH699bI=")</f>
        <v>#VALUE!</v>
      </c>
      <c r="FX128" t="e">
        <f>AND('UP133'!IO90,"AAAAAH699bM=")</f>
        <v>#VALUE!</v>
      </c>
      <c r="FY128" t="e">
        <f>AND('UP133'!IP90,"AAAAAH699bQ=")</f>
        <v>#VALUE!</v>
      </c>
      <c r="FZ128" t="e">
        <f>AND('UP133'!IQ90,"AAAAAH699bU=")</f>
        <v>#VALUE!</v>
      </c>
      <c r="GA128">
        <f>IF('UP133'!91:91,"AAAAAH699bY=",0)</f>
        <v>0</v>
      </c>
      <c r="GB128" t="e">
        <f>AND('UP133'!A91,"AAAAAH699bc=")</f>
        <v>#VALUE!</v>
      </c>
      <c r="GC128" t="e">
        <f>AND('UP133'!B91,"AAAAAH699bg=")</f>
        <v>#VALUE!</v>
      </c>
      <c r="GD128" t="e">
        <f>AND('UP133'!C91,"AAAAAH699bk=")</f>
        <v>#VALUE!</v>
      </c>
      <c r="GE128" t="e">
        <f>AND('UP133'!D91,"AAAAAH699bo=")</f>
        <v>#VALUE!</v>
      </c>
      <c r="GF128" t="e">
        <f>AND('UP133'!E91,"AAAAAH699bs=")</f>
        <v>#VALUE!</v>
      </c>
      <c r="GG128" t="e">
        <f>AND('UP133'!F91,"AAAAAH699bw=")</f>
        <v>#VALUE!</v>
      </c>
      <c r="GH128" t="e">
        <f>AND('UP133'!G91,"AAAAAH699b0=")</f>
        <v>#VALUE!</v>
      </c>
      <c r="GI128" t="e">
        <f>AND('UP133'!H91,"AAAAAH699b4=")</f>
        <v>#VALUE!</v>
      </c>
      <c r="GJ128" t="e">
        <f>AND('UP133'!I91,"AAAAAH699b8=")</f>
        <v>#VALUE!</v>
      </c>
      <c r="GK128" t="e">
        <f>AND('UP133'!J91,"AAAAAH699cA=")</f>
        <v>#VALUE!</v>
      </c>
      <c r="GL128" t="e">
        <f>AND('UP133'!K91,"AAAAAH699cE=")</f>
        <v>#VALUE!</v>
      </c>
      <c r="GM128" t="e">
        <f>AND('UP133'!L91,"AAAAAH699cI=")</f>
        <v>#VALUE!</v>
      </c>
      <c r="GN128" t="e">
        <f>AND('UP133'!M91,"AAAAAH699cM=")</f>
        <v>#VALUE!</v>
      </c>
      <c r="GO128" t="e">
        <f>AND('UP133'!N91,"AAAAAH699cQ=")</f>
        <v>#VALUE!</v>
      </c>
      <c r="GP128" t="e">
        <f>AND('UP133'!O91,"AAAAAH699cU=")</f>
        <v>#VALUE!</v>
      </c>
      <c r="GQ128" t="e">
        <f>AND('UP133'!P91,"AAAAAH699cY=")</f>
        <v>#VALUE!</v>
      </c>
      <c r="GR128" t="e">
        <f>AND('UP133'!Q91,"AAAAAH699cc=")</f>
        <v>#VALUE!</v>
      </c>
      <c r="GS128" t="e">
        <f>AND('UP133'!R91,"AAAAAH699cg=")</f>
        <v>#VALUE!</v>
      </c>
      <c r="GT128" t="e">
        <f>AND('UP133'!S91,"AAAAAH699ck=")</f>
        <v>#VALUE!</v>
      </c>
      <c r="GU128" t="e">
        <f>AND('UP133'!T91,"AAAAAH699co=")</f>
        <v>#VALUE!</v>
      </c>
      <c r="GV128" t="e">
        <f>AND('UP133'!U91,"AAAAAH699cs=")</f>
        <v>#VALUE!</v>
      </c>
      <c r="GW128" t="e">
        <f>AND('UP133'!V91,"AAAAAH699cw=")</f>
        <v>#VALUE!</v>
      </c>
      <c r="GX128" t="e">
        <f>AND('UP133'!W91,"AAAAAH699c0=")</f>
        <v>#VALUE!</v>
      </c>
      <c r="GY128" t="e">
        <f>AND('UP133'!X91,"AAAAAH699c4=")</f>
        <v>#VALUE!</v>
      </c>
      <c r="GZ128" t="e">
        <f>AND('UP133'!Y91,"AAAAAH699c8=")</f>
        <v>#VALUE!</v>
      </c>
      <c r="HA128" t="e">
        <f>AND('UP133'!Z91,"AAAAAH699dA=")</f>
        <v>#VALUE!</v>
      </c>
      <c r="HB128" t="e">
        <f>AND('UP133'!AA91,"AAAAAH699dE=")</f>
        <v>#VALUE!</v>
      </c>
      <c r="HC128" t="e">
        <f>AND('UP133'!AB91,"AAAAAH699dI=")</f>
        <v>#VALUE!</v>
      </c>
      <c r="HD128" t="e">
        <f>AND('UP133'!AC91,"AAAAAH699dM=")</f>
        <v>#VALUE!</v>
      </c>
      <c r="HE128" t="e">
        <f>AND('UP133'!AD91,"AAAAAH699dQ=")</f>
        <v>#VALUE!</v>
      </c>
      <c r="HF128" t="e">
        <f>AND('UP133'!AE91,"AAAAAH699dU=")</f>
        <v>#VALUE!</v>
      </c>
      <c r="HG128" t="e">
        <f>AND('UP133'!AF91,"AAAAAH699dY=")</f>
        <v>#VALUE!</v>
      </c>
      <c r="HH128" t="e">
        <f>AND('UP133'!AG91,"AAAAAH699dc=")</f>
        <v>#VALUE!</v>
      </c>
      <c r="HI128" t="e">
        <f>AND('UP133'!AH91,"AAAAAH699dg=")</f>
        <v>#VALUE!</v>
      </c>
      <c r="HJ128" t="e">
        <f>AND('UP133'!AI91,"AAAAAH699dk=")</f>
        <v>#VALUE!</v>
      </c>
      <c r="HK128" t="e">
        <f>AND('UP133'!AJ91,"AAAAAH699do=")</f>
        <v>#VALUE!</v>
      </c>
      <c r="HL128" t="e">
        <f>AND('UP133'!AK91,"AAAAAH699ds=")</f>
        <v>#VALUE!</v>
      </c>
      <c r="HM128" t="e">
        <f>AND('UP133'!AL91,"AAAAAH699dw=")</f>
        <v>#VALUE!</v>
      </c>
      <c r="HN128" t="e">
        <f>AND('UP133'!AM91,"AAAAAH699d0=")</f>
        <v>#VALUE!</v>
      </c>
      <c r="HO128" t="e">
        <f>AND('UP133'!AN91,"AAAAAH699d4=")</f>
        <v>#VALUE!</v>
      </c>
      <c r="HP128" t="e">
        <f>AND('UP133'!AO91,"AAAAAH699d8=")</f>
        <v>#VALUE!</v>
      </c>
      <c r="HQ128" t="e">
        <f>AND('UP133'!AP91,"AAAAAH699eA=")</f>
        <v>#VALUE!</v>
      </c>
      <c r="HR128" t="e">
        <f>AND('UP133'!AQ91,"AAAAAH699eE=")</f>
        <v>#VALUE!</v>
      </c>
      <c r="HS128" t="e">
        <f>AND('UP133'!AR91,"AAAAAH699eI=")</f>
        <v>#VALUE!</v>
      </c>
      <c r="HT128" t="e">
        <f>AND('UP133'!AS91,"AAAAAH699eM=")</f>
        <v>#VALUE!</v>
      </c>
      <c r="HU128" t="e">
        <f>AND('UP133'!AT91,"AAAAAH699eQ=")</f>
        <v>#VALUE!</v>
      </c>
      <c r="HV128" t="e">
        <f>AND('UP133'!AU91,"AAAAAH699eU=")</f>
        <v>#VALUE!</v>
      </c>
      <c r="HW128" t="e">
        <f>AND('UP133'!AV91,"AAAAAH699eY=")</f>
        <v>#VALUE!</v>
      </c>
      <c r="HX128" t="e">
        <f>AND('UP133'!AW91,"AAAAAH699ec=")</f>
        <v>#VALUE!</v>
      </c>
      <c r="HY128" t="e">
        <f>AND('UP133'!AX91,"AAAAAH699eg=")</f>
        <v>#VALUE!</v>
      </c>
      <c r="HZ128" t="e">
        <f>AND('UP133'!AY91,"AAAAAH699ek=")</f>
        <v>#VALUE!</v>
      </c>
      <c r="IA128" t="e">
        <f>AND('UP133'!AZ91,"AAAAAH699eo=")</f>
        <v>#VALUE!</v>
      </c>
      <c r="IB128" t="e">
        <f>AND('UP133'!BA91,"AAAAAH699es=")</f>
        <v>#VALUE!</v>
      </c>
      <c r="IC128" t="e">
        <f>AND('UP133'!BB91,"AAAAAH699ew=")</f>
        <v>#VALUE!</v>
      </c>
      <c r="ID128" t="e">
        <f>AND('UP133'!BC91,"AAAAAH699e0=")</f>
        <v>#VALUE!</v>
      </c>
      <c r="IE128" t="e">
        <f>AND('UP133'!BD91,"AAAAAH699e4=")</f>
        <v>#VALUE!</v>
      </c>
      <c r="IF128" t="e">
        <f>AND('UP133'!BE91,"AAAAAH699e8=")</f>
        <v>#VALUE!</v>
      </c>
      <c r="IG128" t="e">
        <f>AND('UP133'!BF91,"AAAAAH699fA=")</f>
        <v>#VALUE!</v>
      </c>
      <c r="IH128" t="e">
        <f>AND('UP133'!BG91,"AAAAAH699fE=")</f>
        <v>#VALUE!</v>
      </c>
      <c r="II128" t="e">
        <f>AND('UP133'!BH91,"AAAAAH699fI=")</f>
        <v>#VALUE!</v>
      </c>
      <c r="IJ128" t="e">
        <f>AND('UP133'!BI91,"AAAAAH699fM=")</f>
        <v>#VALUE!</v>
      </c>
      <c r="IK128" t="e">
        <f>AND('UP133'!BJ91,"AAAAAH699fQ=")</f>
        <v>#VALUE!</v>
      </c>
      <c r="IL128" t="e">
        <f>AND('UP133'!BK91,"AAAAAH699fU=")</f>
        <v>#VALUE!</v>
      </c>
      <c r="IM128" t="e">
        <f>AND('UP133'!BL91,"AAAAAH699fY=")</f>
        <v>#VALUE!</v>
      </c>
      <c r="IN128" t="e">
        <f>AND('UP133'!BM91,"AAAAAH699fc=")</f>
        <v>#VALUE!</v>
      </c>
      <c r="IO128" t="e">
        <f>AND('UP133'!BN91,"AAAAAH699fg=")</f>
        <v>#VALUE!</v>
      </c>
      <c r="IP128" t="e">
        <f>AND('UP133'!BO91,"AAAAAH699fk=")</f>
        <v>#VALUE!</v>
      </c>
      <c r="IQ128" t="e">
        <f>AND('UP133'!BP91,"AAAAAH699fo=")</f>
        <v>#VALUE!</v>
      </c>
      <c r="IR128" t="e">
        <f>AND('UP133'!BQ91,"AAAAAH699fs=")</f>
        <v>#VALUE!</v>
      </c>
      <c r="IS128" t="e">
        <f>AND('UP133'!BR91,"AAAAAH699fw=")</f>
        <v>#VALUE!</v>
      </c>
      <c r="IT128" t="e">
        <f>AND('UP133'!BS91,"AAAAAH699f0=")</f>
        <v>#VALUE!</v>
      </c>
      <c r="IU128" t="e">
        <f>AND('UP133'!BT91,"AAAAAH699f4=")</f>
        <v>#VALUE!</v>
      </c>
      <c r="IV128" t="e">
        <f>AND('UP133'!BU91,"AAAAAH699f8=")</f>
        <v>#VALUE!</v>
      </c>
    </row>
    <row r="129" spans="1:256">
      <c r="A129" t="e">
        <f>AND('UP133'!BV91,"AAAAABn7fwA=")</f>
        <v>#VALUE!</v>
      </c>
      <c r="B129" t="e">
        <f>AND('UP133'!BW91,"AAAAABn7fwE=")</f>
        <v>#VALUE!</v>
      </c>
      <c r="C129" t="e">
        <f>AND('UP133'!BX91,"AAAAABn7fwI=")</f>
        <v>#VALUE!</v>
      </c>
      <c r="D129" t="e">
        <f>AND('UP133'!BY91,"AAAAABn7fwM=")</f>
        <v>#VALUE!</v>
      </c>
      <c r="E129" t="e">
        <f>AND('UP133'!BZ91,"AAAAABn7fwQ=")</f>
        <v>#VALUE!</v>
      </c>
      <c r="F129" t="e">
        <f>AND('UP133'!CA91,"AAAAABn7fwU=")</f>
        <v>#VALUE!</v>
      </c>
      <c r="G129" t="e">
        <f>AND('UP133'!CB91,"AAAAABn7fwY=")</f>
        <v>#VALUE!</v>
      </c>
      <c r="H129" t="e">
        <f>AND('UP133'!CC91,"AAAAABn7fwc=")</f>
        <v>#VALUE!</v>
      </c>
      <c r="I129" t="e">
        <f>AND('UP133'!CD91,"AAAAABn7fwg=")</f>
        <v>#VALUE!</v>
      </c>
      <c r="J129" t="e">
        <f>AND('UP133'!CE91,"AAAAABn7fwk=")</f>
        <v>#VALUE!</v>
      </c>
      <c r="K129" t="e">
        <f>AND('UP133'!CF91,"AAAAABn7fwo=")</f>
        <v>#VALUE!</v>
      </c>
      <c r="L129" t="e">
        <f>AND('UP133'!CG91,"AAAAABn7fws=")</f>
        <v>#VALUE!</v>
      </c>
      <c r="M129" t="e">
        <f>AND('UP133'!CH91,"AAAAABn7fww=")</f>
        <v>#VALUE!</v>
      </c>
      <c r="N129" t="e">
        <f>AND('UP133'!CI91,"AAAAABn7fw0=")</f>
        <v>#VALUE!</v>
      </c>
      <c r="O129" t="e">
        <f>AND('UP133'!CJ91,"AAAAABn7fw4=")</f>
        <v>#VALUE!</v>
      </c>
      <c r="P129" t="e">
        <f>AND('UP133'!CK91,"AAAAABn7fw8=")</f>
        <v>#VALUE!</v>
      </c>
      <c r="Q129" t="e">
        <f>AND('UP133'!CL91,"AAAAABn7fxA=")</f>
        <v>#VALUE!</v>
      </c>
      <c r="R129" t="e">
        <f>AND('UP133'!CM91,"AAAAABn7fxE=")</f>
        <v>#VALUE!</v>
      </c>
      <c r="S129" t="e">
        <f>AND('UP133'!CN91,"AAAAABn7fxI=")</f>
        <v>#VALUE!</v>
      </c>
      <c r="T129" t="e">
        <f>AND('UP133'!CO91,"AAAAABn7fxM=")</f>
        <v>#VALUE!</v>
      </c>
      <c r="U129" t="e">
        <f>AND('UP133'!CP91,"AAAAABn7fxQ=")</f>
        <v>#VALUE!</v>
      </c>
      <c r="V129" t="e">
        <f>AND('UP133'!CQ91,"AAAAABn7fxU=")</f>
        <v>#VALUE!</v>
      </c>
      <c r="W129" t="e">
        <f>AND('UP133'!CR91,"AAAAABn7fxY=")</f>
        <v>#VALUE!</v>
      </c>
      <c r="X129" t="e">
        <f>AND('UP133'!CS91,"AAAAABn7fxc=")</f>
        <v>#VALUE!</v>
      </c>
      <c r="Y129" t="e">
        <f>AND('UP133'!CT91,"AAAAABn7fxg=")</f>
        <v>#VALUE!</v>
      </c>
      <c r="Z129" t="e">
        <f>AND('UP133'!CU91,"AAAAABn7fxk=")</f>
        <v>#VALUE!</v>
      </c>
      <c r="AA129" t="e">
        <f>AND('UP133'!CV91,"AAAAABn7fxo=")</f>
        <v>#VALUE!</v>
      </c>
      <c r="AB129" t="e">
        <f>AND('UP133'!CW91,"AAAAABn7fxs=")</f>
        <v>#VALUE!</v>
      </c>
      <c r="AC129" t="e">
        <f>AND('UP133'!CX91,"AAAAABn7fxw=")</f>
        <v>#VALUE!</v>
      </c>
      <c r="AD129" t="e">
        <f>AND('UP133'!CY91,"AAAAABn7fx0=")</f>
        <v>#VALUE!</v>
      </c>
      <c r="AE129" t="e">
        <f>AND('UP133'!CZ91,"AAAAABn7fx4=")</f>
        <v>#VALUE!</v>
      </c>
      <c r="AF129" t="e">
        <f>AND('UP133'!DA91,"AAAAABn7fx8=")</f>
        <v>#VALUE!</v>
      </c>
      <c r="AG129" t="e">
        <f>AND('UP133'!DB91,"AAAAABn7fyA=")</f>
        <v>#VALUE!</v>
      </c>
      <c r="AH129" t="e">
        <f>AND('UP133'!DC91,"AAAAABn7fyE=")</f>
        <v>#VALUE!</v>
      </c>
      <c r="AI129" t="e">
        <f>AND('UP133'!DD91,"AAAAABn7fyI=")</f>
        <v>#VALUE!</v>
      </c>
      <c r="AJ129" t="e">
        <f>AND('UP133'!DE91,"AAAAABn7fyM=")</f>
        <v>#VALUE!</v>
      </c>
      <c r="AK129" t="e">
        <f>AND('UP133'!DF91,"AAAAABn7fyQ=")</f>
        <v>#VALUE!</v>
      </c>
      <c r="AL129" t="e">
        <f>AND('UP133'!DG91,"AAAAABn7fyU=")</f>
        <v>#VALUE!</v>
      </c>
      <c r="AM129" t="e">
        <f>AND('UP133'!DH91,"AAAAABn7fyY=")</f>
        <v>#VALUE!</v>
      </c>
      <c r="AN129" t="e">
        <f>AND('UP133'!DI91,"AAAAABn7fyc=")</f>
        <v>#VALUE!</v>
      </c>
      <c r="AO129" t="e">
        <f>AND('UP133'!DJ91,"AAAAABn7fyg=")</f>
        <v>#VALUE!</v>
      </c>
      <c r="AP129" t="e">
        <f>AND('UP133'!DK91,"AAAAABn7fyk=")</f>
        <v>#VALUE!</v>
      </c>
      <c r="AQ129" t="e">
        <f>AND('UP133'!DL91,"AAAAABn7fyo=")</f>
        <v>#VALUE!</v>
      </c>
      <c r="AR129" t="e">
        <f>AND('UP133'!DM91,"AAAAABn7fys=")</f>
        <v>#VALUE!</v>
      </c>
      <c r="AS129" t="e">
        <f>AND('UP133'!DN91,"AAAAABn7fyw=")</f>
        <v>#VALUE!</v>
      </c>
      <c r="AT129" t="e">
        <f>AND('UP133'!DO91,"AAAAABn7fy0=")</f>
        <v>#VALUE!</v>
      </c>
      <c r="AU129" t="e">
        <f>AND('UP133'!DP91,"AAAAABn7fy4=")</f>
        <v>#VALUE!</v>
      </c>
      <c r="AV129" t="e">
        <f>AND('UP133'!DQ91,"AAAAABn7fy8=")</f>
        <v>#VALUE!</v>
      </c>
      <c r="AW129" t="e">
        <f>AND('UP133'!DR91,"AAAAABn7fzA=")</f>
        <v>#VALUE!</v>
      </c>
      <c r="AX129" t="e">
        <f>AND('UP133'!DS91,"AAAAABn7fzE=")</f>
        <v>#VALUE!</v>
      </c>
      <c r="AY129" t="e">
        <f>AND('UP133'!DT91,"AAAAABn7fzI=")</f>
        <v>#VALUE!</v>
      </c>
      <c r="AZ129" t="e">
        <f>AND('UP133'!DU91,"AAAAABn7fzM=")</f>
        <v>#VALUE!</v>
      </c>
      <c r="BA129" t="e">
        <f>AND('UP133'!DV91,"AAAAABn7fzQ=")</f>
        <v>#VALUE!</v>
      </c>
      <c r="BB129" t="e">
        <f>AND('UP133'!DW91,"AAAAABn7fzU=")</f>
        <v>#VALUE!</v>
      </c>
      <c r="BC129" t="e">
        <f>AND('UP133'!DX91,"AAAAABn7fzY=")</f>
        <v>#VALUE!</v>
      </c>
      <c r="BD129" t="e">
        <f>AND('UP133'!DY91,"AAAAABn7fzc=")</f>
        <v>#VALUE!</v>
      </c>
      <c r="BE129" t="e">
        <f>AND('UP133'!DZ91,"AAAAABn7fzg=")</f>
        <v>#VALUE!</v>
      </c>
      <c r="BF129" t="e">
        <f>AND('UP133'!EA91,"AAAAABn7fzk=")</f>
        <v>#VALUE!</v>
      </c>
      <c r="BG129" t="e">
        <f>AND('UP133'!EB91,"AAAAABn7fzo=")</f>
        <v>#VALUE!</v>
      </c>
      <c r="BH129" t="e">
        <f>AND('UP133'!EC91,"AAAAABn7fzs=")</f>
        <v>#VALUE!</v>
      </c>
      <c r="BI129" t="e">
        <f>AND('UP133'!ED91,"AAAAABn7fzw=")</f>
        <v>#VALUE!</v>
      </c>
      <c r="BJ129" t="e">
        <f>AND('UP133'!EE91,"AAAAABn7fz0=")</f>
        <v>#VALUE!</v>
      </c>
      <c r="BK129" t="e">
        <f>AND('UP133'!EF91,"AAAAABn7fz4=")</f>
        <v>#VALUE!</v>
      </c>
      <c r="BL129" t="e">
        <f>AND('UP133'!EG91,"AAAAABn7fz8=")</f>
        <v>#VALUE!</v>
      </c>
      <c r="BM129" t="e">
        <f>AND('UP133'!EH91,"AAAAABn7f0A=")</f>
        <v>#VALUE!</v>
      </c>
      <c r="BN129" t="e">
        <f>AND('UP133'!EI91,"AAAAABn7f0E=")</f>
        <v>#VALUE!</v>
      </c>
      <c r="BO129" t="e">
        <f>AND('UP133'!EJ91,"AAAAABn7f0I=")</f>
        <v>#VALUE!</v>
      </c>
      <c r="BP129" t="e">
        <f>AND('UP133'!EK91,"AAAAABn7f0M=")</f>
        <v>#VALUE!</v>
      </c>
      <c r="BQ129" t="e">
        <f>AND('UP133'!EL91,"AAAAABn7f0Q=")</f>
        <v>#VALUE!</v>
      </c>
      <c r="BR129" t="e">
        <f>AND('UP133'!EM91,"AAAAABn7f0U=")</f>
        <v>#VALUE!</v>
      </c>
      <c r="BS129" t="e">
        <f>AND('UP133'!EN91,"AAAAABn7f0Y=")</f>
        <v>#VALUE!</v>
      </c>
      <c r="BT129" t="e">
        <f>AND('UP133'!EO91,"AAAAABn7f0c=")</f>
        <v>#VALUE!</v>
      </c>
      <c r="BU129" t="e">
        <f>AND('UP133'!EP91,"AAAAABn7f0g=")</f>
        <v>#VALUE!</v>
      </c>
      <c r="BV129" t="e">
        <f>AND('UP133'!EQ91,"AAAAABn7f0k=")</f>
        <v>#VALUE!</v>
      </c>
      <c r="BW129" t="e">
        <f>AND('UP133'!ER91,"AAAAABn7f0o=")</f>
        <v>#VALUE!</v>
      </c>
      <c r="BX129" t="e">
        <f>AND('UP133'!ES91,"AAAAABn7f0s=")</f>
        <v>#VALUE!</v>
      </c>
      <c r="BY129" t="e">
        <f>AND('UP133'!ET91,"AAAAABn7f0w=")</f>
        <v>#VALUE!</v>
      </c>
      <c r="BZ129" t="e">
        <f>AND('UP133'!EU91,"AAAAABn7f00=")</f>
        <v>#VALUE!</v>
      </c>
      <c r="CA129" t="e">
        <f>AND('UP133'!EV91,"AAAAABn7f04=")</f>
        <v>#VALUE!</v>
      </c>
      <c r="CB129" t="e">
        <f>AND('UP133'!EW91,"AAAAABn7f08=")</f>
        <v>#VALUE!</v>
      </c>
      <c r="CC129" t="e">
        <f>AND('UP133'!EX91,"AAAAABn7f1A=")</f>
        <v>#VALUE!</v>
      </c>
      <c r="CD129" t="e">
        <f>AND('UP133'!EY91,"AAAAABn7f1E=")</f>
        <v>#VALUE!</v>
      </c>
      <c r="CE129" t="e">
        <f>AND('UP133'!EZ91,"AAAAABn7f1I=")</f>
        <v>#VALUE!</v>
      </c>
      <c r="CF129" t="e">
        <f>AND('UP133'!FA91,"AAAAABn7f1M=")</f>
        <v>#VALUE!</v>
      </c>
      <c r="CG129" t="e">
        <f>AND('UP133'!FB91,"AAAAABn7f1Q=")</f>
        <v>#VALUE!</v>
      </c>
      <c r="CH129" t="e">
        <f>AND('UP133'!FC91,"AAAAABn7f1U=")</f>
        <v>#VALUE!</v>
      </c>
      <c r="CI129" t="e">
        <f>AND('UP133'!FD91,"AAAAABn7f1Y=")</f>
        <v>#VALUE!</v>
      </c>
      <c r="CJ129" t="e">
        <f>AND('UP133'!FE91,"AAAAABn7f1c=")</f>
        <v>#VALUE!</v>
      </c>
      <c r="CK129" t="e">
        <f>AND('UP133'!FF91,"AAAAABn7f1g=")</f>
        <v>#VALUE!</v>
      </c>
      <c r="CL129" t="e">
        <f>AND('UP133'!FG91,"AAAAABn7f1k=")</f>
        <v>#VALUE!</v>
      </c>
      <c r="CM129" t="e">
        <f>AND('UP133'!FH91,"AAAAABn7f1o=")</f>
        <v>#VALUE!</v>
      </c>
      <c r="CN129" t="e">
        <f>AND('UP133'!FI91,"AAAAABn7f1s=")</f>
        <v>#VALUE!</v>
      </c>
      <c r="CO129" t="e">
        <f>AND('UP133'!FJ91,"AAAAABn7f1w=")</f>
        <v>#VALUE!</v>
      </c>
      <c r="CP129" t="e">
        <f>AND('UP133'!FK91,"AAAAABn7f10=")</f>
        <v>#VALUE!</v>
      </c>
      <c r="CQ129" t="e">
        <f>AND('UP133'!FL91,"AAAAABn7f14=")</f>
        <v>#VALUE!</v>
      </c>
      <c r="CR129" t="e">
        <f>AND('UP133'!FM91,"AAAAABn7f18=")</f>
        <v>#VALUE!</v>
      </c>
      <c r="CS129" t="e">
        <f>AND('UP133'!FN91,"AAAAABn7f2A=")</f>
        <v>#VALUE!</v>
      </c>
      <c r="CT129" t="e">
        <f>AND('UP133'!FO91,"AAAAABn7f2E=")</f>
        <v>#VALUE!</v>
      </c>
      <c r="CU129" t="e">
        <f>AND('UP133'!FP91,"AAAAABn7f2I=")</f>
        <v>#VALUE!</v>
      </c>
      <c r="CV129" t="e">
        <f>AND('UP133'!FQ91,"AAAAABn7f2M=")</f>
        <v>#VALUE!</v>
      </c>
      <c r="CW129" t="e">
        <f>AND('UP133'!FR91,"AAAAABn7f2Q=")</f>
        <v>#VALUE!</v>
      </c>
      <c r="CX129" t="e">
        <f>AND('UP133'!FS91,"AAAAABn7f2U=")</f>
        <v>#VALUE!</v>
      </c>
      <c r="CY129" t="e">
        <f>AND('UP133'!FT91,"AAAAABn7f2Y=")</f>
        <v>#VALUE!</v>
      </c>
      <c r="CZ129" t="e">
        <f>AND('UP133'!FU91,"AAAAABn7f2c=")</f>
        <v>#VALUE!</v>
      </c>
      <c r="DA129" t="e">
        <f>AND('UP133'!FV91,"AAAAABn7f2g=")</f>
        <v>#VALUE!</v>
      </c>
      <c r="DB129" t="e">
        <f>AND('UP133'!FW91,"AAAAABn7f2k=")</f>
        <v>#VALUE!</v>
      </c>
      <c r="DC129" t="e">
        <f>AND('UP133'!FX91,"AAAAABn7f2o=")</f>
        <v>#VALUE!</v>
      </c>
      <c r="DD129" t="e">
        <f>AND('UP133'!FY91,"AAAAABn7f2s=")</f>
        <v>#VALUE!</v>
      </c>
      <c r="DE129" t="e">
        <f>AND('UP133'!FZ91,"AAAAABn7f2w=")</f>
        <v>#VALUE!</v>
      </c>
      <c r="DF129" t="e">
        <f>AND('UP133'!GA91,"AAAAABn7f20=")</f>
        <v>#VALUE!</v>
      </c>
      <c r="DG129" t="e">
        <f>AND('UP133'!GB91,"AAAAABn7f24=")</f>
        <v>#VALUE!</v>
      </c>
      <c r="DH129" t="e">
        <f>AND('UP133'!GC91,"AAAAABn7f28=")</f>
        <v>#VALUE!</v>
      </c>
      <c r="DI129" t="e">
        <f>AND('UP133'!GD91,"AAAAABn7f3A=")</f>
        <v>#VALUE!</v>
      </c>
      <c r="DJ129" t="e">
        <f>AND('UP133'!GE91,"AAAAABn7f3E=")</f>
        <v>#VALUE!</v>
      </c>
      <c r="DK129" t="e">
        <f>AND('UP133'!GF91,"AAAAABn7f3I=")</f>
        <v>#VALUE!</v>
      </c>
      <c r="DL129" t="e">
        <f>AND('UP133'!GG91,"AAAAABn7f3M=")</f>
        <v>#VALUE!</v>
      </c>
      <c r="DM129" t="e">
        <f>AND('UP133'!GH91,"AAAAABn7f3Q=")</f>
        <v>#VALUE!</v>
      </c>
      <c r="DN129" t="e">
        <f>AND('UP133'!GI91,"AAAAABn7f3U=")</f>
        <v>#VALUE!</v>
      </c>
      <c r="DO129" t="e">
        <f>AND('UP133'!GJ91,"AAAAABn7f3Y=")</f>
        <v>#VALUE!</v>
      </c>
      <c r="DP129" t="e">
        <f>AND('UP133'!GK91,"AAAAABn7f3c=")</f>
        <v>#VALUE!</v>
      </c>
      <c r="DQ129" t="e">
        <f>AND('UP133'!GL91,"AAAAABn7f3g=")</f>
        <v>#VALUE!</v>
      </c>
      <c r="DR129" t="e">
        <f>AND('UP133'!GM91,"AAAAABn7f3k=")</f>
        <v>#VALUE!</v>
      </c>
      <c r="DS129" t="e">
        <f>AND('UP133'!GN91,"AAAAABn7f3o=")</f>
        <v>#VALUE!</v>
      </c>
      <c r="DT129" t="e">
        <f>AND('UP133'!GO91,"AAAAABn7f3s=")</f>
        <v>#VALUE!</v>
      </c>
      <c r="DU129" t="e">
        <f>AND('UP133'!GP91,"AAAAABn7f3w=")</f>
        <v>#VALUE!</v>
      </c>
      <c r="DV129" t="e">
        <f>AND('UP133'!GQ91,"AAAAABn7f30=")</f>
        <v>#VALUE!</v>
      </c>
      <c r="DW129" t="e">
        <f>AND('UP133'!GR91,"AAAAABn7f34=")</f>
        <v>#VALUE!</v>
      </c>
      <c r="DX129" t="e">
        <f>AND('UP133'!GS91,"AAAAABn7f38=")</f>
        <v>#VALUE!</v>
      </c>
      <c r="DY129" t="e">
        <f>AND('UP133'!GT91,"AAAAABn7f4A=")</f>
        <v>#VALUE!</v>
      </c>
      <c r="DZ129" t="e">
        <f>AND('UP133'!GU91,"AAAAABn7f4E=")</f>
        <v>#VALUE!</v>
      </c>
      <c r="EA129" t="e">
        <f>AND('UP133'!GV91,"AAAAABn7f4I=")</f>
        <v>#VALUE!</v>
      </c>
      <c r="EB129" t="e">
        <f>AND('UP133'!GW91,"AAAAABn7f4M=")</f>
        <v>#VALUE!</v>
      </c>
      <c r="EC129" t="e">
        <f>AND('UP133'!GX91,"AAAAABn7f4Q=")</f>
        <v>#VALUE!</v>
      </c>
      <c r="ED129" t="e">
        <f>AND('UP133'!GY91,"AAAAABn7f4U=")</f>
        <v>#VALUE!</v>
      </c>
      <c r="EE129" t="e">
        <f>AND('UP133'!GZ91,"AAAAABn7f4Y=")</f>
        <v>#VALUE!</v>
      </c>
      <c r="EF129" t="e">
        <f>AND('UP133'!HA91,"AAAAABn7f4c=")</f>
        <v>#VALUE!</v>
      </c>
      <c r="EG129" t="e">
        <f>AND('UP133'!HB91,"AAAAABn7f4g=")</f>
        <v>#VALUE!</v>
      </c>
      <c r="EH129" t="e">
        <f>AND('UP133'!HC91,"AAAAABn7f4k=")</f>
        <v>#VALUE!</v>
      </c>
      <c r="EI129" t="e">
        <f>AND('UP133'!HD91,"AAAAABn7f4o=")</f>
        <v>#VALUE!</v>
      </c>
      <c r="EJ129" t="e">
        <f>AND('UP133'!HE91,"AAAAABn7f4s=")</f>
        <v>#VALUE!</v>
      </c>
      <c r="EK129" t="e">
        <f>AND('UP133'!HF91,"AAAAABn7f4w=")</f>
        <v>#VALUE!</v>
      </c>
      <c r="EL129" t="e">
        <f>AND('UP133'!HG91,"AAAAABn7f40=")</f>
        <v>#VALUE!</v>
      </c>
      <c r="EM129" t="e">
        <f>AND('UP133'!HH91,"AAAAABn7f44=")</f>
        <v>#VALUE!</v>
      </c>
      <c r="EN129" t="e">
        <f>AND('UP133'!HI91,"AAAAABn7f48=")</f>
        <v>#VALUE!</v>
      </c>
      <c r="EO129" t="e">
        <f>AND('UP133'!HJ91,"AAAAABn7f5A=")</f>
        <v>#VALUE!</v>
      </c>
      <c r="EP129" t="e">
        <f>AND('UP133'!HK91,"AAAAABn7f5E=")</f>
        <v>#VALUE!</v>
      </c>
      <c r="EQ129" t="e">
        <f>AND('UP133'!HL91,"AAAAABn7f5I=")</f>
        <v>#VALUE!</v>
      </c>
      <c r="ER129" t="e">
        <f>AND('UP133'!HM91,"AAAAABn7f5M=")</f>
        <v>#VALUE!</v>
      </c>
      <c r="ES129" t="e">
        <f>AND('UP133'!HN91,"AAAAABn7f5Q=")</f>
        <v>#VALUE!</v>
      </c>
      <c r="ET129" t="e">
        <f>AND('UP133'!HO91,"AAAAABn7f5U=")</f>
        <v>#VALUE!</v>
      </c>
      <c r="EU129" t="e">
        <f>AND('UP133'!HP91,"AAAAABn7f5Y=")</f>
        <v>#VALUE!</v>
      </c>
      <c r="EV129" t="e">
        <f>AND('UP133'!HQ91,"AAAAABn7f5c=")</f>
        <v>#VALUE!</v>
      </c>
      <c r="EW129" t="e">
        <f>AND('UP133'!HR91,"AAAAABn7f5g=")</f>
        <v>#VALUE!</v>
      </c>
      <c r="EX129" t="e">
        <f>AND('UP133'!HS91,"AAAAABn7f5k=")</f>
        <v>#VALUE!</v>
      </c>
      <c r="EY129" t="e">
        <f>AND('UP133'!HT91,"AAAAABn7f5o=")</f>
        <v>#VALUE!</v>
      </c>
      <c r="EZ129" t="e">
        <f>AND('UP133'!HU91,"AAAAABn7f5s=")</f>
        <v>#VALUE!</v>
      </c>
      <c r="FA129" t="e">
        <f>AND('UP133'!HV91,"AAAAABn7f5w=")</f>
        <v>#VALUE!</v>
      </c>
      <c r="FB129" t="e">
        <f>AND('UP133'!HW91,"AAAAABn7f50=")</f>
        <v>#VALUE!</v>
      </c>
      <c r="FC129" t="e">
        <f>AND('UP133'!HX91,"AAAAABn7f54=")</f>
        <v>#VALUE!</v>
      </c>
      <c r="FD129" t="e">
        <f>AND('UP133'!HY91,"AAAAABn7f58=")</f>
        <v>#VALUE!</v>
      </c>
      <c r="FE129" t="e">
        <f>AND('UP133'!HZ91,"AAAAABn7f6A=")</f>
        <v>#VALUE!</v>
      </c>
      <c r="FF129" t="e">
        <f>AND('UP133'!IA91,"AAAAABn7f6E=")</f>
        <v>#VALUE!</v>
      </c>
      <c r="FG129" t="e">
        <f>AND('UP133'!IB91,"AAAAABn7f6I=")</f>
        <v>#VALUE!</v>
      </c>
      <c r="FH129" t="e">
        <f>AND('UP133'!IC91,"AAAAABn7f6M=")</f>
        <v>#VALUE!</v>
      </c>
      <c r="FI129" t="e">
        <f>AND('UP133'!ID91,"AAAAABn7f6Q=")</f>
        <v>#VALUE!</v>
      </c>
      <c r="FJ129" t="e">
        <f>AND('UP133'!IE91,"AAAAABn7f6U=")</f>
        <v>#VALUE!</v>
      </c>
      <c r="FK129" t="e">
        <f>AND('UP133'!IF91,"AAAAABn7f6Y=")</f>
        <v>#VALUE!</v>
      </c>
      <c r="FL129" t="e">
        <f>AND('UP133'!IG91,"AAAAABn7f6c=")</f>
        <v>#VALUE!</v>
      </c>
      <c r="FM129" t="e">
        <f>AND('UP133'!IH91,"AAAAABn7f6g=")</f>
        <v>#VALUE!</v>
      </c>
      <c r="FN129" t="e">
        <f>AND('UP133'!II91,"AAAAABn7f6k=")</f>
        <v>#VALUE!</v>
      </c>
      <c r="FO129" t="e">
        <f>AND('UP133'!IJ91,"AAAAABn7f6o=")</f>
        <v>#VALUE!</v>
      </c>
      <c r="FP129" t="e">
        <f>AND('UP133'!IK91,"AAAAABn7f6s=")</f>
        <v>#VALUE!</v>
      </c>
      <c r="FQ129" t="e">
        <f>AND('UP133'!IL91,"AAAAABn7f6w=")</f>
        <v>#VALUE!</v>
      </c>
      <c r="FR129" t="e">
        <f>AND('UP133'!IM91,"AAAAABn7f60=")</f>
        <v>#VALUE!</v>
      </c>
      <c r="FS129" t="e">
        <f>AND('UP133'!IN91,"AAAAABn7f64=")</f>
        <v>#VALUE!</v>
      </c>
      <c r="FT129" t="e">
        <f>AND('UP133'!IO91,"AAAAABn7f68=")</f>
        <v>#VALUE!</v>
      </c>
      <c r="FU129" t="e">
        <f>AND('UP133'!IP91,"AAAAABn7f7A=")</f>
        <v>#VALUE!</v>
      </c>
      <c r="FV129" t="e">
        <f>AND('UP133'!IQ91,"AAAAABn7f7E=")</f>
        <v>#VALUE!</v>
      </c>
      <c r="FW129">
        <f>IF('UP133'!92:92,"AAAAABn7f7I=",0)</f>
        <v>0</v>
      </c>
      <c r="FX129" t="e">
        <f>AND('UP133'!A92,"AAAAABn7f7M=")</f>
        <v>#VALUE!</v>
      </c>
      <c r="FY129" t="e">
        <f>AND('UP133'!B92,"AAAAABn7f7Q=")</f>
        <v>#VALUE!</v>
      </c>
      <c r="FZ129" t="e">
        <f>AND('UP133'!C92,"AAAAABn7f7U=")</f>
        <v>#VALUE!</v>
      </c>
      <c r="GA129" t="e">
        <f>AND('UP133'!D92,"AAAAABn7f7Y=")</f>
        <v>#VALUE!</v>
      </c>
      <c r="GB129" t="e">
        <f>AND('UP133'!E92,"AAAAABn7f7c=")</f>
        <v>#VALUE!</v>
      </c>
      <c r="GC129" t="e">
        <f>AND('UP133'!F92,"AAAAABn7f7g=")</f>
        <v>#VALUE!</v>
      </c>
      <c r="GD129" t="e">
        <f>AND('UP133'!G92,"AAAAABn7f7k=")</f>
        <v>#VALUE!</v>
      </c>
      <c r="GE129" t="e">
        <f>AND('UP133'!H92,"AAAAABn7f7o=")</f>
        <v>#VALUE!</v>
      </c>
      <c r="GF129" t="e">
        <f>AND('UP133'!I92,"AAAAABn7f7s=")</f>
        <v>#VALUE!</v>
      </c>
      <c r="GG129" t="e">
        <f>AND('UP133'!J92,"AAAAABn7f7w=")</f>
        <v>#VALUE!</v>
      </c>
      <c r="GH129" t="e">
        <f>AND('UP133'!K92,"AAAAABn7f70=")</f>
        <v>#VALUE!</v>
      </c>
      <c r="GI129" t="e">
        <f>AND('UP133'!L92,"AAAAABn7f74=")</f>
        <v>#VALUE!</v>
      </c>
      <c r="GJ129" t="e">
        <f>AND('UP133'!M92,"AAAAABn7f78=")</f>
        <v>#VALUE!</v>
      </c>
      <c r="GK129" t="e">
        <f>AND('UP133'!N92,"AAAAABn7f8A=")</f>
        <v>#VALUE!</v>
      </c>
      <c r="GL129" t="e">
        <f>AND('UP133'!O92,"AAAAABn7f8E=")</f>
        <v>#VALUE!</v>
      </c>
      <c r="GM129" t="e">
        <f>AND('UP133'!P92,"AAAAABn7f8I=")</f>
        <v>#VALUE!</v>
      </c>
      <c r="GN129" t="e">
        <f>AND('UP133'!Q92,"AAAAABn7f8M=")</f>
        <v>#VALUE!</v>
      </c>
      <c r="GO129" t="e">
        <f>AND('UP133'!R92,"AAAAABn7f8Q=")</f>
        <v>#VALUE!</v>
      </c>
      <c r="GP129" t="e">
        <f>AND('UP133'!S92,"AAAAABn7f8U=")</f>
        <v>#VALUE!</v>
      </c>
      <c r="GQ129" t="e">
        <f>AND('UP133'!T92,"AAAAABn7f8Y=")</f>
        <v>#VALUE!</v>
      </c>
      <c r="GR129" t="e">
        <f>AND('UP133'!U92,"AAAAABn7f8c=")</f>
        <v>#VALUE!</v>
      </c>
      <c r="GS129" t="e">
        <f>AND('UP133'!V92,"AAAAABn7f8g=")</f>
        <v>#VALUE!</v>
      </c>
      <c r="GT129" t="e">
        <f>AND('UP133'!W92,"AAAAABn7f8k=")</f>
        <v>#VALUE!</v>
      </c>
      <c r="GU129" t="e">
        <f>AND('UP133'!X92,"AAAAABn7f8o=")</f>
        <v>#VALUE!</v>
      </c>
      <c r="GV129" t="e">
        <f>AND('UP133'!Y92,"AAAAABn7f8s=")</f>
        <v>#VALUE!</v>
      </c>
      <c r="GW129" t="e">
        <f>AND('UP133'!Z92,"AAAAABn7f8w=")</f>
        <v>#VALUE!</v>
      </c>
      <c r="GX129" t="e">
        <f>AND('UP133'!AA92,"AAAAABn7f80=")</f>
        <v>#VALUE!</v>
      </c>
      <c r="GY129" t="e">
        <f>AND('UP133'!AB92,"AAAAABn7f84=")</f>
        <v>#VALUE!</v>
      </c>
      <c r="GZ129" t="e">
        <f>AND('UP133'!AC92,"AAAAABn7f88=")</f>
        <v>#VALUE!</v>
      </c>
      <c r="HA129" t="e">
        <f>AND('UP133'!AD92,"AAAAABn7f9A=")</f>
        <v>#VALUE!</v>
      </c>
      <c r="HB129" t="e">
        <f>AND('UP133'!AE92,"AAAAABn7f9E=")</f>
        <v>#VALUE!</v>
      </c>
      <c r="HC129" t="e">
        <f>AND('UP133'!AF92,"AAAAABn7f9I=")</f>
        <v>#VALUE!</v>
      </c>
      <c r="HD129" t="e">
        <f>AND('UP133'!AG92,"AAAAABn7f9M=")</f>
        <v>#VALUE!</v>
      </c>
      <c r="HE129" t="e">
        <f>AND('UP133'!AH92,"AAAAABn7f9Q=")</f>
        <v>#VALUE!</v>
      </c>
      <c r="HF129" t="e">
        <f>AND('UP133'!AI92,"AAAAABn7f9U=")</f>
        <v>#VALUE!</v>
      </c>
      <c r="HG129" t="e">
        <f>AND('UP133'!AJ92,"AAAAABn7f9Y=")</f>
        <v>#VALUE!</v>
      </c>
      <c r="HH129" t="e">
        <f>AND('UP133'!AK92,"AAAAABn7f9c=")</f>
        <v>#VALUE!</v>
      </c>
      <c r="HI129" t="e">
        <f>AND('UP133'!AL92,"AAAAABn7f9g=")</f>
        <v>#VALUE!</v>
      </c>
      <c r="HJ129" t="e">
        <f>AND('UP133'!AM92,"AAAAABn7f9k=")</f>
        <v>#VALUE!</v>
      </c>
      <c r="HK129" t="e">
        <f>AND('UP133'!AN92,"AAAAABn7f9o=")</f>
        <v>#VALUE!</v>
      </c>
      <c r="HL129" t="e">
        <f>AND('UP133'!AO92,"AAAAABn7f9s=")</f>
        <v>#VALUE!</v>
      </c>
      <c r="HM129" t="e">
        <f>AND('UP133'!AP92,"AAAAABn7f9w=")</f>
        <v>#VALUE!</v>
      </c>
      <c r="HN129" t="e">
        <f>AND('UP133'!AQ92,"AAAAABn7f90=")</f>
        <v>#VALUE!</v>
      </c>
      <c r="HO129" t="e">
        <f>AND('UP133'!AR92,"AAAAABn7f94=")</f>
        <v>#VALUE!</v>
      </c>
      <c r="HP129" t="e">
        <f>AND('UP133'!AS92,"AAAAABn7f98=")</f>
        <v>#VALUE!</v>
      </c>
      <c r="HQ129" t="e">
        <f>AND('UP133'!AT92,"AAAAABn7f+A=")</f>
        <v>#VALUE!</v>
      </c>
      <c r="HR129" t="e">
        <f>AND('UP133'!AU92,"AAAAABn7f+E=")</f>
        <v>#VALUE!</v>
      </c>
      <c r="HS129" t="e">
        <f>AND('UP133'!AV92,"AAAAABn7f+I=")</f>
        <v>#VALUE!</v>
      </c>
      <c r="HT129" t="e">
        <f>AND('UP133'!AW92,"AAAAABn7f+M=")</f>
        <v>#VALUE!</v>
      </c>
      <c r="HU129" t="e">
        <f>AND('UP133'!AX92,"AAAAABn7f+Q=")</f>
        <v>#VALUE!</v>
      </c>
      <c r="HV129" t="e">
        <f>AND('UP133'!AY92,"AAAAABn7f+U=")</f>
        <v>#VALUE!</v>
      </c>
      <c r="HW129" t="e">
        <f>AND('UP133'!AZ92,"AAAAABn7f+Y=")</f>
        <v>#VALUE!</v>
      </c>
      <c r="HX129" t="e">
        <f>AND('UP133'!BA92,"AAAAABn7f+c=")</f>
        <v>#VALUE!</v>
      </c>
      <c r="HY129" t="e">
        <f>AND('UP133'!BB92,"AAAAABn7f+g=")</f>
        <v>#VALUE!</v>
      </c>
      <c r="HZ129" t="e">
        <f>AND('UP133'!BC92,"AAAAABn7f+k=")</f>
        <v>#VALUE!</v>
      </c>
      <c r="IA129" t="e">
        <f>AND('UP133'!BD92,"AAAAABn7f+o=")</f>
        <v>#VALUE!</v>
      </c>
      <c r="IB129" t="e">
        <f>AND('UP133'!BE92,"AAAAABn7f+s=")</f>
        <v>#VALUE!</v>
      </c>
      <c r="IC129" t="e">
        <f>AND('UP133'!BF92,"AAAAABn7f+w=")</f>
        <v>#VALUE!</v>
      </c>
      <c r="ID129" t="e">
        <f>AND('UP133'!BG92,"AAAAABn7f+0=")</f>
        <v>#VALUE!</v>
      </c>
      <c r="IE129" t="e">
        <f>AND('UP133'!BH92,"AAAAABn7f+4=")</f>
        <v>#VALUE!</v>
      </c>
      <c r="IF129" t="e">
        <f>AND('UP133'!BI92,"AAAAABn7f+8=")</f>
        <v>#VALUE!</v>
      </c>
      <c r="IG129" t="e">
        <f>AND('UP133'!BJ92,"AAAAABn7f/A=")</f>
        <v>#VALUE!</v>
      </c>
      <c r="IH129" t="e">
        <f>AND('UP133'!BK92,"AAAAABn7f/E=")</f>
        <v>#VALUE!</v>
      </c>
      <c r="II129" t="e">
        <f>AND('UP133'!BL92,"AAAAABn7f/I=")</f>
        <v>#VALUE!</v>
      </c>
      <c r="IJ129" t="e">
        <f>AND('UP133'!BM92,"AAAAABn7f/M=")</f>
        <v>#VALUE!</v>
      </c>
      <c r="IK129" t="e">
        <f>AND('UP133'!BN92,"AAAAABn7f/Q=")</f>
        <v>#VALUE!</v>
      </c>
      <c r="IL129" t="e">
        <f>AND('UP133'!BO92,"AAAAABn7f/U=")</f>
        <v>#VALUE!</v>
      </c>
      <c r="IM129" t="e">
        <f>AND('UP133'!BP92,"AAAAABn7f/Y=")</f>
        <v>#VALUE!</v>
      </c>
      <c r="IN129" t="e">
        <f>AND('UP133'!BQ92,"AAAAABn7f/c=")</f>
        <v>#VALUE!</v>
      </c>
      <c r="IO129" t="e">
        <f>AND('UP133'!BR92,"AAAAABn7f/g=")</f>
        <v>#VALUE!</v>
      </c>
      <c r="IP129" t="e">
        <f>AND('UP133'!BS92,"AAAAABn7f/k=")</f>
        <v>#VALUE!</v>
      </c>
      <c r="IQ129" t="e">
        <f>AND('UP133'!BT92,"AAAAABn7f/o=")</f>
        <v>#VALUE!</v>
      </c>
      <c r="IR129" t="e">
        <f>AND('UP133'!BU92,"AAAAABn7f/s=")</f>
        <v>#VALUE!</v>
      </c>
      <c r="IS129" t="e">
        <f>AND('UP133'!BV92,"AAAAABn7f/w=")</f>
        <v>#VALUE!</v>
      </c>
      <c r="IT129" t="e">
        <f>AND('UP133'!BW92,"AAAAABn7f/0=")</f>
        <v>#VALUE!</v>
      </c>
      <c r="IU129" t="e">
        <f>AND('UP133'!BX92,"AAAAABn7f/4=")</f>
        <v>#VALUE!</v>
      </c>
      <c r="IV129" t="e">
        <f>AND('UP133'!BY92,"AAAAABn7f/8=")</f>
        <v>#VALUE!</v>
      </c>
    </row>
    <row r="130" spans="1:256">
      <c r="A130" t="e">
        <f>AND('UP133'!BZ92,"AAAAAH/85QA=")</f>
        <v>#VALUE!</v>
      </c>
      <c r="B130" t="e">
        <f>AND('UP133'!CA92,"AAAAAH/85QE=")</f>
        <v>#VALUE!</v>
      </c>
      <c r="C130" t="e">
        <f>AND('UP133'!CB92,"AAAAAH/85QI=")</f>
        <v>#VALUE!</v>
      </c>
      <c r="D130" t="e">
        <f>AND('UP133'!CC92,"AAAAAH/85QM=")</f>
        <v>#VALUE!</v>
      </c>
      <c r="E130" t="e">
        <f>AND('UP133'!CD92,"AAAAAH/85QQ=")</f>
        <v>#VALUE!</v>
      </c>
      <c r="F130" t="e">
        <f>AND('UP133'!CE92,"AAAAAH/85QU=")</f>
        <v>#VALUE!</v>
      </c>
      <c r="G130" t="e">
        <f>AND('UP133'!CF92,"AAAAAH/85QY=")</f>
        <v>#VALUE!</v>
      </c>
      <c r="H130" t="e">
        <f>AND('UP133'!CG92,"AAAAAH/85Qc=")</f>
        <v>#VALUE!</v>
      </c>
      <c r="I130" t="e">
        <f>AND('UP133'!CH92,"AAAAAH/85Qg=")</f>
        <v>#VALUE!</v>
      </c>
      <c r="J130" t="e">
        <f>AND('UP133'!CI92,"AAAAAH/85Qk=")</f>
        <v>#VALUE!</v>
      </c>
      <c r="K130" t="e">
        <f>AND('UP133'!CJ92,"AAAAAH/85Qo=")</f>
        <v>#VALUE!</v>
      </c>
      <c r="L130" t="e">
        <f>AND('UP133'!CK92,"AAAAAH/85Qs=")</f>
        <v>#VALUE!</v>
      </c>
      <c r="M130" t="e">
        <f>AND('UP133'!CL92,"AAAAAH/85Qw=")</f>
        <v>#VALUE!</v>
      </c>
      <c r="N130" t="e">
        <f>AND('UP133'!CM92,"AAAAAH/85Q0=")</f>
        <v>#VALUE!</v>
      </c>
      <c r="O130" t="e">
        <f>AND('UP133'!CN92,"AAAAAH/85Q4=")</f>
        <v>#VALUE!</v>
      </c>
      <c r="P130" t="e">
        <f>AND('UP133'!CO92,"AAAAAH/85Q8=")</f>
        <v>#VALUE!</v>
      </c>
      <c r="Q130" t="e">
        <f>AND('UP133'!CP92,"AAAAAH/85RA=")</f>
        <v>#VALUE!</v>
      </c>
      <c r="R130" t="e">
        <f>AND('UP133'!CQ92,"AAAAAH/85RE=")</f>
        <v>#VALUE!</v>
      </c>
      <c r="S130" t="e">
        <f>AND('UP133'!CR92,"AAAAAH/85RI=")</f>
        <v>#VALUE!</v>
      </c>
      <c r="T130" t="e">
        <f>AND('UP133'!CS92,"AAAAAH/85RM=")</f>
        <v>#VALUE!</v>
      </c>
      <c r="U130" t="e">
        <f>AND('UP133'!CT92,"AAAAAH/85RQ=")</f>
        <v>#VALUE!</v>
      </c>
      <c r="V130" t="e">
        <f>AND('UP133'!CU92,"AAAAAH/85RU=")</f>
        <v>#VALUE!</v>
      </c>
      <c r="W130" t="e">
        <f>AND('UP133'!CV92,"AAAAAH/85RY=")</f>
        <v>#VALUE!</v>
      </c>
      <c r="X130" t="e">
        <f>AND('UP133'!CW92,"AAAAAH/85Rc=")</f>
        <v>#VALUE!</v>
      </c>
      <c r="Y130" t="e">
        <f>AND('UP133'!CX92,"AAAAAH/85Rg=")</f>
        <v>#VALUE!</v>
      </c>
      <c r="Z130" t="e">
        <f>AND('UP133'!CY92,"AAAAAH/85Rk=")</f>
        <v>#VALUE!</v>
      </c>
      <c r="AA130" t="e">
        <f>AND('UP133'!CZ92,"AAAAAH/85Ro=")</f>
        <v>#VALUE!</v>
      </c>
      <c r="AB130" t="e">
        <f>AND('UP133'!DA92,"AAAAAH/85Rs=")</f>
        <v>#VALUE!</v>
      </c>
      <c r="AC130" t="e">
        <f>AND('UP133'!DB92,"AAAAAH/85Rw=")</f>
        <v>#VALUE!</v>
      </c>
      <c r="AD130" t="e">
        <f>AND('UP133'!DC92,"AAAAAH/85R0=")</f>
        <v>#VALUE!</v>
      </c>
      <c r="AE130" t="e">
        <f>AND('UP133'!DD92,"AAAAAH/85R4=")</f>
        <v>#VALUE!</v>
      </c>
      <c r="AF130" t="e">
        <f>AND('UP133'!DE92,"AAAAAH/85R8=")</f>
        <v>#VALUE!</v>
      </c>
      <c r="AG130" t="e">
        <f>AND('UP133'!DF92,"AAAAAH/85SA=")</f>
        <v>#VALUE!</v>
      </c>
      <c r="AH130" t="e">
        <f>AND('UP133'!DG92,"AAAAAH/85SE=")</f>
        <v>#VALUE!</v>
      </c>
      <c r="AI130" t="e">
        <f>AND('UP133'!DH92,"AAAAAH/85SI=")</f>
        <v>#VALUE!</v>
      </c>
      <c r="AJ130" t="e">
        <f>AND('UP133'!DI92,"AAAAAH/85SM=")</f>
        <v>#VALUE!</v>
      </c>
      <c r="AK130" t="e">
        <f>AND('UP133'!DJ92,"AAAAAH/85SQ=")</f>
        <v>#VALUE!</v>
      </c>
      <c r="AL130" t="e">
        <f>AND('UP133'!DK92,"AAAAAH/85SU=")</f>
        <v>#VALUE!</v>
      </c>
      <c r="AM130" t="e">
        <f>AND('UP133'!DL92,"AAAAAH/85SY=")</f>
        <v>#VALUE!</v>
      </c>
      <c r="AN130" t="e">
        <f>AND('UP133'!DM92,"AAAAAH/85Sc=")</f>
        <v>#VALUE!</v>
      </c>
      <c r="AO130" t="e">
        <f>AND('UP133'!DN92,"AAAAAH/85Sg=")</f>
        <v>#VALUE!</v>
      </c>
      <c r="AP130" t="e">
        <f>AND('UP133'!DO92,"AAAAAH/85Sk=")</f>
        <v>#VALUE!</v>
      </c>
      <c r="AQ130" t="e">
        <f>AND('UP133'!DP92,"AAAAAH/85So=")</f>
        <v>#VALUE!</v>
      </c>
      <c r="AR130" t="e">
        <f>AND('UP133'!DQ92,"AAAAAH/85Ss=")</f>
        <v>#VALUE!</v>
      </c>
      <c r="AS130" t="e">
        <f>AND('UP133'!DR92,"AAAAAH/85Sw=")</f>
        <v>#VALUE!</v>
      </c>
      <c r="AT130" t="e">
        <f>AND('UP133'!DS92,"AAAAAH/85S0=")</f>
        <v>#VALUE!</v>
      </c>
      <c r="AU130" t="e">
        <f>AND('UP133'!DT92,"AAAAAH/85S4=")</f>
        <v>#VALUE!</v>
      </c>
      <c r="AV130" t="e">
        <f>AND('UP133'!DU92,"AAAAAH/85S8=")</f>
        <v>#VALUE!</v>
      </c>
      <c r="AW130" t="e">
        <f>AND('UP133'!DV92,"AAAAAH/85TA=")</f>
        <v>#VALUE!</v>
      </c>
      <c r="AX130" t="e">
        <f>AND('UP133'!DW92,"AAAAAH/85TE=")</f>
        <v>#VALUE!</v>
      </c>
      <c r="AY130" t="e">
        <f>AND('UP133'!DX92,"AAAAAH/85TI=")</f>
        <v>#VALUE!</v>
      </c>
      <c r="AZ130" t="e">
        <f>AND('UP133'!DY92,"AAAAAH/85TM=")</f>
        <v>#VALUE!</v>
      </c>
      <c r="BA130" t="e">
        <f>AND('UP133'!DZ92,"AAAAAH/85TQ=")</f>
        <v>#VALUE!</v>
      </c>
      <c r="BB130" t="e">
        <f>AND('UP133'!EA92,"AAAAAH/85TU=")</f>
        <v>#VALUE!</v>
      </c>
      <c r="BC130" t="e">
        <f>AND('UP133'!EB92,"AAAAAH/85TY=")</f>
        <v>#VALUE!</v>
      </c>
      <c r="BD130" t="e">
        <f>AND('UP133'!EC92,"AAAAAH/85Tc=")</f>
        <v>#VALUE!</v>
      </c>
      <c r="BE130" t="e">
        <f>AND('UP133'!ED92,"AAAAAH/85Tg=")</f>
        <v>#VALUE!</v>
      </c>
      <c r="BF130" t="e">
        <f>AND('UP133'!EE92,"AAAAAH/85Tk=")</f>
        <v>#VALUE!</v>
      </c>
      <c r="BG130" t="e">
        <f>AND('UP133'!EF92,"AAAAAH/85To=")</f>
        <v>#VALUE!</v>
      </c>
      <c r="BH130" t="e">
        <f>AND('UP133'!EG92,"AAAAAH/85Ts=")</f>
        <v>#VALUE!</v>
      </c>
      <c r="BI130" t="e">
        <f>AND('UP133'!EH92,"AAAAAH/85Tw=")</f>
        <v>#VALUE!</v>
      </c>
      <c r="BJ130" t="e">
        <f>AND('UP133'!EI92,"AAAAAH/85T0=")</f>
        <v>#VALUE!</v>
      </c>
      <c r="BK130" t="e">
        <f>AND('UP133'!EJ92,"AAAAAH/85T4=")</f>
        <v>#VALUE!</v>
      </c>
      <c r="BL130" t="e">
        <f>AND('UP133'!EK92,"AAAAAH/85T8=")</f>
        <v>#VALUE!</v>
      </c>
      <c r="BM130" t="e">
        <f>AND('UP133'!EL92,"AAAAAH/85UA=")</f>
        <v>#VALUE!</v>
      </c>
      <c r="BN130" t="e">
        <f>AND('UP133'!EM92,"AAAAAH/85UE=")</f>
        <v>#VALUE!</v>
      </c>
      <c r="BO130" t="e">
        <f>AND('UP133'!EN92,"AAAAAH/85UI=")</f>
        <v>#VALUE!</v>
      </c>
      <c r="BP130" t="e">
        <f>AND('UP133'!EO92,"AAAAAH/85UM=")</f>
        <v>#VALUE!</v>
      </c>
      <c r="BQ130" t="e">
        <f>AND('UP133'!EP92,"AAAAAH/85UQ=")</f>
        <v>#VALUE!</v>
      </c>
      <c r="BR130" t="e">
        <f>AND('UP133'!EQ92,"AAAAAH/85UU=")</f>
        <v>#VALUE!</v>
      </c>
      <c r="BS130" t="e">
        <f>AND('UP133'!ER92,"AAAAAH/85UY=")</f>
        <v>#VALUE!</v>
      </c>
      <c r="BT130" t="e">
        <f>AND('UP133'!ES92,"AAAAAH/85Uc=")</f>
        <v>#VALUE!</v>
      </c>
      <c r="BU130" t="e">
        <f>AND('UP133'!ET92,"AAAAAH/85Ug=")</f>
        <v>#VALUE!</v>
      </c>
      <c r="BV130" t="e">
        <f>AND('UP133'!EU92,"AAAAAH/85Uk=")</f>
        <v>#VALUE!</v>
      </c>
      <c r="BW130" t="e">
        <f>AND('UP133'!EV92,"AAAAAH/85Uo=")</f>
        <v>#VALUE!</v>
      </c>
      <c r="BX130" t="e">
        <f>AND('UP133'!EW92,"AAAAAH/85Us=")</f>
        <v>#VALUE!</v>
      </c>
      <c r="BY130" t="e">
        <f>AND('UP133'!EX92,"AAAAAH/85Uw=")</f>
        <v>#VALUE!</v>
      </c>
      <c r="BZ130" t="e">
        <f>AND('UP133'!EY92,"AAAAAH/85U0=")</f>
        <v>#VALUE!</v>
      </c>
      <c r="CA130" t="e">
        <f>AND('UP133'!EZ92,"AAAAAH/85U4=")</f>
        <v>#VALUE!</v>
      </c>
      <c r="CB130" t="e">
        <f>AND('UP133'!FA92,"AAAAAH/85U8=")</f>
        <v>#VALUE!</v>
      </c>
      <c r="CC130" t="e">
        <f>AND('UP133'!FB92,"AAAAAH/85VA=")</f>
        <v>#VALUE!</v>
      </c>
      <c r="CD130" t="e">
        <f>AND('UP133'!FC92,"AAAAAH/85VE=")</f>
        <v>#VALUE!</v>
      </c>
      <c r="CE130" t="e">
        <f>AND('UP133'!FD92,"AAAAAH/85VI=")</f>
        <v>#VALUE!</v>
      </c>
      <c r="CF130" t="e">
        <f>AND('UP133'!FE92,"AAAAAH/85VM=")</f>
        <v>#VALUE!</v>
      </c>
      <c r="CG130" t="e">
        <f>AND('UP133'!FF92,"AAAAAH/85VQ=")</f>
        <v>#VALUE!</v>
      </c>
      <c r="CH130" t="e">
        <f>AND('UP133'!FG92,"AAAAAH/85VU=")</f>
        <v>#VALUE!</v>
      </c>
      <c r="CI130" t="e">
        <f>AND('UP133'!FH92,"AAAAAH/85VY=")</f>
        <v>#VALUE!</v>
      </c>
      <c r="CJ130" t="e">
        <f>AND('UP133'!FI92,"AAAAAH/85Vc=")</f>
        <v>#VALUE!</v>
      </c>
      <c r="CK130" t="e">
        <f>AND('UP133'!FJ92,"AAAAAH/85Vg=")</f>
        <v>#VALUE!</v>
      </c>
      <c r="CL130" t="e">
        <f>AND('UP133'!FK92,"AAAAAH/85Vk=")</f>
        <v>#VALUE!</v>
      </c>
      <c r="CM130" t="e">
        <f>AND('UP133'!FL92,"AAAAAH/85Vo=")</f>
        <v>#VALUE!</v>
      </c>
      <c r="CN130" t="e">
        <f>AND('UP133'!FM92,"AAAAAH/85Vs=")</f>
        <v>#VALUE!</v>
      </c>
      <c r="CO130" t="e">
        <f>AND('UP133'!FN92,"AAAAAH/85Vw=")</f>
        <v>#VALUE!</v>
      </c>
      <c r="CP130" t="e">
        <f>AND('UP133'!FO92,"AAAAAH/85V0=")</f>
        <v>#VALUE!</v>
      </c>
      <c r="CQ130" t="e">
        <f>AND('UP133'!FP92,"AAAAAH/85V4=")</f>
        <v>#VALUE!</v>
      </c>
      <c r="CR130" t="e">
        <f>AND('UP133'!FQ92,"AAAAAH/85V8=")</f>
        <v>#VALUE!</v>
      </c>
      <c r="CS130" t="e">
        <f>AND('UP133'!FR92,"AAAAAH/85WA=")</f>
        <v>#VALUE!</v>
      </c>
      <c r="CT130" t="e">
        <f>AND('UP133'!FS92,"AAAAAH/85WE=")</f>
        <v>#VALUE!</v>
      </c>
      <c r="CU130" t="e">
        <f>AND('UP133'!FT92,"AAAAAH/85WI=")</f>
        <v>#VALUE!</v>
      </c>
      <c r="CV130" t="e">
        <f>AND('UP133'!FU92,"AAAAAH/85WM=")</f>
        <v>#VALUE!</v>
      </c>
      <c r="CW130" t="e">
        <f>AND('UP133'!FV92,"AAAAAH/85WQ=")</f>
        <v>#VALUE!</v>
      </c>
      <c r="CX130" t="e">
        <f>AND('UP133'!FW92,"AAAAAH/85WU=")</f>
        <v>#VALUE!</v>
      </c>
      <c r="CY130" t="e">
        <f>AND('UP133'!FX92,"AAAAAH/85WY=")</f>
        <v>#VALUE!</v>
      </c>
      <c r="CZ130" t="e">
        <f>AND('UP133'!FY92,"AAAAAH/85Wc=")</f>
        <v>#VALUE!</v>
      </c>
      <c r="DA130" t="e">
        <f>AND('UP133'!FZ92,"AAAAAH/85Wg=")</f>
        <v>#VALUE!</v>
      </c>
      <c r="DB130" t="e">
        <f>AND('UP133'!GA92,"AAAAAH/85Wk=")</f>
        <v>#VALUE!</v>
      </c>
      <c r="DC130" t="e">
        <f>AND('UP133'!GB92,"AAAAAH/85Wo=")</f>
        <v>#VALUE!</v>
      </c>
      <c r="DD130" t="e">
        <f>AND('UP133'!GC92,"AAAAAH/85Ws=")</f>
        <v>#VALUE!</v>
      </c>
      <c r="DE130" t="e">
        <f>AND('UP133'!GD92,"AAAAAH/85Ww=")</f>
        <v>#VALUE!</v>
      </c>
      <c r="DF130" t="e">
        <f>AND('UP133'!GE92,"AAAAAH/85W0=")</f>
        <v>#VALUE!</v>
      </c>
      <c r="DG130" t="e">
        <f>AND('UP133'!GF92,"AAAAAH/85W4=")</f>
        <v>#VALUE!</v>
      </c>
      <c r="DH130" t="e">
        <f>AND('UP133'!GG92,"AAAAAH/85W8=")</f>
        <v>#VALUE!</v>
      </c>
      <c r="DI130" t="e">
        <f>AND('UP133'!GH92,"AAAAAH/85XA=")</f>
        <v>#VALUE!</v>
      </c>
      <c r="DJ130" t="e">
        <f>AND('UP133'!GI92,"AAAAAH/85XE=")</f>
        <v>#VALUE!</v>
      </c>
      <c r="DK130" t="e">
        <f>AND('UP133'!GJ92,"AAAAAH/85XI=")</f>
        <v>#VALUE!</v>
      </c>
      <c r="DL130" t="e">
        <f>AND('UP133'!GK92,"AAAAAH/85XM=")</f>
        <v>#VALUE!</v>
      </c>
      <c r="DM130" t="e">
        <f>AND('UP133'!GL92,"AAAAAH/85XQ=")</f>
        <v>#VALUE!</v>
      </c>
      <c r="DN130" t="e">
        <f>AND('UP133'!GM92,"AAAAAH/85XU=")</f>
        <v>#VALUE!</v>
      </c>
      <c r="DO130" t="e">
        <f>AND('UP133'!GN92,"AAAAAH/85XY=")</f>
        <v>#VALUE!</v>
      </c>
      <c r="DP130" t="e">
        <f>AND('UP133'!GO92,"AAAAAH/85Xc=")</f>
        <v>#VALUE!</v>
      </c>
      <c r="DQ130" t="e">
        <f>AND('UP133'!GP92,"AAAAAH/85Xg=")</f>
        <v>#VALUE!</v>
      </c>
      <c r="DR130" t="e">
        <f>AND('UP133'!GQ92,"AAAAAH/85Xk=")</f>
        <v>#VALUE!</v>
      </c>
      <c r="DS130" t="e">
        <f>AND('UP133'!GR92,"AAAAAH/85Xo=")</f>
        <v>#VALUE!</v>
      </c>
      <c r="DT130" t="e">
        <f>AND('UP133'!GS92,"AAAAAH/85Xs=")</f>
        <v>#VALUE!</v>
      </c>
      <c r="DU130" t="e">
        <f>AND('UP133'!GT92,"AAAAAH/85Xw=")</f>
        <v>#VALUE!</v>
      </c>
      <c r="DV130" t="e">
        <f>AND('UP133'!GU92,"AAAAAH/85X0=")</f>
        <v>#VALUE!</v>
      </c>
      <c r="DW130" t="e">
        <f>AND('UP133'!GV92,"AAAAAH/85X4=")</f>
        <v>#VALUE!</v>
      </c>
      <c r="DX130" t="e">
        <f>AND('UP133'!GW92,"AAAAAH/85X8=")</f>
        <v>#VALUE!</v>
      </c>
      <c r="DY130" t="e">
        <f>AND('UP133'!GX92,"AAAAAH/85YA=")</f>
        <v>#VALUE!</v>
      </c>
      <c r="DZ130" t="e">
        <f>AND('UP133'!GY92,"AAAAAH/85YE=")</f>
        <v>#VALUE!</v>
      </c>
      <c r="EA130" t="e">
        <f>AND('UP133'!GZ92,"AAAAAH/85YI=")</f>
        <v>#VALUE!</v>
      </c>
      <c r="EB130" t="e">
        <f>AND('UP133'!HA92,"AAAAAH/85YM=")</f>
        <v>#VALUE!</v>
      </c>
      <c r="EC130" t="e">
        <f>AND('UP133'!HB92,"AAAAAH/85YQ=")</f>
        <v>#VALUE!</v>
      </c>
      <c r="ED130" t="e">
        <f>AND('UP133'!HC92,"AAAAAH/85YU=")</f>
        <v>#VALUE!</v>
      </c>
      <c r="EE130" t="e">
        <f>AND('UP133'!HD92,"AAAAAH/85YY=")</f>
        <v>#VALUE!</v>
      </c>
      <c r="EF130" t="e">
        <f>AND('UP133'!HE92,"AAAAAH/85Yc=")</f>
        <v>#VALUE!</v>
      </c>
      <c r="EG130" t="e">
        <f>AND('UP133'!HF92,"AAAAAH/85Yg=")</f>
        <v>#VALUE!</v>
      </c>
      <c r="EH130" t="e">
        <f>AND('UP133'!HG92,"AAAAAH/85Yk=")</f>
        <v>#VALUE!</v>
      </c>
      <c r="EI130" t="e">
        <f>AND('UP133'!HH92,"AAAAAH/85Yo=")</f>
        <v>#VALUE!</v>
      </c>
      <c r="EJ130" t="e">
        <f>AND('UP133'!HI92,"AAAAAH/85Ys=")</f>
        <v>#VALUE!</v>
      </c>
      <c r="EK130" t="e">
        <f>AND('UP133'!HJ92,"AAAAAH/85Yw=")</f>
        <v>#VALUE!</v>
      </c>
      <c r="EL130" t="e">
        <f>AND('UP133'!HK92,"AAAAAH/85Y0=")</f>
        <v>#VALUE!</v>
      </c>
      <c r="EM130" t="e">
        <f>AND('UP133'!HL92,"AAAAAH/85Y4=")</f>
        <v>#VALUE!</v>
      </c>
      <c r="EN130" t="e">
        <f>AND('UP133'!HM92,"AAAAAH/85Y8=")</f>
        <v>#VALUE!</v>
      </c>
      <c r="EO130" t="e">
        <f>AND('UP133'!HN92,"AAAAAH/85ZA=")</f>
        <v>#VALUE!</v>
      </c>
      <c r="EP130" t="e">
        <f>AND('UP133'!HO92,"AAAAAH/85ZE=")</f>
        <v>#VALUE!</v>
      </c>
      <c r="EQ130" t="e">
        <f>AND('UP133'!HP92,"AAAAAH/85ZI=")</f>
        <v>#VALUE!</v>
      </c>
      <c r="ER130" t="e">
        <f>AND('UP133'!HQ92,"AAAAAH/85ZM=")</f>
        <v>#VALUE!</v>
      </c>
      <c r="ES130" t="e">
        <f>AND('UP133'!HR92,"AAAAAH/85ZQ=")</f>
        <v>#VALUE!</v>
      </c>
      <c r="ET130" t="e">
        <f>AND('UP133'!HS92,"AAAAAH/85ZU=")</f>
        <v>#VALUE!</v>
      </c>
      <c r="EU130" t="e">
        <f>AND('UP133'!HT92,"AAAAAH/85ZY=")</f>
        <v>#VALUE!</v>
      </c>
      <c r="EV130" t="e">
        <f>AND('UP133'!HU92,"AAAAAH/85Zc=")</f>
        <v>#VALUE!</v>
      </c>
      <c r="EW130" t="e">
        <f>AND('UP133'!HV92,"AAAAAH/85Zg=")</f>
        <v>#VALUE!</v>
      </c>
      <c r="EX130" t="e">
        <f>AND('UP133'!HW92,"AAAAAH/85Zk=")</f>
        <v>#VALUE!</v>
      </c>
      <c r="EY130" t="e">
        <f>AND('UP133'!HX92,"AAAAAH/85Zo=")</f>
        <v>#VALUE!</v>
      </c>
      <c r="EZ130" t="e">
        <f>AND('UP133'!HY92,"AAAAAH/85Zs=")</f>
        <v>#VALUE!</v>
      </c>
      <c r="FA130" t="e">
        <f>AND('UP133'!HZ92,"AAAAAH/85Zw=")</f>
        <v>#VALUE!</v>
      </c>
      <c r="FB130" t="e">
        <f>AND('UP133'!IA92,"AAAAAH/85Z0=")</f>
        <v>#VALUE!</v>
      </c>
      <c r="FC130" t="e">
        <f>AND('UP133'!IB92,"AAAAAH/85Z4=")</f>
        <v>#VALUE!</v>
      </c>
      <c r="FD130" t="e">
        <f>AND('UP133'!IC92,"AAAAAH/85Z8=")</f>
        <v>#VALUE!</v>
      </c>
      <c r="FE130" t="e">
        <f>AND('UP133'!ID92,"AAAAAH/85aA=")</f>
        <v>#VALUE!</v>
      </c>
      <c r="FF130" t="e">
        <f>AND('UP133'!IE92,"AAAAAH/85aE=")</f>
        <v>#VALUE!</v>
      </c>
      <c r="FG130" t="e">
        <f>AND('UP133'!IF92,"AAAAAH/85aI=")</f>
        <v>#VALUE!</v>
      </c>
      <c r="FH130" t="e">
        <f>AND('UP133'!IG92,"AAAAAH/85aM=")</f>
        <v>#VALUE!</v>
      </c>
      <c r="FI130" t="e">
        <f>AND('UP133'!IH92,"AAAAAH/85aQ=")</f>
        <v>#VALUE!</v>
      </c>
      <c r="FJ130" t="e">
        <f>AND('UP133'!II92,"AAAAAH/85aU=")</f>
        <v>#VALUE!</v>
      </c>
      <c r="FK130" t="e">
        <f>AND('UP133'!IJ92,"AAAAAH/85aY=")</f>
        <v>#VALUE!</v>
      </c>
      <c r="FL130" t="e">
        <f>AND('UP133'!IK92,"AAAAAH/85ac=")</f>
        <v>#VALUE!</v>
      </c>
      <c r="FM130" t="e">
        <f>AND('UP133'!IL92,"AAAAAH/85ag=")</f>
        <v>#VALUE!</v>
      </c>
      <c r="FN130" t="e">
        <f>AND('UP133'!IM92,"AAAAAH/85ak=")</f>
        <v>#VALUE!</v>
      </c>
      <c r="FO130" t="e">
        <f>AND('UP133'!IN92,"AAAAAH/85ao=")</f>
        <v>#VALUE!</v>
      </c>
      <c r="FP130" t="e">
        <f>AND('UP133'!IO92,"AAAAAH/85as=")</f>
        <v>#VALUE!</v>
      </c>
      <c r="FQ130" t="e">
        <f>AND('UP133'!IP92,"AAAAAH/85aw=")</f>
        <v>#VALUE!</v>
      </c>
      <c r="FR130" t="e">
        <f>AND('UP133'!IQ92,"AAAAAH/85a0=")</f>
        <v>#VALUE!</v>
      </c>
      <c r="FS130">
        <f>IF('UP133'!93:93,"AAAAAH/85a4=",0)</f>
        <v>0</v>
      </c>
      <c r="FT130" t="e">
        <f>AND('UP133'!A93,"AAAAAH/85a8=")</f>
        <v>#VALUE!</v>
      </c>
      <c r="FU130" t="e">
        <f>AND('UP133'!B93,"AAAAAH/85bA=")</f>
        <v>#VALUE!</v>
      </c>
      <c r="FV130" t="e">
        <f>AND('UP133'!C93,"AAAAAH/85bE=")</f>
        <v>#VALUE!</v>
      </c>
      <c r="FW130" t="e">
        <f>AND('UP133'!D93,"AAAAAH/85bI=")</f>
        <v>#VALUE!</v>
      </c>
      <c r="FX130" t="e">
        <f>AND('UP133'!E93,"AAAAAH/85bM=")</f>
        <v>#VALUE!</v>
      </c>
      <c r="FY130" t="e">
        <f>AND('UP133'!F93,"AAAAAH/85bQ=")</f>
        <v>#VALUE!</v>
      </c>
      <c r="FZ130" t="e">
        <f>AND('UP133'!G93,"AAAAAH/85bU=")</f>
        <v>#VALUE!</v>
      </c>
      <c r="GA130" t="e">
        <f>AND('UP133'!H93,"AAAAAH/85bY=")</f>
        <v>#VALUE!</v>
      </c>
      <c r="GB130" t="e">
        <f>AND('UP133'!I93,"AAAAAH/85bc=")</f>
        <v>#VALUE!</v>
      </c>
      <c r="GC130" t="e">
        <f>AND('UP133'!J93,"AAAAAH/85bg=")</f>
        <v>#VALUE!</v>
      </c>
      <c r="GD130" t="e">
        <f>AND('UP133'!K93,"AAAAAH/85bk=")</f>
        <v>#VALUE!</v>
      </c>
      <c r="GE130" t="e">
        <f>AND('UP133'!L93,"AAAAAH/85bo=")</f>
        <v>#VALUE!</v>
      </c>
      <c r="GF130" t="e">
        <f>AND('UP133'!M93,"AAAAAH/85bs=")</f>
        <v>#VALUE!</v>
      </c>
      <c r="GG130" t="e">
        <f>AND('UP133'!N93,"AAAAAH/85bw=")</f>
        <v>#VALUE!</v>
      </c>
      <c r="GH130" t="e">
        <f>AND('UP133'!O93,"AAAAAH/85b0=")</f>
        <v>#VALUE!</v>
      </c>
      <c r="GI130" t="e">
        <f>AND('UP133'!P93,"AAAAAH/85b4=")</f>
        <v>#VALUE!</v>
      </c>
      <c r="GJ130" t="e">
        <f>AND('UP133'!Q93,"AAAAAH/85b8=")</f>
        <v>#VALUE!</v>
      </c>
      <c r="GK130" t="e">
        <f>AND('UP133'!R93,"AAAAAH/85cA=")</f>
        <v>#VALUE!</v>
      </c>
      <c r="GL130" t="e">
        <f>AND('UP133'!S93,"AAAAAH/85cE=")</f>
        <v>#VALUE!</v>
      </c>
      <c r="GM130" t="e">
        <f>AND('UP133'!T93,"AAAAAH/85cI=")</f>
        <v>#VALUE!</v>
      </c>
      <c r="GN130" t="e">
        <f>AND('UP133'!U93,"AAAAAH/85cM=")</f>
        <v>#VALUE!</v>
      </c>
      <c r="GO130" t="e">
        <f>AND('UP133'!V93,"AAAAAH/85cQ=")</f>
        <v>#VALUE!</v>
      </c>
      <c r="GP130" t="e">
        <f>AND('UP133'!W93,"AAAAAH/85cU=")</f>
        <v>#VALUE!</v>
      </c>
      <c r="GQ130" t="e">
        <f>AND('UP133'!X93,"AAAAAH/85cY=")</f>
        <v>#VALUE!</v>
      </c>
      <c r="GR130" t="e">
        <f>AND('UP133'!Y93,"AAAAAH/85cc=")</f>
        <v>#VALUE!</v>
      </c>
      <c r="GS130" t="e">
        <f>AND('UP133'!Z93,"AAAAAH/85cg=")</f>
        <v>#VALUE!</v>
      </c>
      <c r="GT130" t="e">
        <f>AND('UP133'!AA93,"AAAAAH/85ck=")</f>
        <v>#VALUE!</v>
      </c>
      <c r="GU130" t="e">
        <f>AND('UP133'!AB93,"AAAAAH/85co=")</f>
        <v>#VALUE!</v>
      </c>
      <c r="GV130" t="e">
        <f>AND('UP133'!AC93,"AAAAAH/85cs=")</f>
        <v>#VALUE!</v>
      </c>
      <c r="GW130" t="e">
        <f>AND('UP133'!AD93,"AAAAAH/85cw=")</f>
        <v>#VALUE!</v>
      </c>
      <c r="GX130" t="e">
        <f>AND('UP133'!AE93,"AAAAAH/85c0=")</f>
        <v>#VALUE!</v>
      </c>
      <c r="GY130" t="e">
        <f>AND('UP133'!AF93,"AAAAAH/85c4=")</f>
        <v>#VALUE!</v>
      </c>
      <c r="GZ130" t="e">
        <f>AND('UP133'!AG93,"AAAAAH/85c8=")</f>
        <v>#VALUE!</v>
      </c>
      <c r="HA130" t="e">
        <f>AND('UP133'!AH93,"AAAAAH/85dA=")</f>
        <v>#VALUE!</v>
      </c>
      <c r="HB130" t="e">
        <f>AND('UP133'!AI93,"AAAAAH/85dE=")</f>
        <v>#VALUE!</v>
      </c>
      <c r="HC130" t="e">
        <f>AND('UP133'!AJ93,"AAAAAH/85dI=")</f>
        <v>#VALUE!</v>
      </c>
      <c r="HD130" t="e">
        <f>AND('UP133'!AK93,"AAAAAH/85dM=")</f>
        <v>#VALUE!</v>
      </c>
      <c r="HE130" t="e">
        <f>AND('UP133'!AL93,"AAAAAH/85dQ=")</f>
        <v>#VALUE!</v>
      </c>
      <c r="HF130" t="e">
        <f>AND('UP133'!AM93,"AAAAAH/85dU=")</f>
        <v>#VALUE!</v>
      </c>
      <c r="HG130" t="e">
        <f>AND('UP133'!AN93,"AAAAAH/85dY=")</f>
        <v>#VALUE!</v>
      </c>
      <c r="HH130" t="e">
        <f>AND('UP133'!AO93,"AAAAAH/85dc=")</f>
        <v>#VALUE!</v>
      </c>
      <c r="HI130" t="e">
        <f>AND('UP133'!AP93,"AAAAAH/85dg=")</f>
        <v>#VALUE!</v>
      </c>
      <c r="HJ130" t="e">
        <f>AND('UP133'!AQ93,"AAAAAH/85dk=")</f>
        <v>#VALUE!</v>
      </c>
      <c r="HK130" t="e">
        <f>AND('UP133'!AR93,"AAAAAH/85do=")</f>
        <v>#VALUE!</v>
      </c>
      <c r="HL130" t="e">
        <f>AND('UP133'!AS93,"AAAAAH/85ds=")</f>
        <v>#VALUE!</v>
      </c>
      <c r="HM130" t="e">
        <f>AND('UP133'!AT93,"AAAAAH/85dw=")</f>
        <v>#VALUE!</v>
      </c>
      <c r="HN130" t="e">
        <f>AND('UP133'!AU93,"AAAAAH/85d0=")</f>
        <v>#VALUE!</v>
      </c>
      <c r="HO130" t="e">
        <f>AND('UP133'!AV93,"AAAAAH/85d4=")</f>
        <v>#VALUE!</v>
      </c>
      <c r="HP130" t="e">
        <f>AND('UP133'!AW93,"AAAAAH/85d8=")</f>
        <v>#VALUE!</v>
      </c>
      <c r="HQ130" t="e">
        <f>AND('UP133'!AX93,"AAAAAH/85eA=")</f>
        <v>#VALUE!</v>
      </c>
      <c r="HR130" t="e">
        <f>AND('UP133'!AY93,"AAAAAH/85eE=")</f>
        <v>#VALUE!</v>
      </c>
      <c r="HS130" t="e">
        <f>AND('UP133'!AZ93,"AAAAAH/85eI=")</f>
        <v>#VALUE!</v>
      </c>
      <c r="HT130" t="e">
        <f>AND('UP133'!BA93,"AAAAAH/85eM=")</f>
        <v>#VALUE!</v>
      </c>
      <c r="HU130" t="e">
        <f>AND('UP133'!BB93,"AAAAAH/85eQ=")</f>
        <v>#VALUE!</v>
      </c>
      <c r="HV130" t="e">
        <f>AND('UP133'!BC93,"AAAAAH/85eU=")</f>
        <v>#VALUE!</v>
      </c>
      <c r="HW130" t="e">
        <f>AND('UP133'!BD93,"AAAAAH/85eY=")</f>
        <v>#VALUE!</v>
      </c>
      <c r="HX130" t="e">
        <f>AND('UP133'!BE93,"AAAAAH/85ec=")</f>
        <v>#VALUE!</v>
      </c>
      <c r="HY130" t="e">
        <f>AND('UP133'!BF93,"AAAAAH/85eg=")</f>
        <v>#VALUE!</v>
      </c>
      <c r="HZ130" t="e">
        <f>AND('UP133'!BG93,"AAAAAH/85ek=")</f>
        <v>#VALUE!</v>
      </c>
      <c r="IA130" t="e">
        <f>AND('UP133'!BH93,"AAAAAH/85eo=")</f>
        <v>#VALUE!</v>
      </c>
      <c r="IB130" t="e">
        <f>AND('UP133'!BI93,"AAAAAH/85es=")</f>
        <v>#VALUE!</v>
      </c>
      <c r="IC130" t="e">
        <f>AND('UP133'!BJ93,"AAAAAH/85ew=")</f>
        <v>#VALUE!</v>
      </c>
      <c r="ID130" t="e">
        <f>AND('UP133'!BK93,"AAAAAH/85e0=")</f>
        <v>#VALUE!</v>
      </c>
      <c r="IE130" t="e">
        <f>AND('UP133'!BL93,"AAAAAH/85e4=")</f>
        <v>#VALUE!</v>
      </c>
      <c r="IF130" t="e">
        <f>AND('UP133'!BM93,"AAAAAH/85e8=")</f>
        <v>#VALUE!</v>
      </c>
      <c r="IG130" t="e">
        <f>AND('UP133'!BN93,"AAAAAH/85fA=")</f>
        <v>#VALUE!</v>
      </c>
      <c r="IH130" t="e">
        <f>AND('UP133'!BO93,"AAAAAH/85fE=")</f>
        <v>#VALUE!</v>
      </c>
      <c r="II130" t="e">
        <f>AND('UP133'!BP93,"AAAAAH/85fI=")</f>
        <v>#VALUE!</v>
      </c>
      <c r="IJ130" t="e">
        <f>AND('UP133'!BQ93,"AAAAAH/85fM=")</f>
        <v>#VALUE!</v>
      </c>
      <c r="IK130" t="e">
        <f>AND('UP133'!BR93,"AAAAAH/85fQ=")</f>
        <v>#VALUE!</v>
      </c>
      <c r="IL130" t="e">
        <f>AND('UP133'!BS93,"AAAAAH/85fU=")</f>
        <v>#VALUE!</v>
      </c>
      <c r="IM130" t="e">
        <f>AND('UP133'!BT93,"AAAAAH/85fY=")</f>
        <v>#VALUE!</v>
      </c>
      <c r="IN130" t="e">
        <f>AND('UP133'!BU93,"AAAAAH/85fc=")</f>
        <v>#VALUE!</v>
      </c>
      <c r="IO130" t="e">
        <f>AND('UP133'!BV93,"AAAAAH/85fg=")</f>
        <v>#VALUE!</v>
      </c>
      <c r="IP130" t="e">
        <f>AND('UP133'!BW93,"AAAAAH/85fk=")</f>
        <v>#VALUE!</v>
      </c>
      <c r="IQ130" t="e">
        <f>AND('UP133'!BX93,"AAAAAH/85fo=")</f>
        <v>#VALUE!</v>
      </c>
      <c r="IR130" t="e">
        <f>AND('UP133'!BY93,"AAAAAH/85fs=")</f>
        <v>#VALUE!</v>
      </c>
      <c r="IS130" t="e">
        <f>AND('UP133'!BZ93,"AAAAAH/85fw=")</f>
        <v>#VALUE!</v>
      </c>
      <c r="IT130" t="e">
        <f>AND('UP133'!CA93,"AAAAAH/85f0=")</f>
        <v>#VALUE!</v>
      </c>
      <c r="IU130" t="e">
        <f>AND('UP133'!CB93,"AAAAAH/85f4=")</f>
        <v>#VALUE!</v>
      </c>
      <c r="IV130" t="e">
        <f>AND('UP133'!CC93,"AAAAAH/85f8=")</f>
        <v>#VALUE!</v>
      </c>
    </row>
    <row r="131" spans="1:256">
      <c r="A131" t="e">
        <f>AND('UP133'!CD93,"AAAAAF//zgA=")</f>
        <v>#VALUE!</v>
      </c>
      <c r="B131" t="e">
        <f>AND('UP133'!CE93,"AAAAAF//zgE=")</f>
        <v>#VALUE!</v>
      </c>
      <c r="C131" t="e">
        <f>AND('UP133'!CF93,"AAAAAF//zgI=")</f>
        <v>#VALUE!</v>
      </c>
      <c r="D131" t="e">
        <f>AND('UP133'!CG93,"AAAAAF//zgM=")</f>
        <v>#VALUE!</v>
      </c>
      <c r="E131" t="e">
        <f>AND('UP133'!CH93,"AAAAAF//zgQ=")</f>
        <v>#VALUE!</v>
      </c>
      <c r="F131" t="e">
        <f>AND('UP133'!CI93,"AAAAAF//zgU=")</f>
        <v>#VALUE!</v>
      </c>
      <c r="G131" t="e">
        <f>AND('UP133'!CJ93,"AAAAAF//zgY=")</f>
        <v>#VALUE!</v>
      </c>
      <c r="H131" t="e">
        <f>AND('UP133'!CK93,"AAAAAF//zgc=")</f>
        <v>#VALUE!</v>
      </c>
      <c r="I131" t="e">
        <f>AND('UP133'!CL93,"AAAAAF//zgg=")</f>
        <v>#VALUE!</v>
      </c>
      <c r="J131" t="e">
        <f>AND('UP133'!CM93,"AAAAAF//zgk=")</f>
        <v>#VALUE!</v>
      </c>
      <c r="K131" t="e">
        <f>AND('UP133'!CN93,"AAAAAF//zgo=")</f>
        <v>#VALUE!</v>
      </c>
      <c r="L131" t="e">
        <f>AND('UP133'!CO93,"AAAAAF//zgs=")</f>
        <v>#VALUE!</v>
      </c>
      <c r="M131" t="e">
        <f>AND('UP133'!CP93,"AAAAAF//zgw=")</f>
        <v>#VALUE!</v>
      </c>
      <c r="N131" t="e">
        <f>AND('UP133'!CQ93,"AAAAAF//zg0=")</f>
        <v>#VALUE!</v>
      </c>
      <c r="O131" t="e">
        <f>AND('UP133'!CR93,"AAAAAF//zg4=")</f>
        <v>#VALUE!</v>
      </c>
      <c r="P131" t="e">
        <f>AND('UP133'!CS93,"AAAAAF//zg8=")</f>
        <v>#VALUE!</v>
      </c>
      <c r="Q131" t="e">
        <f>AND('UP133'!CT93,"AAAAAF//zhA=")</f>
        <v>#VALUE!</v>
      </c>
      <c r="R131" t="e">
        <f>AND('UP133'!CU93,"AAAAAF//zhE=")</f>
        <v>#VALUE!</v>
      </c>
      <c r="S131" t="e">
        <f>AND('UP133'!CV93,"AAAAAF//zhI=")</f>
        <v>#VALUE!</v>
      </c>
      <c r="T131" t="e">
        <f>AND('UP133'!CW93,"AAAAAF//zhM=")</f>
        <v>#VALUE!</v>
      </c>
      <c r="U131" t="e">
        <f>AND('UP133'!CX93,"AAAAAF//zhQ=")</f>
        <v>#VALUE!</v>
      </c>
      <c r="V131" t="e">
        <f>AND('UP133'!CY93,"AAAAAF//zhU=")</f>
        <v>#VALUE!</v>
      </c>
      <c r="W131" t="e">
        <f>AND('UP133'!CZ93,"AAAAAF//zhY=")</f>
        <v>#VALUE!</v>
      </c>
      <c r="X131" t="e">
        <f>AND('UP133'!DA93,"AAAAAF//zhc=")</f>
        <v>#VALUE!</v>
      </c>
      <c r="Y131" t="e">
        <f>AND('UP133'!DB93,"AAAAAF//zhg=")</f>
        <v>#VALUE!</v>
      </c>
      <c r="Z131" t="e">
        <f>AND('UP133'!DC93,"AAAAAF//zhk=")</f>
        <v>#VALUE!</v>
      </c>
      <c r="AA131" t="e">
        <f>AND('UP133'!DD93,"AAAAAF//zho=")</f>
        <v>#VALUE!</v>
      </c>
      <c r="AB131" t="e">
        <f>AND('UP133'!DE93,"AAAAAF//zhs=")</f>
        <v>#VALUE!</v>
      </c>
      <c r="AC131" t="e">
        <f>AND('UP133'!DF93,"AAAAAF//zhw=")</f>
        <v>#VALUE!</v>
      </c>
      <c r="AD131" t="e">
        <f>AND('UP133'!DG93,"AAAAAF//zh0=")</f>
        <v>#VALUE!</v>
      </c>
      <c r="AE131" t="e">
        <f>AND('UP133'!DH93,"AAAAAF//zh4=")</f>
        <v>#VALUE!</v>
      </c>
      <c r="AF131" t="e">
        <f>AND('UP133'!DI93,"AAAAAF//zh8=")</f>
        <v>#VALUE!</v>
      </c>
      <c r="AG131" t="e">
        <f>AND('UP133'!DJ93,"AAAAAF//ziA=")</f>
        <v>#VALUE!</v>
      </c>
      <c r="AH131" t="e">
        <f>AND('UP133'!DK93,"AAAAAF//ziE=")</f>
        <v>#VALUE!</v>
      </c>
      <c r="AI131" t="e">
        <f>AND('UP133'!DL93,"AAAAAF//ziI=")</f>
        <v>#VALUE!</v>
      </c>
      <c r="AJ131" t="e">
        <f>AND('UP133'!DM93,"AAAAAF//ziM=")</f>
        <v>#VALUE!</v>
      </c>
      <c r="AK131" t="e">
        <f>AND('UP133'!DN93,"AAAAAF//ziQ=")</f>
        <v>#VALUE!</v>
      </c>
      <c r="AL131" t="e">
        <f>AND('UP133'!DO93,"AAAAAF//ziU=")</f>
        <v>#VALUE!</v>
      </c>
      <c r="AM131" t="e">
        <f>AND('UP133'!DP93,"AAAAAF//ziY=")</f>
        <v>#VALUE!</v>
      </c>
      <c r="AN131" t="e">
        <f>AND('UP133'!DQ93,"AAAAAF//zic=")</f>
        <v>#VALUE!</v>
      </c>
      <c r="AO131" t="e">
        <f>AND('UP133'!DR93,"AAAAAF//zig=")</f>
        <v>#VALUE!</v>
      </c>
      <c r="AP131" t="e">
        <f>AND('UP133'!DS93,"AAAAAF//zik=")</f>
        <v>#VALUE!</v>
      </c>
      <c r="AQ131" t="e">
        <f>AND('UP133'!DT93,"AAAAAF//zio=")</f>
        <v>#VALUE!</v>
      </c>
      <c r="AR131" t="e">
        <f>AND('UP133'!DU93,"AAAAAF//zis=")</f>
        <v>#VALUE!</v>
      </c>
      <c r="AS131" t="e">
        <f>AND('UP133'!DV93,"AAAAAF//ziw=")</f>
        <v>#VALUE!</v>
      </c>
      <c r="AT131" t="e">
        <f>AND('UP133'!DW93,"AAAAAF//zi0=")</f>
        <v>#VALUE!</v>
      </c>
      <c r="AU131" t="e">
        <f>AND('UP133'!DX93,"AAAAAF//zi4=")</f>
        <v>#VALUE!</v>
      </c>
      <c r="AV131" t="e">
        <f>AND('UP133'!DY93,"AAAAAF//zi8=")</f>
        <v>#VALUE!</v>
      </c>
      <c r="AW131" t="e">
        <f>AND('UP133'!DZ93,"AAAAAF//zjA=")</f>
        <v>#VALUE!</v>
      </c>
      <c r="AX131" t="e">
        <f>AND('UP133'!EA93,"AAAAAF//zjE=")</f>
        <v>#VALUE!</v>
      </c>
      <c r="AY131" t="e">
        <f>AND('UP133'!EB93,"AAAAAF//zjI=")</f>
        <v>#VALUE!</v>
      </c>
      <c r="AZ131" t="e">
        <f>AND('UP133'!EC93,"AAAAAF//zjM=")</f>
        <v>#VALUE!</v>
      </c>
      <c r="BA131" t="e">
        <f>AND('UP133'!ED93,"AAAAAF//zjQ=")</f>
        <v>#VALUE!</v>
      </c>
      <c r="BB131" t="e">
        <f>AND('UP133'!EE93,"AAAAAF//zjU=")</f>
        <v>#VALUE!</v>
      </c>
      <c r="BC131" t="e">
        <f>AND('UP133'!EF93,"AAAAAF//zjY=")</f>
        <v>#VALUE!</v>
      </c>
      <c r="BD131" t="e">
        <f>AND('UP133'!EG93,"AAAAAF//zjc=")</f>
        <v>#VALUE!</v>
      </c>
      <c r="BE131" t="e">
        <f>AND('UP133'!EH93,"AAAAAF//zjg=")</f>
        <v>#VALUE!</v>
      </c>
      <c r="BF131" t="e">
        <f>AND('UP133'!EI93,"AAAAAF//zjk=")</f>
        <v>#VALUE!</v>
      </c>
      <c r="BG131" t="e">
        <f>AND('UP133'!EJ93,"AAAAAF//zjo=")</f>
        <v>#VALUE!</v>
      </c>
      <c r="BH131" t="e">
        <f>AND('UP133'!EK93,"AAAAAF//zjs=")</f>
        <v>#VALUE!</v>
      </c>
      <c r="BI131" t="e">
        <f>AND('UP133'!EL93,"AAAAAF//zjw=")</f>
        <v>#VALUE!</v>
      </c>
      <c r="BJ131" t="e">
        <f>AND('UP133'!EM93,"AAAAAF//zj0=")</f>
        <v>#VALUE!</v>
      </c>
      <c r="BK131" t="e">
        <f>AND('UP133'!EN93,"AAAAAF//zj4=")</f>
        <v>#VALUE!</v>
      </c>
      <c r="BL131" t="e">
        <f>AND('UP133'!EO93,"AAAAAF//zj8=")</f>
        <v>#VALUE!</v>
      </c>
      <c r="BM131" t="e">
        <f>AND('UP133'!EP93,"AAAAAF//zkA=")</f>
        <v>#VALUE!</v>
      </c>
      <c r="BN131" t="e">
        <f>AND('UP133'!EQ93,"AAAAAF//zkE=")</f>
        <v>#VALUE!</v>
      </c>
      <c r="BO131" t="e">
        <f>AND('UP133'!ER93,"AAAAAF//zkI=")</f>
        <v>#VALUE!</v>
      </c>
      <c r="BP131" t="e">
        <f>AND('UP133'!ES93,"AAAAAF//zkM=")</f>
        <v>#VALUE!</v>
      </c>
      <c r="BQ131" t="e">
        <f>AND('UP133'!ET93,"AAAAAF//zkQ=")</f>
        <v>#VALUE!</v>
      </c>
      <c r="BR131" t="e">
        <f>AND('UP133'!EU93,"AAAAAF//zkU=")</f>
        <v>#VALUE!</v>
      </c>
      <c r="BS131" t="e">
        <f>AND('UP133'!EV93,"AAAAAF//zkY=")</f>
        <v>#VALUE!</v>
      </c>
      <c r="BT131" t="e">
        <f>AND('UP133'!EW93,"AAAAAF//zkc=")</f>
        <v>#VALUE!</v>
      </c>
      <c r="BU131" t="e">
        <f>AND('UP133'!EX93,"AAAAAF//zkg=")</f>
        <v>#VALUE!</v>
      </c>
      <c r="BV131" t="e">
        <f>AND('UP133'!EY93,"AAAAAF//zkk=")</f>
        <v>#VALUE!</v>
      </c>
      <c r="BW131" t="e">
        <f>AND('UP133'!EZ93,"AAAAAF//zko=")</f>
        <v>#VALUE!</v>
      </c>
      <c r="BX131" t="e">
        <f>AND('UP133'!FA93,"AAAAAF//zks=")</f>
        <v>#VALUE!</v>
      </c>
      <c r="BY131" t="e">
        <f>AND('UP133'!FB93,"AAAAAF//zkw=")</f>
        <v>#VALUE!</v>
      </c>
      <c r="BZ131" t="e">
        <f>AND('UP133'!FC93,"AAAAAF//zk0=")</f>
        <v>#VALUE!</v>
      </c>
      <c r="CA131" t="e">
        <f>AND('UP133'!FD93,"AAAAAF//zk4=")</f>
        <v>#VALUE!</v>
      </c>
      <c r="CB131" t="e">
        <f>AND('UP133'!FE93,"AAAAAF//zk8=")</f>
        <v>#VALUE!</v>
      </c>
      <c r="CC131" t="e">
        <f>AND('UP133'!FF93,"AAAAAF//zlA=")</f>
        <v>#VALUE!</v>
      </c>
      <c r="CD131" t="e">
        <f>AND('UP133'!FG93,"AAAAAF//zlE=")</f>
        <v>#VALUE!</v>
      </c>
      <c r="CE131" t="e">
        <f>AND('UP133'!FH93,"AAAAAF//zlI=")</f>
        <v>#VALUE!</v>
      </c>
      <c r="CF131" t="e">
        <f>AND('UP133'!FI93,"AAAAAF//zlM=")</f>
        <v>#VALUE!</v>
      </c>
      <c r="CG131" t="e">
        <f>AND('UP133'!FJ93,"AAAAAF//zlQ=")</f>
        <v>#VALUE!</v>
      </c>
      <c r="CH131" t="e">
        <f>AND('UP133'!FK93,"AAAAAF//zlU=")</f>
        <v>#VALUE!</v>
      </c>
      <c r="CI131" t="e">
        <f>AND('UP133'!FL93,"AAAAAF//zlY=")</f>
        <v>#VALUE!</v>
      </c>
      <c r="CJ131" t="e">
        <f>AND('UP133'!FM93,"AAAAAF//zlc=")</f>
        <v>#VALUE!</v>
      </c>
      <c r="CK131" t="e">
        <f>AND('UP133'!FN93,"AAAAAF//zlg=")</f>
        <v>#VALUE!</v>
      </c>
      <c r="CL131" t="e">
        <f>AND('UP133'!FO93,"AAAAAF//zlk=")</f>
        <v>#VALUE!</v>
      </c>
      <c r="CM131" t="e">
        <f>AND('UP133'!FP93,"AAAAAF//zlo=")</f>
        <v>#VALUE!</v>
      </c>
      <c r="CN131" t="e">
        <f>AND('UP133'!FQ93,"AAAAAF//zls=")</f>
        <v>#VALUE!</v>
      </c>
      <c r="CO131" t="e">
        <f>AND('UP133'!FR93,"AAAAAF//zlw=")</f>
        <v>#VALUE!</v>
      </c>
      <c r="CP131" t="e">
        <f>AND('UP133'!FS93,"AAAAAF//zl0=")</f>
        <v>#VALUE!</v>
      </c>
      <c r="CQ131" t="e">
        <f>AND('UP133'!FT93,"AAAAAF//zl4=")</f>
        <v>#VALUE!</v>
      </c>
      <c r="CR131" t="e">
        <f>AND('UP133'!FU93,"AAAAAF//zl8=")</f>
        <v>#VALUE!</v>
      </c>
      <c r="CS131" t="e">
        <f>AND('UP133'!FV93,"AAAAAF//zmA=")</f>
        <v>#VALUE!</v>
      </c>
      <c r="CT131" t="e">
        <f>AND('UP133'!FW93,"AAAAAF//zmE=")</f>
        <v>#VALUE!</v>
      </c>
      <c r="CU131" t="e">
        <f>AND('UP133'!FX93,"AAAAAF//zmI=")</f>
        <v>#VALUE!</v>
      </c>
      <c r="CV131" t="e">
        <f>AND('UP133'!FY93,"AAAAAF//zmM=")</f>
        <v>#VALUE!</v>
      </c>
      <c r="CW131" t="e">
        <f>AND('UP133'!FZ93,"AAAAAF//zmQ=")</f>
        <v>#VALUE!</v>
      </c>
      <c r="CX131" t="e">
        <f>AND('UP133'!GA93,"AAAAAF//zmU=")</f>
        <v>#VALUE!</v>
      </c>
      <c r="CY131" t="e">
        <f>AND('UP133'!GB93,"AAAAAF//zmY=")</f>
        <v>#VALUE!</v>
      </c>
      <c r="CZ131" t="e">
        <f>AND('UP133'!GC93,"AAAAAF//zmc=")</f>
        <v>#VALUE!</v>
      </c>
      <c r="DA131" t="e">
        <f>AND('UP133'!GD93,"AAAAAF//zmg=")</f>
        <v>#VALUE!</v>
      </c>
      <c r="DB131" t="e">
        <f>AND('UP133'!GE93,"AAAAAF//zmk=")</f>
        <v>#VALUE!</v>
      </c>
      <c r="DC131" t="e">
        <f>AND('UP133'!GF93,"AAAAAF//zmo=")</f>
        <v>#VALUE!</v>
      </c>
      <c r="DD131" t="e">
        <f>AND('UP133'!GG93,"AAAAAF//zms=")</f>
        <v>#VALUE!</v>
      </c>
      <c r="DE131" t="e">
        <f>AND('UP133'!GH93,"AAAAAF//zmw=")</f>
        <v>#VALUE!</v>
      </c>
      <c r="DF131" t="e">
        <f>AND('UP133'!GI93,"AAAAAF//zm0=")</f>
        <v>#VALUE!</v>
      </c>
      <c r="DG131" t="e">
        <f>AND('UP133'!GJ93,"AAAAAF//zm4=")</f>
        <v>#VALUE!</v>
      </c>
      <c r="DH131" t="e">
        <f>AND('UP133'!GK93,"AAAAAF//zm8=")</f>
        <v>#VALUE!</v>
      </c>
      <c r="DI131" t="e">
        <f>AND('UP133'!GL93,"AAAAAF//znA=")</f>
        <v>#VALUE!</v>
      </c>
      <c r="DJ131" t="e">
        <f>AND('UP133'!GM93,"AAAAAF//znE=")</f>
        <v>#VALUE!</v>
      </c>
      <c r="DK131" t="e">
        <f>AND('UP133'!GN93,"AAAAAF//znI=")</f>
        <v>#VALUE!</v>
      </c>
      <c r="DL131" t="e">
        <f>AND('UP133'!GO93,"AAAAAF//znM=")</f>
        <v>#VALUE!</v>
      </c>
      <c r="DM131" t="e">
        <f>AND('UP133'!GP93,"AAAAAF//znQ=")</f>
        <v>#VALUE!</v>
      </c>
      <c r="DN131" t="e">
        <f>AND('UP133'!GQ93,"AAAAAF//znU=")</f>
        <v>#VALUE!</v>
      </c>
      <c r="DO131" t="e">
        <f>AND('UP133'!GR93,"AAAAAF//znY=")</f>
        <v>#VALUE!</v>
      </c>
      <c r="DP131" t="e">
        <f>AND('UP133'!GS93,"AAAAAF//znc=")</f>
        <v>#VALUE!</v>
      </c>
      <c r="DQ131" t="e">
        <f>AND('UP133'!GT93,"AAAAAF//zng=")</f>
        <v>#VALUE!</v>
      </c>
      <c r="DR131" t="e">
        <f>AND('UP133'!GU93,"AAAAAF//znk=")</f>
        <v>#VALUE!</v>
      </c>
      <c r="DS131" t="e">
        <f>AND('UP133'!GV93,"AAAAAF//zno=")</f>
        <v>#VALUE!</v>
      </c>
      <c r="DT131" t="e">
        <f>AND('UP133'!GW93,"AAAAAF//zns=")</f>
        <v>#VALUE!</v>
      </c>
      <c r="DU131" t="e">
        <f>AND('UP133'!GX93,"AAAAAF//znw=")</f>
        <v>#VALUE!</v>
      </c>
      <c r="DV131" t="e">
        <f>AND('UP133'!GY93,"AAAAAF//zn0=")</f>
        <v>#VALUE!</v>
      </c>
      <c r="DW131" t="e">
        <f>AND('UP133'!GZ93,"AAAAAF//zn4=")</f>
        <v>#VALUE!</v>
      </c>
      <c r="DX131" t="e">
        <f>AND('UP133'!HA93,"AAAAAF//zn8=")</f>
        <v>#VALUE!</v>
      </c>
      <c r="DY131" t="e">
        <f>AND('UP133'!HB93,"AAAAAF//zoA=")</f>
        <v>#VALUE!</v>
      </c>
      <c r="DZ131" t="e">
        <f>AND('UP133'!HC93,"AAAAAF//zoE=")</f>
        <v>#VALUE!</v>
      </c>
      <c r="EA131" t="e">
        <f>AND('UP133'!HD93,"AAAAAF//zoI=")</f>
        <v>#VALUE!</v>
      </c>
      <c r="EB131" t="e">
        <f>AND('UP133'!HE93,"AAAAAF//zoM=")</f>
        <v>#VALUE!</v>
      </c>
      <c r="EC131" t="e">
        <f>AND('UP133'!HF93,"AAAAAF//zoQ=")</f>
        <v>#VALUE!</v>
      </c>
      <c r="ED131" t="e">
        <f>AND('UP133'!HG93,"AAAAAF//zoU=")</f>
        <v>#VALUE!</v>
      </c>
      <c r="EE131" t="e">
        <f>AND('UP133'!HH93,"AAAAAF//zoY=")</f>
        <v>#VALUE!</v>
      </c>
      <c r="EF131" t="e">
        <f>AND('UP133'!HI93,"AAAAAF//zoc=")</f>
        <v>#VALUE!</v>
      </c>
      <c r="EG131" t="e">
        <f>AND('UP133'!HJ93,"AAAAAF//zog=")</f>
        <v>#VALUE!</v>
      </c>
      <c r="EH131" t="e">
        <f>AND('UP133'!HK93,"AAAAAF//zok=")</f>
        <v>#VALUE!</v>
      </c>
      <c r="EI131" t="e">
        <f>AND('UP133'!HL93,"AAAAAF//zoo=")</f>
        <v>#VALUE!</v>
      </c>
      <c r="EJ131" t="e">
        <f>AND('UP133'!HM93,"AAAAAF//zos=")</f>
        <v>#VALUE!</v>
      </c>
      <c r="EK131" t="e">
        <f>AND('UP133'!HN93,"AAAAAF//zow=")</f>
        <v>#VALUE!</v>
      </c>
      <c r="EL131" t="e">
        <f>AND('UP133'!HO93,"AAAAAF//zo0=")</f>
        <v>#VALUE!</v>
      </c>
      <c r="EM131" t="e">
        <f>AND('UP133'!HP93,"AAAAAF//zo4=")</f>
        <v>#VALUE!</v>
      </c>
      <c r="EN131" t="e">
        <f>AND('UP133'!HQ93,"AAAAAF//zo8=")</f>
        <v>#VALUE!</v>
      </c>
      <c r="EO131" t="e">
        <f>AND('UP133'!HR93,"AAAAAF//zpA=")</f>
        <v>#VALUE!</v>
      </c>
      <c r="EP131" t="e">
        <f>AND('UP133'!HS93,"AAAAAF//zpE=")</f>
        <v>#VALUE!</v>
      </c>
      <c r="EQ131" t="e">
        <f>AND('UP133'!HT93,"AAAAAF//zpI=")</f>
        <v>#VALUE!</v>
      </c>
      <c r="ER131" t="e">
        <f>AND('UP133'!HU93,"AAAAAF//zpM=")</f>
        <v>#VALUE!</v>
      </c>
      <c r="ES131" t="e">
        <f>AND('UP133'!HV93,"AAAAAF//zpQ=")</f>
        <v>#VALUE!</v>
      </c>
      <c r="ET131" t="e">
        <f>AND('UP133'!HW93,"AAAAAF//zpU=")</f>
        <v>#VALUE!</v>
      </c>
      <c r="EU131" t="e">
        <f>AND('UP133'!HX93,"AAAAAF//zpY=")</f>
        <v>#VALUE!</v>
      </c>
      <c r="EV131" t="e">
        <f>AND('UP133'!HY93,"AAAAAF//zpc=")</f>
        <v>#VALUE!</v>
      </c>
      <c r="EW131" t="e">
        <f>AND('UP133'!HZ93,"AAAAAF//zpg=")</f>
        <v>#VALUE!</v>
      </c>
      <c r="EX131" t="e">
        <f>AND('UP133'!IA93,"AAAAAF//zpk=")</f>
        <v>#VALUE!</v>
      </c>
      <c r="EY131" t="e">
        <f>AND('UP133'!IB93,"AAAAAF//zpo=")</f>
        <v>#VALUE!</v>
      </c>
      <c r="EZ131" t="e">
        <f>AND('UP133'!IC93,"AAAAAF//zps=")</f>
        <v>#VALUE!</v>
      </c>
      <c r="FA131" t="e">
        <f>AND('UP133'!ID93,"AAAAAF//zpw=")</f>
        <v>#VALUE!</v>
      </c>
      <c r="FB131" t="e">
        <f>AND('UP133'!IE93,"AAAAAF//zp0=")</f>
        <v>#VALUE!</v>
      </c>
      <c r="FC131" t="e">
        <f>AND('UP133'!IF93,"AAAAAF//zp4=")</f>
        <v>#VALUE!</v>
      </c>
      <c r="FD131" t="e">
        <f>AND('UP133'!IG93,"AAAAAF//zp8=")</f>
        <v>#VALUE!</v>
      </c>
      <c r="FE131" t="e">
        <f>AND('UP133'!IH93,"AAAAAF//zqA=")</f>
        <v>#VALUE!</v>
      </c>
      <c r="FF131" t="e">
        <f>AND('UP133'!II93,"AAAAAF//zqE=")</f>
        <v>#VALUE!</v>
      </c>
      <c r="FG131" t="e">
        <f>AND('UP133'!IJ93,"AAAAAF//zqI=")</f>
        <v>#VALUE!</v>
      </c>
      <c r="FH131" t="e">
        <f>AND('UP133'!IK93,"AAAAAF//zqM=")</f>
        <v>#VALUE!</v>
      </c>
      <c r="FI131" t="e">
        <f>AND('UP133'!IL93,"AAAAAF//zqQ=")</f>
        <v>#VALUE!</v>
      </c>
      <c r="FJ131" t="e">
        <f>AND('UP133'!IM93,"AAAAAF//zqU=")</f>
        <v>#VALUE!</v>
      </c>
      <c r="FK131" t="e">
        <f>AND('UP133'!IN93,"AAAAAF//zqY=")</f>
        <v>#VALUE!</v>
      </c>
      <c r="FL131" t="e">
        <f>AND('UP133'!IO93,"AAAAAF//zqc=")</f>
        <v>#VALUE!</v>
      </c>
      <c r="FM131" t="e">
        <f>AND('UP133'!IP93,"AAAAAF//zqg=")</f>
        <v>#VALUE!</v>
      </c>
      <c r="FN131" t="e">
        <f>AND('UP133'!IQ93,"AAAAAF//zqk=")</f>
        <v>#VALUE!</v>
      </c>
      <c r="FO131">
        <f>IF('UP133'!94:94,"AAAAAF//zqo=",0)</f>
        <v>0</v>
      </c>
      <c r="FP131" t="e">
        <f>AND('UP133'!A94,"AAAAAF//zqs=")</f>
        <v>#VALUE!</v>
      </c>
      <c r="FQ131" t="e">
        <f>AND('UP133'!B94,"AAAAAF//zqw=")</f>
        <v>#VALUE!</v>
      </c>
      <c r="FR131" t="e">
        <f>AND('UP133'!C94,"AAAAAF//zq0=")</f>
        <v>#VALUE!</v>
      </c>
      <c r="FS131" t="e">
        <f>AND('UP133'!D94,"AAAAAF//zq4=")</f>
        <v>#VALUE!</v>
      </c>
      <c r="FT131" t="e">
        <f>AND('UP133'!E94,"AAAAAF//zq8=")</f>
        <v>#VALUE!</v>
      </c>
      <c r="FU131" t="e">
        <f>AND('UP133'!F94,"AAAAAF//zrA=")</f>
        <v>#VALUE!</v>
      </c>
      <c r="FV131" t="e">
        <f>AND('UP133'!G94,"AAAAAF//zrE=")</f>
        <v>#VALUE!</v>
      </c>
      <c r="FW131" t="e">
        <f>AND('UP133'!H94,"AAAAAF//zrI=")</f>
        <v>#VALUE!</v>
      </c>
      <c r="FX131" t="e">
        <f>AND('UP133'!I94,"AAAAAF//zrM=")</f>
        <v>#VALUE!</v>
      </c>
      <c r="FY131" t="e">
        <f>AND('UP133'!J94,"AAAAAF//zrQ=")</f>
        <v>#VALUE!</v>
      </c>
      <c r="FZ131" t="e">
        <f>AND('UP133'!K94,"AAAAAF//zrU=")</f>
        <v>#VALUE!</v>
      </c>
      <c r="GA131" t="e">
        <f>AND('UP133'!L94,"AAAAAF//zrY=")</f>
        <v>#VALUE!</v>
      </c>
      <c r="GB131" t="e">
        <f>AND('UP133'!M94,"AAAAAF//zrc=")</f>
        <v>#VALUE!</v>
      </c>
      <c r="GC131" t="e">
        <f>AND('UP133'!N94,"AAAAAF//zrg=")</f>
        <v>#VALUE!</v>
      </c>
      <c r="GD131" t="e">
        <f>AND('UP133'!O94,"AAAAAF//zrk=")</f>
        <v>#VALUE!</v>
      </c>
      <c r="GE131" t="e">
        <f>AND('UP133'!P94,"AAAAAF//zro=")</f>
        <v>#VALUE!</v>
      </c>
      <c r="GF131" t="e">
        <f>AND('UP133'!Q94,"AAAAAF//zrs=")</f>
        <v>#VALUE!</v>
      </c>
      <c r="GG131" t="e">
        <f>AND('UP133'!R94,"AAAAAF//zrw=")</f>
        <v>#VALUE!</v>
      </c>
      <c r="GH131" t="e">
        <f>AND('UP133'!S94,"AAAAAF//zr0=")</f>
        <v>#VALUE!</v>
      </c>
      <c r="GI131" t="e">
        <f>AND('UP133'!T94,"AAAAAF//zr4=")</f>
        <v>#VALUE!</v>
      </c>
      <c r="GJ131" t="e">
        <f>AND('UP133'!U94,"AAAAAF//zr8=")</f>
        <v>#VALUE!</v>
      </c>
      <c r="GK131" t="e">
        <f>AND('UP133'!V94,"AAAAAF//zsA=")</f>
        <v>#VALUE!</v>
      </c>
      <c r="GL131" t="e">
        <f>AND('UP133'!W94,"AAAAAF//zsE=")</f>
        <v>#VALUE!</v>
      </c>
      <c r="GM131" t="e">
        <f>AND('UP133'!X94,"AAAAAF//zsI=")</f>
        <v>#VALUE!</v>
      </c>
      <c r="GN131" t="e">
        <f>AND('UP133'!Y94,"AAAAAF//zsM=")</f>
        <v>#VALUE!</v>
      </c>
      <c r="GO131" t="e">
        <f>AND('UP133'!Z94,"AAAAAF//zsQ=")</f>
        <v>#VALUE!</v>
      </c>
      <c r="GP131" t="e">
        <f>AND('UP133'!AA94,"AAAAAF//zsU=")</f>
        <v>#VALUE!</v>
      </c>
      <c r="GQ131" t="e">
        <f>AND('UP133'!AB94,"AAAAAF//zsY=")</f>
        <v>#VALUE!</v>
      </c>
      <c r="GR131" t="e">
        <f>AND('UP133'!AC94,"AAAAAF//zsc=")</f>
        <v>#VALUE!</v>
      </c>
      <c r="GS131" t="e">
        <f>AND('UP133'!AD94,"AAAAAF//zsg=")</f>
        <v>#VALUE!</v>
      </c>
      <c r="GT131" t="e">
        <f>AND('UP133'!AE94,"AAAAAF//zsk=")</f>
        <v>#VALUE!</v>
      </c>
      <c r="GU131" t="e">
        <f>AND('UP133'!AF94,"AAAAAF//zso=")</f>
        <v>#VALUE!</v>
      </c>
      <c r="GV131" t="e">
        <f>AND('UP133'!AG94,"AAAAAF//zss=")</f>
        <v>#VALUE!</v>
      </c>
      <c r="GW131" t="e">
        <f>AND('UP133'!AH94,"AAAAAF//zsw=")</f>
        <v>#VALUE!</v>
      </c>
      <c r="GX131" t="e">
        <f>AND('UP133'!AI94,"AAAAAF//zs0=")</f>
        <v>#VALUE!</v>
      </c>
      <c r="GY131" t="e">
        <f>AND('UP133'!AJ94,"AAAAAF//zs4=")</f>
        <v>#VALUE!</v>
      </c>
      <c r="GZ131" t="e">
        <f>AND('UP133'!AK94,"AAAAAF//zs8=")</f>
        <v>#VALUE!</v>
      </c>
      <c r="HA131" t="e">
        <f>AND('UP133'!AL94,"AAAAAF//ztA=")</f>
        <v>#VALUE!</v>
      </c>
      <c r="HB131" t="e">
        <f>AND('UP133'!AM94,"AAAAAF//ztE=")</f>
        <v>#VALUE!</v>
      </c>
      <c r="HC131" t="e">
        <f>AND('UP133'!AN94,"AAAAAF//ztI=")</f>
        <v>#VALUE!</v>
      </c>
      <c r="HD131" t="e">
        <f>AND('UP133'!AO94,"AAAAAF//ztM=")</f>
        <v>#VALUE!</v>
      </c>
      <c r="HE131" t="e">
        <f>AND('UP133'!AP94,"AAAAAF//ztQ=")</f>
        <v>#VALUE!</v>
      </c>
      <c r="HF131" t="e">
        <f>AND('UP133'!AQ94,"AAAAAF//ztU=")</f>
        <v>#VALUE!</v>
      </c>
      <c r="HG131" t="e">
        <f>AND('UP133'!AR94,"AAAAAF//ztY=")</f>
        <v>#VALUE!</v>
      </c>
      <c r="HH131" t="e">
        <f>AND('UP133'!AS94,"AAAAAF//ztc=")</f>
        <v>#VALUE!</v>
      </c>
      <c r="HI131" t="e">
        <f>AND('UP133'!AT94,"AAAAAF//ztg=")</f>
        <v>#VALUE!</v>
      </c>
      <c r="HJ131" t="e">
        <f>AND('UP133'!AU94,"AAAAAF//ztk=")</f>
        <v>#VALUE!</v>
      </c>
      <c r="HK131" t="e">
        <f>AND('UP133'!AV94,"AAAAAF//zto=")</f>
        <v>#VALUE!</v>
      </c>
      <c r="HL131" t="e">
        <f>AND('UP133'!AW94,"AAAAAF//zts=")</f>
        <v>#VALUE!</v>
      </c>
      <c r="HM131" t="e">
        <f>AND('UP133'!AX94,"AAAAAF//ztw=")</f>
        <v>#VALUE!</v>
      </c>
      <c r="HN131" t="e">
        <f>AND('UP133'!AY94,"AAAAAF//zt0=")</f>
        <v>#VALUE!</v>
      </c>
      <c r="HO131" t="e">
        <f>AND('UP133'!AZ94,"AAAAAF//zt4=")</f>
        <v>#VALUE!</v>
      </c>
      <c r="HP131" t="e">
        <f>AND('UP133'!BA94,"AAAAAF//zt8=")</f>
        <v>#VALUE!</v>
      </c>
      <c r="HQ131" t="e">
        <f>AND('UP133'!BB94,"AAAAAF//zuA=")</f>
        <v>#VALUE!</v>
      </c>
      <c r="HR131" t="e">
        <f>AND('UP133'!BC94,"AAAAAF//zuE=")</f>
        <v>#VALUE!</v>
      </c>
      <c r="HS131" t="e">
        <f>AND('UP133'!BD94,"AAAAAF//zuI=")</f>
        <v>#VALUE!</v>
      </c>
      <c r="HT131" t="e">
        <f>AND('UP133'!BE94,"AAAAAF//zuM=")</f>
        <v>#VALUE!</v>
      </c>
      <c r="HU131" t="e">
        <f>AND('UP133'!BF94,"AAAAAF//zuQ=")</f>
        <v>#VALUE!</v>
      </c>
      <c r="HV131" t="e">
        <f>AND('UP133'!BG94,"AAAAAF//zuU=")</f>
        <v>#VALUE!</v>
      </c>
      <c r="HW131" t="e">
        <f>AND('UP133'!BH94,"AAAAAF//zuY=")</f>
        <v>#VALUE!</v>
      </c>
      <c r="HX131" t="e">
        <f>AND('UP133'!BI94,"AAAAAF//zuc=")</f>
        <v>#VALUE!</v>
      </c>
      <c r="HY131" t="e">
        <f>AND('UP133'!BJ94,"AAAAAF//zug=")</f>
        <v>#VALUE!</v>
      </c>
      <c r="HZ131" t="e">
        <f>AND('UP133'!BK94,"AAAAAF//zuk=")</f>
        <v>#VALUE!</v>
      </c>
      <c r="IA131" t="e">
        <f>AND('UP133'!BL94,"AAAAAF//zuo=")</f>
        <v>#VALUE!</v>
      </c>
      <c r="IB131" t="e">
        <f>AND('UP133'!BM94,"AAAAAF//zus=")</f>
        <v>#VALUE!</v>
      </c>
      <c r="IC131" t="e">
        <f>AND('UP133'!BN94,"AAAAAF//zuw=")</f>
        <v>#VALUE!</v>
      </c>
      <c r="ID131" t="e">
        <f>AND('UP133'!BO94,"AAAAAF//zu0=")</f>
        <v>#VALUE!</v>
      </c>
      <c r="IE131" t="e">
        <f>AND('UP133'!BP94,"AAAAAF//zu4=")</f>
        <v>#VALUE!</v>
      </c>
      <c r="IF131" t="e">
        <f>AND('UP133'!BQ94,"AAAAAF//zu8=")</f>
        <v>#VALUE!</v>
      </c>
      <c r="IG131" t="e">
        <f>AND('UP133'!BR94,"AAAAAF//zvA=")</f>
        <v>#VALUE!</v>
      </c>
      <c r="IH131" t="e">
        <f>AND('UP133'!BS94,"AAAAAF//zvE=")</f>
        <v>#VALUE!</v>
      </c>
      <c r="II131" t="e">
        <f>AND('UP133'!BT94,"AAAAAF//zvI=")</f>
        <v>#VALUE!</v>
      </c>
      <c r="IJ131" t="e">
        <f>AND('UP133'!BU94,"AAAAAF//zvM=")</f>
        <v>#VALUE!</v>
      </c>
      <c r="IK131" t="e">
        <f>AND('UP133'!BV94,"AAAAAF//zvQ=")</f>
        <v>#VALUE!</v>
      </c>
      <c r="IL131" t="e">
        <f>AND('UP133'!BW94,"AAAAAF//zvU=")</f>
        <v>#VALUE!</v>
      </c>
      <c r="IM131" t="e">
        <f>AND('UP133'!BX94,"AAAAAF//zvY=")</f>
        <v>#VALUE!</v>
      </c>
      <c r="IN131" t="e">
        <f>AND('UP133'!BY94,"AAAAAF//zvc=")</f>
        <v>#VALUE!</v>
      </c>
      <c r="IO131" t="e">
        <f>AND('UP133'!BZ94,"AAAAAF//zvg=")</f>
        <v>#VALUE!</v>
      </c>
      <c r="IP131" t="e">
        <f>AND('UP133'!CA94,"AAAAAF//zvk=")</f>
        <v>#VALUE!</v>
      </c>
      <c r="IQ131" t="e">
        <f>AND('UP133'!CB94,"AAAAAF//zvo=")</f>
        <v>#VALUE!</v>
      </c>
      <c r="IR131" t="e">
        <f>AND('UP133'!CC94,"AAAAAF//zvs=")</f>
        <v>#VALUE!</v>
      </c>
      <c r="IS131" t="e">
        <f>AND('UP133'!CD94,"AAAAAF//zvw=")</f>
        <v>#VALUE!</v>
      </c>
      <c r="IT131" t="e">
        <f>AND('UP133'!CE94,"AAAAAF//zv0=")</f>
        <v>#VALUE!</v>
      </c>
      <c r="IU131" t="e">
        <f>AND('UP133'!CF94,"AAAAAF//zv4=")</f>
        <v>#VALUE!</v>
      </c>
      <c r="IV131" t="e">
        <f>AND('UP133'!CG94,"AAAAAF//zv8=")</f>
        <v>#VALUE!</v>
      </c>
    </row>
    <row r="132" spans="1:256">
      <c r="A132" t="e">
        <f>AND('UP133'!CH94,"AAAAADe/UAA=")</f>
        <v>#VALUE!</v>
      </c>
      <c r="B132" t="e">
        <f>AND('UP133'!CI94,"AAAAADe/UAE=")</f>
        <v>#VALUE!</v>
      </c>
      <c r="C132" t="e">
        <f>AND('UP133'!CJ94,"AAAAADe/UAI=")</f>
        <v>#VALUE!</v>
      </c>
      <c r="D132" t="e">
        <f>AND('UP133'!CK94,"AAAAADe/UAM=")</f>
        <v>#VALUE!</v>
      </c>
      <c r="E132" t="e">
        <f>AND('UP133'!CL94,"AAAAADe/UAQ=")</f>
        <v>#VALUE!</v>
      </c>
      <c r="F132" t="e">
        <f>AND('UP133'!CM94,"AAAAADe/UAU=")</f>
        <v>#VALUE!</v>
      </c>
      <c r="G132" t="e">
        <f>AND('UP133'!CN94,"AAAAADe/UAY=")</f>
        <v>#VALUE!</v>
      </c>
      <c r="H132" t="e">
        <f>AND('UP133'!CO94,"AAAAADe/UAc=")</f>
        <v>#VALUE!</v>
      </c>
      <c r="I132" t="e">
        <f>AND('UP133'!CP94,"AAAAADe/UAg=")</f>
        <v>#VALUE!</v>
      </c>
      <c r="J132" t="e">
        <f>AND('UP133'!CQ94,"AAAAADe/UAk=")</f>
        <v>#VALUE!</v>
      </c>
      <c r="K132" t="e">
        <f>AND('UP133'!CR94,"AAAAADe/UAo=")</f>
        <v>#VALUE!</v>
      </c>
      <c r="L132" t="e">
        <f>AND('UP133'!CS94,"AAAAADe/UAs=")</f>
        <v>#VALUE!</v>
      </c>
      <c r="M132" t="e">
        <f>AND('UP133'!CT94,"AAAAADe/UAw=")</f>
        <v>#VALUE!</v>
      </c>
      <c r="N132" t="e">
        <f>AND('UP133'!CU94,"AAAAADe/UA0=")</f>
        <v>#VALUE!</v>
      </c>
      <c r="O132" t="e">
        <f>AND('UP133'!CV94,"AAAAADe/UA4=")</f>
        <v>#VALUE!</v>
      </c>
      <c r="P132" t="e">
        <f>AND('UP133'!CW94,"AAAAADe/UA8=")</f>
        <v>#VALUE!</v>
      </c>
      <c r="Q132" t="e">
        <f>AND('UP133'!CX94,"AAAAADe/UBA=")</f>
        <v>#VALUE!</v>
      </c>
      <c r="R132" t="e">
        <f>AND('UP133'!CY94,"AAAAADe/UBE=")</f>
        <v>#VALUE!</v>
      </c>
      <c r="S132" t="e">
        <f>AND('UP133'!CZ94,"AAAAADe/UBI=")</f>
        <v>#VALUE!</v>
      </c>
      <c r="T132" t="e">
        <f>AND('UP133'!DA94,"AAAAADe/UBM=")</f>
        <v>#VALUE!</v>
      </c>
      <c r="U132" t="e">
        <f>AND('UP133'!DB94,"AAAAADe/UBQ=")</f>
        <v>#VALUE!</v>
      </c>
      <c r="V132" t="e">
        <f>AND('UP133'!DC94,"AAAAADe/UBU=")</f>
        <v>#VALUE!</v>
      </c>
      <c r="W132" t="e">
        <f>AND('UP133'!DD94,"AAAAADe/UBY=")</f>
        <v>#VALUE!</v>
      </c>
      <c r="X132" t="e">
        <f>AND('UP133'!DE94,"AAAAADe/UBc=")</f>
        <v>#VALUE!</v>
      </c>
      <c r="Y132" t="e">
        <f>AND('UP133'!DF94,"AAAAADe/UBg=")</f>
        <v>#VALUE!</v>
      </c>
      <c r="Z132" t="e">
        <f>AND('UP133'!DG94,"AAAAADe/UBk=")</f>
        <v>#VALUE!</v>
      </c>
      <c r="AA132" t="e">
        <f>AND('UP133'!DH94,"AAAAADe/UBo=")</f>
        <v>#VALUE!</v>
      </c>
      <c r="AB132" t="e">
        <f>AND('UP133'!DI94,"AAAAADe/UBs=")</f>
        <v>#VALUE!</v>
      </c>
      <c r="AC132" t="e">
        <f>AND('UP133'!DJ94,"AAAAADe/UBw=")</f>
        <v>#VALUE!</v>
      </c>
      <c r="AD132" t="e">
        <f>AND('UP133'!DK94,"AAAAADe/UB0=")</f>
        <v>#VALUE!</v>
      </c>
      <c r="AE132" t="e">
        <f>AND('UP133'!DL94,"AAAAADe/UB4=")</f>
        <v>#VALUE!</v>
      </c>
      <c r="AF132" t="e">
        <f>AND('UP133'!DM94,"AAAAADe/UB8=")</f>
        <v>#VALUE!</v>
      </c>
      <c r="AG132" t="e">
        <f>AND('UP133'!DN94,"AAAAADe/UCA=")</f>
        <v>#VALUE!</v>
      </c>
      <c r="AH132" t="e">
        <f>AND('UP133'!DO94,"AAAAADe/UCE=")</f>
        <v>#VALUE!</v>
      </c>
      <c r="AI132" t="e">
        <f>AND('UP133'!DP94,"AAAAADe/UCI=")</f>
        <v>#VALUE!</v>
      </c>
      <c r="AJ132" t="e">
        <f>AND('UP133'!DQ94,"AAAAADe/UCM=")</f>
        <v>#VALUE!</v>
      </c>
      <c r="AK132" t="e">
        <f>AND('UP133'!DR94,"AAAAADe/UCQ=")</f>
        <v>#VALUE!</v>
      </c>
      <c r="AL132" t="e">
        <f>AND('UP133'!DS94,"AAAAADe/UCU=")</f>
        <v>#VALUE!</v>
      </c>
      <c r="AM132" t="e">
        <f>AND('UP133'!DT94,"AAAAADe/UCY=")</f>
        <v>#VALUE!</v>
      </c>
      <c r="AN132" t="e">
        <f>AND('UP133'!DU94,"AAAAADe/UCc=")</f>
        <v>#VALUE!</v>
      </c>
      <c r="AO132" t="e">
        <f>AND('UP133'!DV94,"AAAAADe/UCg=")</f>
        <v>#VALUE!</v>
      </c>
      <c r="AP132" t="e">
        <f>AND('UP133'!DW94,"AAAAADe/UCk=")</f>
        <v>#VALUE!</v>
      </c>
      <c r="AQ132" t="e">
        <f>AND('UP133'!DX94,"AAAAADe/UCo=")</f>
        <v>#VALUE!</v>
      </c>
      <c r="AR132" t="e">
        <f>AND('UP133'!DY94,"AAAAADe/UCs=")</f>
        <v>#VALUE!</v>
      </c>
      <c r="AS132" t="e">
        <f>AND('UP133'!DZ94,"AAAAADe/UCw=")</f>
        <v>#VALUE!</v>
      </c>
      <c r="AT132" t="e">
        <f>AND('UP133'!EA94,"AAAAADe/UC0=")</f>
        <v>#VALUE!</v>
      </c>
      <c r="AU132" t="e">
        <f>AND('UP133'!EB94,"AAAAADe/UC4=")</f>
        <v>#VALUE!</v>
      </c>
      <c r="AV132" t="e">
        <f>AND('UP133'!EC94,"AAAAADe/UC8=")</f>
        <v>#VALUE!</v>
      </c>
      <c r="AW132" t="e">
        <f>AND('UP133'!ED94,"AAAAADe/UDA=")</f>
        <v>#VALUE!</v>
      </c>
      <c r="AX132" t="e">
        <f>AND('UP133'!EE94,"AAAAADe/UDE=")</f>
        <v>#VALUE!</v>
      </c>
      <c r="AY132" t="e">
        <f>AND('UP133'!EF94,"AAAAADe/UDI=")</f>
        <v>#VALUE!</v>
      </c>
      <c r="AZ132" t="e">
        <f>AND('UP133'!EG94,"AAAAADe/UDM=")</f>
        <v>#VALUE!</v>
      </c>
      <c r="BA132" t="e">
        <f>AND('UP133'!EH94,"AAAAADe/UDQ=")</f>
        <v>#VALUE!</v>
      </c>
      <c r="BB132" t="e">
        <f>AND('UP133'!EI94,"AAAAADe/UDU=")</f>
        <v>#VALUE!</v>
      </c>
      <c r="BC132" t="e">
        <f>AND('UP133'!EJ94,"AAAAADe/UDY=")</f>
        <v>#VALUE!</v>
      </c>
      <c r="BD132" t="e">
        <f>AND('UP133'!EK94,"AAAAADe/UDc=")</f>
        <v>#VALUE!</v>
      </c>
      <c r="BE132" t="e">
        <f>AND('UP133'!EL94,"AAAAADe/UDg=")</f>
        <v>#VALUE!</v>
      </c>
      <c r="BF132" t="e">
        <f>AND('UP133'!EM94,"AAAAADe/UDk=")</f>
        <v>#VALUE!</v>
      </c>
      <c r="BG132" t="e">
        <f>AND('UP133'!EN94,"AAAAADe/UDo=")</f>
        <v>#VALUE!</v>
      </c>
      <c r="BH132" t="e">
        <f>AND('UP133'!EO94,"AAAAADe/UDs=")</f>
        <v>#VALUE!</v>
      </c>
      <c r="BI132" t="e">
        <f>AND('UP133'!EP94,"AAAAADe/UDw=")</f>
        <v>#VALUE!</v>
      </c>
      <c r="BJ132" t="e">
        <f>AND('UP133'!EQ94,"AAAAADe/UD0=")</f>
        <v>#VALUE!</v>
      </c>
      <c r="BK132" t="e">
        <f>AND('UP133'!ER94,"AAAAADe/UD4=")</f>
        <v>#VALUE!</v>
      </c>
      <c r="BL132" t="e">
        <f>AND('UP133'!ES94,"AAAAADe/UD8=")</f>
        <v>#VALUE!</v>
      </c>
      <c r="BM132" t="e">
        <f>AND('UP133'!ET94,"AAAAADe/UEA=")</f>
        <v>#VALUE!</v>
      </c>
      <c r="BN132" t="e">
        <f>AND('UP133'!EU94,"AAAAADe/UEE=")</f>
        <v>#VALUE!</v>
      </c>
      <c r="BO132" t="e">
        <f>AND('UP133'!EV94,"AAAAADe/UEI=")</f>
        <v>#VALUE!</v>
      </c>
      <c r="BP132" t="e">
        <f>AND('UP133'!EW94,"AAAAADe/UEM=")</f>
        <v>#VALUE!</v>
      </c>
      <c r="BQ132" t="e">
        <f>AND('UP133'!EX94,"AAAAADe/UEQ=")</f>
        <v>#VALUE!</v>
      </c>
      <c r="BR132" t="e">
        <f>AND('UP133'!EY94,"AAAAADe/UEU=")</f>
        <v>#VALUE!</v>
      </c>
      <c r="BS132" t="e">
        <f>AND('UP133'!EZ94,"AAAAADe/UEY=")</f>
        <v>#VALUE!</v>
      </c>
      <c r="BT132" t="e">
        <f>AND('UP133'!FA94,"AAAAADe/UEc=")</f>
        <v>#VALUE!</v>
      </c>
      <c r="BU132" t="e">
        <f>AND('UP133'!FB94,"AAAAADe/UEg=")</f>
        <v>#VALUE!</v>
      </c>
      <c r="BV132" t="e">
        <f>AND('UP133'!FC94,"AAAAADe/UEk=")</f>
        <v>#VALUE!</v>
      </c>
      <c r="BW132" t="e">
        <f>AND('UP133'!FD94,"AAAAADe/UEo=")</f>
        <v>#VALUE!</v>
      </c>
      <c r="BX132" t="e">
        <f>AND('UP133'!FE94,"AAAAADe/UEs=")</f>
        <v>#VALUE!</v>
      </c>
      <c r="BY132" t="e">
        <f>AND('UP133'!FF94,"AAAAADe/UEw=")</f>
        <v>#VALUE!</v>
      </c>
      <c r="BZ132" t="e">
        <f>AND('UP133'!FG94,"AAAAADe/UE0=")</f>
        <v>#VALUE!</v>
      </c>
      <c r="CA132" t="e">
        <f>AND('UP133'!FH94,"AAAAADe/UE4=")</f>
        <v>#VALUE!</v>
      </c>
      <c r="CB132" t="e">
        <f>AND('UP133'!FI94,"AAAAADe/UE8=")</f>
        <v>#VALUE!</v>
      </c>
      <c r="CC132" t="e">
        <f>AND('UP133'!FJ94,"AAAAADe/UFA=")</f>
        <v>#VALUE!</v>
      </c>
      <c r="CD132" t="e">
        <f>AND('UP133'!FK94,"AAAAADe/UFE=")</f>
        <v>#VALUE!</v>
      </c>
      <c r="CE132" t="e">
        <f>AND('UP133'!FL94,"AAAAADe/UFI=")</f>
        <v>#VALUE!</v>
      </c>
      <c r="CF132" t="e">
        <f>AND('UP133'!FM94,"AAAAADe/UFM=")</f>
        <v>#VALUE!</v>
      </c>
      <c r="CG132" t="e">
        <f>AND('UP133'!FN94,"AAAAADe/UFQ=")</f>
        <v>#VALUE!</v>
      </c>
      <c r="CH132" t="e">
        <f>AND('UP133'!FO94,"AAAAADe/UFU=")</f>
        <v>#VALUE!</v>
      </c>
      <c r="CI132" t="e">
        <f>AND('UP133'!FP94,"AAAAADe/UFY=")</f>
        <v>#VALUE!</v>
      </c>
      <c r="CJ132" t="e">
        <f>AND('UP133'!FQ94,"AAAAADe/UFc=")</f>
        <v>#VALUE!</v>
      </c>
      <c r="CK132" t="e">
        <f>AND('UP133'!FR94,"AAAAADe/UFg=")</f>
        <v>#VALUE!</v>
      </c>
      <c r="CL132" t="e">
        <f>AND('UP133'!FS94,"AAAAADe/UFk=")</f>
        <v>#VALUE!</v>
      </c>
      <c r="CM132" t="e">
        <f>AND('UP133'!FT94,"AAAAADe/UFo=")</f>
        <v>#VALUE!</v>
      </c>
      <c r="CN132" t="e">
        <f>AND('UP133'!FU94,"AAAAADe/UFs=")</f>
        <v>#VALUE!</v>
      </c>
      <c r="CO132" t="e">
        <f>AND('UP133'!FV94,"AAAAADe/UFw=")</f>
        <v>#VALUE!</v>
      </c>
      <c r="CP132" t="e">
        <f>AND('UP133'!FW94,"AAAAADe/UF0=")</f>
        <v>#VALUE!</v>
      </c>
      <c r="CQ132" t="e">
        <f>AND('UP133'!FX94,"AAAAADe/UF4=")</f>
        <v>#VALUE!</v>
      </c>
      <c r="CR132" t="e">
        <f>AND('UP133'!FY94,"AAAAADe/UF8=")</f>
        <v>#VALUE!</v>
      </c>
      <c r="CS132" t="e">
        <f>AND('UP133'!FZ94,"AAAAADe/UGA=")</f>
        <v>#VALUE!</v>
      </c>
      <c r="CT132" t="e">
        <f>AND('UP133'!GA94,"AAAAADe/UGE=")</f>
        <v>#VALUE!</v>
      </c>
      <c r="CU132" t="e">
        <f>AND('UP133'!GB94,"AAAAADe/UGI=")</f>
        <v>#VALUE!</v>
      </c>
      <c r="CV132" t="e">
        <f>AND('UP133'!GC94,"AAAAADe/UGM=")</f>
        <v>#VALUE!</v>
      </c>
      <c r="CW132" t="e">
        <f>AND('UP133'!GD94,"AAAAADe/UGQ=")</f>
        <v>#VALUE!</v>
      </c>
      <c r="CX132" t="e">
        <f>AND('UP133'!GE94,"AAAAADe/UGU=")</f>
        <v>#VALUE!</v>
      </c>
      <c r="CY132" t="e">
        <f>AND('UP133'!GF94,"AAAAADe/UGY=")</f>
        <v>#VALUE!</v>
      </c>
      <c r="CZ132" t="e">
        <f>AND('UP133'!GG94,"AAAAADe/UGc=")</f>
        <v>#VALUE!</v>
      </c>
      <c r="DA132" t="e">
        <f>AND('UP133'!GH94,"AAAAADe/UGg=")</f>
        <v>#VALUE!</v>
      </c>
      <c r="DB132" t="e">
        <f>AND('UP133'!GI94,"AAAAADe/UGk=")</f>
        <v>#VALUE!</v>
      </c>
      <c r="DC132" t="e">
        <f>AND('UP133'!GJ94,"AAAAADe/UGo=")</f>
        <v>#VALUE!</v>
      </c>
      <c r="DD132" t="e">
        <f>AND('UP133'!GK94,"AAAAADe/UGs=")</f>
        <v>#VALUE!</v>
      </c>
      <c r="DE132" t="e">
        <f>AND('UP133'!GL94,"AAAAADe/UGw=")</f>
        <v>#VALUE!</v>
      </c>
      <c r="DF132" t="e">
        <f>AND('UP133'!GM94,"AAAAADe/UG0=")</f>
        <v>#VALUE!</v>
      </c>
      <c r="DG132" t="e">
        <f>AND('UP133'!GN94,"AAAAADe/UG4=")</f>
        <v>#VALUE!</v>
      </c>
      <c r="DH132" t="e">
        <f>AND('UP133'!GO94,"AAAAADe/UG8=")</f>
        <v>#VALUE!</v>
      </c>
      <c r="DI132" t="e">
        <f>AND('UP133'!GP94,"AAAAADe/UHA=")</f>
        <v>#VALUE!</v>
      </c>
      <c r="DJ132" t="e">
        <f>AND('UP133'!GQ94,"AAAAADe/UHE=")</f>
        <v>#VALUE!</v>
      </c>
      <c r="DK132" t="e">
        <f>AND('UP133'!GR94,"AAAAADe/UHI=")</f>
        <v>#VALUE!</v>
      </c>
      <c r="DL132" t="e">
        <f>AND('UP133'!GS94,"AAAAADe/UHM=")</f>
        <v>#VALUE!</v>
      </c>
      <c r="DM132" t="e">
        <f>AND('UP133'!GT94,"AAAAADe/UHQ=")</f>
        <v>#VALUE!</v>
      </c>
      <c r="DN132" t="e">
        <f>AND('UP133'!GU94,"AAAAADe/UHU=")</f>
        <v>#VALUE!</v>
      </c>
      <c r="DO132" t="e">
        <f>AND('UP133'!GV94,"AAAAADe/UHY=")</f>
        <v>#VALUE!</v>
      </c>
      <c r="DP132" t="e">
        <f>AND('UP133'!GW94,"AAAAADe/UHc=")</f>
        <v>#VALUE!</v>
      </c>
      <c r="DQ132" t="e">
        <f>AND('UP133'!GX94,"AAAAADe/UHg=")</f>
        <v>#VALUE!</v>
      </c>
      <c r="DR132" t="e">
        <f>AND('UP133'!GY94,"AAAAADe/UHk=")</f>
        <v>#VALUE!</v>
      </c>
      <c r="DS132" t="e">
        <f>AND('UP133'!GZ94,"AAAAADe/UHo=")</f>
        <v>#VALUE!</v>
      </c>
      <c r="DT132" t="e">
        <f>AND('UP133'!HA94,"AAAAADe/UHs=")</f>
        <v>#VALUE!</v>
      </c>
      <c r="DU132" t="e">
        <f>AND('UP133'!HB94,"AAAAADe/UHw=")</f>
        <v>#VALUE!</v>
      </c>
      <c r="DV132" t="e">
        <f>AND('UP133'!HC94,"AAAAADe/UH0=")</f>
        <v>#VALUE!</v>
      </c>
      <c r="DW132" t="e">
        <f>AND('UP133'!HD94,"AAAAADe/UH4=")</f>
        <v>#VALUE!</v>
      </c>
      <c r="DX132" t="e">
        <f>AND('UP133'!HE94,"AAAAADe/UH8=")</f>
        <v>#VALUE!</v>
      </c>
      <c r="DY132" t="e">
        <f>AND('UP133'!HF94,"AAAAADe/UIA=")</f>
        <v>#VALUE!</v>
      </c>
      <c r="DZ132" t="e">
        <f>AND('UP133'!HG94,"AAAAADe/UIE=")</f>
        <v>#VALUE!</v>
      </c>
      <c r="EA132" t="e">
        <f>AND('UP133'!HH94,"AAAAADe/UII=")</f>
        <v>#VALUE!</v>
      </c>
      <c r="EB132" t="e">
        <f>AND('UP133'!HI94,"AAAAADe/UIM=")</f>
        <v>#VALUE!</v>
      </c>
      <c r="EC132" t="e">
        <f>AND('UP133'!HJ94,"AAAAADe/UIQ=")</f>
        <v>#VALUE!</v>
      </c>
      <c r="ED132" t="e">
        <f>AND('UP133'!HK94,"AAAAADe/UIU=")</f>
        <v>#VALUE!</v>
      </c>
      <c r="EE132" t="e">
        <f>AND('UP133'!HL94,"AAAAADe/UIY=")</f>
        <v>#VALUE!</v>
      </c>
      <c r="EF132" t="e">
        <f>AND('UP133'!HM94,"AAAAADe/UIc=")</f>
        <v>#VALUE!</v>
      </c>
      <c r="EG132" t="e">
        <f>AND('UP133'!HN94,"AAAAADe/UIg=")</f>
        <v>#VALUE!</v>
      </c>
      <c r="EH132" t="e">
        <f>AND('UP133'!HO94,"AAAAADe/UIk=")</f>
        <v>#VALUE!</v>
      </c>
      <c r="EI132" t="e">
        <f>AND('UP133'!HP94,"AAAAADe/UIo=")</f>
        <v>#VALUE!</v>
      </c>
      <c r="EJ132" t="e">
        <f>AND('UP133'!HQ94,"AAAAADe/UIs=")</f>
        <v>#VALUE!</v>
      </c>
      <c r="EK132" t="e">
        <f>AND('UP133'!HR94,"AAAAADe/UIw=")</f>
        <v>#VALUE!</v>
      </c>
      <c r="EL132" t="e">
        <f>AND('UP133'!HS94,"AAAAADe/UI0=")</f>
        <v>#VALUE!</v>
      </c>
      <c r="EM132" t="e">
        <f>AND('UP133'!HT94,"AAAAADe/UI4=")</f>
        <v>#VALUE!</v>
      </c>
      <c r="EN132" t="e">
        <f>AND('UP133'!HU94,"AAAAADe/UI8=")</f>
        <v>#VALUE!</v>
      </c>
      <c r="EO132" t="e">
        <f>AND('UP133'!HV94,"AAAAADe/UJA=")</f>
        <v>#VALUE!</v>
      </c>
      <c r="EP132" t="e">
        <f>AND('UP133'!HW94,"AAAAADe/UJE=")</f>
        <v>#VALUE!</v>
      </c>
      <c r="EQ132" t="e">
        <f>AND('UP133'!HX94,"AAAAADe/UJI=")</f>
        <v>#VALUE!</v>
      </c>
      <c r="ER132" t="e">
        <f>AND('UP133'!HY94,"AAAAADe/UJM=")</f>
        <v>#VALUE!</v>
      </c>
      <c r="ES132" t="e">
        <f>AND('UP133'!HZ94,"AAAAADe/UJQ=")</f>
        <v>#VALUE!</v>
      </c>
      <c r="ET132" t="e">
        <f>AND('UP133'!IA94,"AAAAADe/UJU=")</f>
        <v>#VALUE!</v>
      </c>
      <c r="EU132" t="e">
        <f>AND('UP133'!IB94,"AAAAADe/UJY=")</f>
        <v>#VALUE!</v>
      </c>
      <c r="EV132" t="e">
        <f>AND('UP133'!IC94,"AAAAADe/UJc=")</f>
        <v>#VALUE!</v>
      </c>
      <c r="EW132" t="e">
        <f>AND('UP133'!ID94,"AAAAADe/UJg=")</f>
        <v>#VALUE!</v>
      </c>
      <c r="EX132" t="e">
        <f>AND('UP133'!IE94,"AAAAADe/UJk=")</f>
        <v>#VALUE!</v>
      </c>
      <c r="EY132" t="e">
        <f>AND('UP133'!IF94,"AAAAADe/UJo=")</f>
        <v>#VALUE!</v>
      </c>
      <c r="EZ132" t="e">
        <f>AND('UP133'!IG94,"AAAAADe/UJs=")</f>
        <v>#VALUE!</v>
      </c>
      <c r="FA132" t="e">
        <f>AND('UP133'!IH94,"AAAAADe/UJw=")</f>
        <v>#VALUE!</v>
      </c>
      <c r="FB132" t="e">
        <f>AND('UP133'!II94,"AAAAADe/UJ0=")</f>
        <v>#VALUE!</v>
      </c>
      <c r="FC132" t="e">
        <f>AND('UP133'!IJ94,"AAAAADe/UJ4=")</f>
        <v>#VALUE!</v>
      </c>
      <c r="FD132" t="e">
        <f>AND('UP133'!IK94,"AAAAADe/UJ8=")</f>
        <v>#VALUE!</v>
      </c>
      <c r="FE132" t="e">
        <f>AND('UP133'!IL94,"AAAAADe/UKA=")</f>
        <v>#VALUE!</v>
      </c>
      <c r="FF132" t="e">
        <f>AND('UP133'!IM94,"AAAAADe/UKE=")</f>
        <v>#VALUE!</v>
      </c>
      <c r="FG132" t="e">
        <f>AND('UP133'!IN94,"AAAAADe/UKI=")</f>
        <v>#VALUE!</v>
      </c>
      <c r="FH132" t="e">
        <f>AND('UP133'!IO94,"AAAAADe/UKM=")</f>
        <v>#VALUE!</v>
      </c>
      <c r="FI132" t="e">
        <f>AND('UP133'!IP94,"AAAAADe/UKQ=")</f>
        <v>#VALUE!</v>
      </c>
      <c r="FJ132" t="e">
        <f>AND('UP133'!IQ94,"AAAAADe/UKU=")</f>
        <v>#VALUE!</v>
      </c>
      <c r="FK132">
        <f>IF('UP133'!95:95,"AAAAADe/UKY=",0)</f>
        <v>0</v>
      </c>
      <c r="FL132" t="e">
        <f>AND('UP133'!A95,"AAAAADe/UKc=")</f>
        <v>#VALUE!</v>
      </c>
      <c r="FM132" t="e">
        <f>AND('UP133'!B95,"AAAAADe/UKg=")</f>
        <v>#VALUE!</v>
      </c>
      <c r="FN132" t="e">
        <f>AND('UP133'!C95,"AAAAADe/UKk=")</f>
        <v>#VALUE!</v>
      </c>
      <c r="FO132" t="e">
        <f>AND('UP133'!D95,"AAAAADe/UKo=")</f>
        <v>#VALUE!</v>
      </c>
      <c r="FP132" t="e">
        <f>AND('UP133'!E95,"AAAAADe/UKs=")</f>
        <v>#VALUE!</v>
      </c>
      <c r="FQ132" t="e">
        <f>AND('UP133'!F95,"AAAAADe/UKw=")</f>
        <v>#VALUE!</v>
      </c>
      <c r="FR132" t="e">
        <f>AND('UP133'!G95,"AAAAADe/UK0=")</f>
        <v>#VALUE!</v>
      </c>
      <c r="FS132" t="e">
        <f>AND('UP133'!H95,"AAAAADe/UK4=")</f>
        <v>#VALUE!</v>
      </c>
      <c r="FT132" t="e">
        <f>AND('UP133'!I95,"AAAAADe/UK8=")</f>
        <v>#VALUE!</v>
      </c>
      <c r="FU132" t="e">
        <f>AND('UP133'!J95,"AAAAADe/ULA=")</f>
        <v>#VALUE!</v>
      </c>
      <c r="FV132" t="e">
        <f>AND('UP133'!K95,"AAAAADe/ULE=")</f>
        <v>#VALUE!</v>
      </c>
      <c r="FW132" t="e">
        <f>AND('UP133'!L95,"AAAAADe/ULI=")</f>
        <v>#VALUE!</v>
      </c>
      <c r="FX132" t="e">
        <f>AND('UP133'!M95,"AAAAADe/ULM=")</f>
        <v>#VALUE!</v>
      </c>
      <c r="FY132" t="e">
        <f>AND('UP133'!N95,"AAAAADe/ULQ=")</f>
        <v>#VALUE!</v>
      </c>
      <c r="FZ132" t="e">
        <f>AND('UP133'!O95,"AAAAADe/ULU=")</f>
        <v>#VALUE!</v>
      </c>
      <c r="GA132" t="e">
        <f>AND('UP133'!P95,"AAAAADe/ULY=")</f>
        <v>#VALUE!</v>
      </c>
      <c r="GB132" t="e">
        <f>AND('UP133'!Q95,"AAAAADe/ULc=")</f>
        <v>#VALUE!</v>
      </c>
      <c r="GC132" t="e">
        <f>AND('UP133'!R95,"AAAAADe/ULg=")</f>
        <v>#VALUE!</v>
      </c>
      <c r="GD132" t="e">
        <f>AND('UP133'!S95,"AAAAADe/ULk=")</f>
        <v>#VALUE!</v>
      </c>
      <c r="GE132" t="e">
        <f>AND('UP133'!T95,"AAAAADe/ULo=")</f>
        <v>#VALUE!</v>
      </c>
      <c r="GF132" t="e">
        <f>AND('UP133'!U95,"AAAAADe/ULs=")</f>
        <v>#VALUE!</v>
      </c>
      <c r="GG132" t="e">
        <f>AND('UP133'!V95,"AAAAADe/ULw=")</f>
        <v>#VALUE!</v>
      </c>
      <c r="GH132" t="e">
        <f>AND('UP133'!W95,"AAAAADe/UL0=")</f>
        <v>#VALUE!</v>
      </c>
      <c r="GI132" t="e">
        <f>AND('UP133'!X95,"AAAAADe/UL4=")</f>
        <v>#VALUE!</v>
      </c>
      <c r="GJ132" t="e">
        <f>AND('UP133'!Y95,"AAAAADe/UL8=")</f>
        <v>#VALUE!</v>
      </c>
      <c r="GK132" t="e">
        <f>AND('UP133'!Z95,"AAAAADe/UMA=")</f>
        <v>#VALUE!</v>
      </c>
      <c r="GL132" t="e">
        <f>AND('UP133'!AA95,"AAAAADe/UME=")</f>
        <v>#VALUE!</v>
      </c>
      <c r="GM132" t="e">
        <f>AND('UP133'!AB95,"AAAAADe/UMI=")</f>
        <v>#VALUE!</v>
      </c>
      <c r="GN132" t="e">
        <f>AND('UP133'!AC95,"AAAAADe/UMM=")</f>
        <v>#VALUE!</v>
      </c>
      <c r="GO132" t="e">
        <f>AND('UP133'!AD95,"AAAAADe/UMQ=")</f>
        <v>#VALUE!</v>
      </c>
      <c r="GP132" t="e">
        <f>AND('UP133'!AE95,"AAAAADe/UMU=")</f>
        <v>#VALUE!</v>
      </c>
      <c r="GQ132" t="e">
        <f>AND('UP133'!AF95,"AAAAADe/UMY=")</f>
        <v>#VALUE!</v>
      </c>
      <c r="GR132" t="e">
        <f>AND('UP133'!AG95,"AAAAADe/UMc=")</f>
        <v>#VALUE!</v>
      </c>
      <c r="GS132" t="e">
        <f>AND('UP133'!AH95,"AAAAADe/UMg=")</f>
        <v>#VALUE!</v>
      </c>
      <c r="GT132" t="e">
        <f>AND('UP133'!AI95,"AAAAADe/UMk=")</f>
        <v>#VALUE!</v>
      </c>
      <c r="GU132" t="e">
        <f>AND('UP133'!AJ95,"AAAAADe/UMo=")</f>
        <v>#VALUE!</v>
      </c>
      <c r="GV132" t="e">
        <f>AND('UP133'!AK95,"AAAAADe/UMs=")</f>
        <v>#VALUE!</v>
      </c>
      <c r="GW132" t="e">
        <f>AND('UP133'!AL95,"AAAAADe/UMw=")</f>
        <v>#VALUE!</v>
      </c>
      <c r="GX132" t="e">
        <f>AND('UP133'!AM95,"AAAAADe/UM0=")</f>
        <v>#VALUE!</v>
      </c>
      <c r="GY132" t="e">
        <f>AND('UP133'!AN95,"AAAAADe/UM4=")</f>
        <v>#VALUE!</v>
      </c>
      <c r="GZ132" t="e">
        <f>AND('UP133'!AO95,"AAAAADe/UM8=")</f>
        <v>#VALUE!</v>
      </c>
      <c r="HA132" t="e">
        <f>AND('UP133'!AP95,"AAAAADe/UNA=")</f>
        <v>#VALUE!</v>
      </c>
      <c r="HB132" t="e">
        <f>AND('UP133'!AQ95,"AAAAADe/UNE=")</f>
        <v>#VALUE!</v>
      </c>
      <c r="HC132" t="e">
        <f>AND('UP133'!AR95,"AAAAADe/UNI=")</f>
        <v>#VALUE!</v>
      </c>
      <c r="HD132" t="e">
        <f>AND('UP133'!AS95,"AAAAADe/UNM=")</f>
        <v>#VALUE!</v>
      </c>
      <c r="HE132" t="e">
        <f>AND('UP133'!AT95,"AAAAADe/UNQ=")</f>
        <v>#VALUE!</v>
      </c>
      <c r="HF132" t="e">
        <f>AND('UP133'!AU95,"AAAAADe/UNU=")</f>
        <v>#VALUE!</v>
      </c>
      <c r="HG132" t="e">
        <f>AND('UP133'!AV95,"AAAAADe/UNY=")</f>
        <v>#VALUE!</v>
      </c>
      <c r="HH132" t="e">
        <f>AND('UP133'!AW95,"AAAAADe/UNc=")</f>
        <v>#VALUE!</v>
      </c>
      <c r="HI132" t="e">
        <f>AND('UP133'!AX95,"AAAAADe/UNg=")</f>
        <v>#VALUE!</v>
      </c>
      <c r="HJ132" t="e">
        <f>AND('UP133'!AY95,"AAAAADe/UNk=")</f>
        <v>#VALUE!</v>
      </c>
      <c r="HK132" t="e">
        <f>AND('UP133'!AZ95,"AAAAADe/UNo=")</f>
        <v>#VALUE!</v>
      </c>
      <c r="HL132" t="e">
        <f>AND('UP133'!BA95,"AAAAADe/UNs=")</f>
        <v>#VALUE!</v>
      </c>
      <c r="HM132" t="e">
        <f>AND('UP133'!BB95,"AAAAADe/UNw=")</f>
        <v>#VALUE!</v>
      </c>
      <c r="HN132" t="e">
        <f>AND('UP133'!BC95,"AAAAADe/UN0=")</f>
        <v>#VALUE!</v>
      </c>
      <c r="HO132" t="e">
        <f>AND('UP133'!BD95,"AAAAADe/UN4=")</f>
        <v>#VALUE!</v>
      </c>
      <c r="HP132" t="e">
        <f>AND('UP133'!BE95,"AAAAADe/UN8=")</f>
        <v>#VALUE!</v>
      </c>
      <c r="HQ132" t="e">
        <f>AND('UP133'!BF95,"AAAAADe/UOA=")</f>
        <v>#VALUE!</v>
      </c>
      <c r="HR132" t="e">
        <f>AND('UP133'!BG95,"AAAAADe/UOE=")</f>
        <v>#VALUE!</v>
      </c>
      <c r="HS132" t="e">
        <f>AND('UP133'!BH95,"AAAAADe/UOI=")</f>
        <v>#VALUE!</v>
      </c>
      <c r="HT132" t="e">
        <f>AND('UP133'!BI95,"AAAAADe/UOM=")</f>
        <v>#VALUE!</v>
      </c>
      <c r="HU132" t="e">
        <f>AND('UP133'!BJ95,"AAAAADe/UOQ=")</f>
        <v>#VALUE!</v>
      </c>
      <c r="HV132" t="e">
        <f>AND('UP133'!BK95,"AAAAADe/UOU=")</f>
        <v>#VALUE!</v>
      </c>
      <c r="HW132" t="e">
        <f>AND('UP133'!BL95,"AAAAADe/UOY=")</f>
        <v>#VALUE!</v>
      </c>
      <c r="HX132" t="e">
        <f>AND('UP133'!BM95,"AAAAADe/UOc=")</f>
        <v>#VALUE!</v>
      </c>
      <c r="HY132" t="e">
        <f>AND('UP133'!BN95,"AAAAADe/UOg=")</f>
        <v>#VALUE!</v>
      </c>
      <c r="HZ132" t="e">
        <f>AND('UP133'!BO95,"AAAAADe/UOk=")</f>
        <v>#VALUE!</v>
      </c>
      <c r="IA132" t="e">
        <f>AND('UP133'!BP95,"AAAAADe/UOo=")</f>
        <v>#VALUE!</v>
      </c>
      <c r="IB132" t="e">
        <f>AND('UP133'!BQ95,"AAAAADe/UOs=")</f>
        <v>#VALUE!</v>
      </c>
      <c r="IC132" t="e">
        <f>AND('UP133'!BR95,"AAAAADe/UOw=")</f>
        <v>#VALUE!</v>
      </c>
      <c r="ID132" t="e">
        <f>AND('UP133'!BS95,"AAAAADe/UO0=")</f>
        <v>#VALUE!</v>
      </c>
      <c r="IE132" t="e">
        <f>AND('UP133'!BT95,"AAAAADe/UO4=")</f>
        <v>#VALUE!</v>
      </c>
      <c r="IF132" t="e">
        <f>AND('UP133'!BU95,"AAAAADe/UO8=")</f>
        <v>#VALUE!</v>
      </c>
      <c r="IG132" t="e">
        <f>AND('UP133'!BV95,"AAAAADe/UPA=")</f>
        <v>#VALUE!</v>
      </c>
      <c r="IH132" t="e">
        <f>AND('UP133'!BW95,"AAAAADe/UPE=")</f>
        <v>#VALUE!</v>
      </c>
      <c r="II132" t="e">
        <f>AND('UP133'!BX95,"AAAAADe/UPI=")</f>
        <v>#VALUE!</v>
      </c>
      <c r="IJ132" t="e">
        <f>AND('UP133'!BY95,"AAAAADe/UPM=")</f>
        <v>#VALUE!</v>
      </c>
      <c r="IK132" t="e">
        <f>AND('UP133'!BZ95,"AAAAADe/UPQ=")</f>
        <v>#VALUE!</v>
      </c>
      <c r="IL132" t="e">
        <f>AND('UP133'!CA95,"AAAAADe/UPU=")</f>
        <v>#VALUE!</v>
      </c>
      <c r="IM132" t="e">
        <f>AND('UP133'!CB95,"AAAAADe/UPY=")</f>
        <v>#VALUE!</v>
      </c>
      <c r="IN132" t="e">
        <f>AND('UP133'!CC95,"AAAAADe/UPc=")</f>
        <v>#VALUE!</v>
      </c>
      <c r="IO132" t="e">
        <f>AND('UP133'!CD95,"AAAAADe/UPg=")</f>
        <v>#VALUE!</v>
      </c>
      <c r="IP132" t="e">
        <f>AND('UP133'!CE95,"AAAAADe/UPk=")</f>
        <v>#VALUE!</v>
      </c>
      <c r="IQ132" t="e">
        <f>AND('UP133'!CF95,"AAAAADe/UPo=")</f>
        <v>#VALUE!</v>
      </c>
      <c r="IR132" t="e">
        <f>AND('UP133'!CG95,"AAAAADe/UPs=")</f>
        <v>#VALUE!</v>
      </c>
      <c r="IS132" t="e">
        <f>AND('UP133'!CH95,"AAAAADe/UPw=")</f>
        <v>#VALUE!</v>
      </c>
      <c r="IT132" t="e">
        <f>AND('UP133'!CI95,"AAAAADe/UP0=")</f>
        <v>#VALUE!</v>
      </c>
      <c r="IU132" t="e">
        <f>AND('UP133'!CJ95,"AAAAADe/UP4=")</f>
        <v>#VALUE!</v>
      </c>
      <c r="IV132" t="e">
        <f>AND('UP133'!CK95,"AAAAADe/UP8=")</f>
        <v>#VALUE!</v>
      </c>
    </row>
    <row r="133" spans="1:256">
      <c r="A133" t="e">
        <f>AND('UP133'!CL95,"AAAAAF/z5wA=")</f>
        <v>#VALUE!</v>
      </c>
      <c r="B133" t="e">
        <f>AND('UP133'!CM95,"AAAAAF/z5wE=")</f>
        <v>#VALUE!</v>
      </c>
      <c r="C133" t="e">
        <f>AND('UP133'!CN95,"AAAAAF/z5wI=")</f>
        <v>#VALUE!</v>
      </c>
      <c r="D133" t="e">
        <f>AND('UP133'!CO95,"AAAAAF/z5wM=")</f>
        <v>#VALUE!</v>
      </c>
      <c r="E133" t="e">
        <f>AND('UP133'!CP95,"AAAAAF/z5wQ=")</f>
        <v>#VALUE!</v>
      </c>
      <c r="F133" t="e">
        <f>AND('UP133'!CQ95,"AAAAAF/z5wU=")</f>
        <v>#VALUE!</v>
      </c>
      <c r="G133" t="e">
        <f>AND('UP133'!CR95,"AAAAAF/z5wY=")</f>
        <v>#VALUE!</v>
      </c>
      <c r="H133" t="e">
        <f>AND('UP133'!CS95,"AAAAAF/z5wc=")</f>
        <v>#VALUE!</v>
      </c>
      <c r="I133" t="e">
        <f>AND('UP133'!CT95,"AAAAAF/z5wg=")</f>
        <v>#VALUE!</v>
      </c>
      <c r="J133" t="e">
        <f>AND('UP133'!CU95,"AAAAAF/z5wk=")</f>
        <v>#VALUE!</v>
      </c>
      <c r="K133" t="e">
        <f>AND('UP133'!CV95,"AAAAAF/z5wo=")</f>
        <v>#VALUE!</v>
      </c>
      <c r="L133" t="e">
        <f>AND('UP133'!CW95,"AAAAAF/z5ws=")</f>
        <v>#VALUE!</v>
      </c>
      <c r="M133" t="e">
        <f>AND('UP133'!CX95,"AAAAAF/z5ww=")</f>
        <v>#VALUE!</v>
      </c>
      <c r="N133" t="e">
        <f>AND('UP133'!CY95,"AAAAAF/z5w0=")</f>
        <v>#VALUE!</v>
      </c>
      <c r="O133" t="e">
        <f>AND('UP133'!CZ95,"AAAAAF/z5w4=")</f>
        <v>#VALUE!</v>
      </c>
      <c r="P133" t="e">
        <f>AND('UP133'!DA95,"AAAAAF/z5w8=")</f>
        <v>#VALUE!</v>
      </c>
      <c r="Q133" t="e">
        <f>AND('UP133'!DB95,"AAAAAF/z5xA=")</f>
        <v>#VALUE!</v>
      </c>
      <c r="R133" t="e">
        <f>AND('UP133'!DC95,"AAAAAF/z5xE=")</f>
        <v>#VALUE!</v>
      </c>
      <c r="S133" t="e">
        <f>AND('UP133'!DD95,"AAAAAF/z5xI=")</f>
        <v>#VALUE!</v>
      </c>
      <c r="T133" t="e">
        <f>AND('UP133'!DE95,"AAAAAF/z5xM=")</f>
        <v>#VALUE!</v>
      </c>
      <c r="U133" t="e">
        <f>AND('UP133'!DF95,"AAAAAF/z5xQ=")</f>
        <v>#VALUE!</v>
      </c>
      <c r="V133" t="e">
        <f>AND('UP133'!DG95,"AAAAAF/z5xU=")</f>
        <v>#VALUE!</v>
      </c>
      <c r="W133" t="e">
        <f>AND('UP133'!DH95,"AAAAAF/z5xY=")</f>
        <v>#VALUE!</v>
      </c>
      <c r="X133" t="e">
        <f>AND('UP133'!DI95,"AAAAAF/z5xc=")</f>
        <v>#VALUE!</v>
      </c>
      <c r="Y133" t="e">
        <f>AND('UP133'!DJ95,"AAAAAF/z5xg=")</f>
        <v>#VALUE!</v>
      </c>
      <c r="Z133" t="e">
        <f>AND('UP133'!DK95,"AAAAAF/z5xk=")</f>
        <v>#VALUE!</v>
      </c>
      <c r="AA133" t="e">
        <f>AND('UP133'!DL95,"AAAAAF/z5xo=")</f>
        <v>#VALUE!</v>
      </c>
      <c r="AB133" t="e">
        <f>AND('UP133'!DM95,"AAAAAF/z5xs=")</f>
        <v>#VALUE!</v>
      </c>
      <c r="AC133" t="e">
        <f>AND('UP133'!DN95,"AAAAAF/z5xw=")</f>
        <v>#VALUE!</v>
      </c>
      <c r="AD133" t="e">
        <f>AND('UP133'!DO95,"AAAAAF/z5x0=")</f>
        <v>#VALUE!</v>
      </c>
      <c r="AE133" t="e">
        <f>AND('UP133'!DP95,"AAAAAF/z5x4=")</f>
        <v>#VALUE!</v>
      </c>
      <c r="AF133" t="e">
        <f>AND('UP133'!DQ95,"AAAAAF/z5x8=")</f>
        <v>#VALUE!</v>
      </c>
      <c r="AG133" t="e">
        <f>AND('UP133'!DR95,"AAAAAF/z5yA=")</f>
        <v>#VALUE!</v>
      </c>
      <c r="AH133" t="e">
        <f>AND('UP133'!DS95,"AAAAAF/z5yE=")</f>
        <v>#VALUE!</v>
      </c>
      <c r="AI133" t="e">
        <f>AND('UP133'!DT95,"AAAAAF/z5yI=")</f>
        <v>#VALUE!</v>
      </c>
      <c r="AJ133" t="e">
        <f>AND('UP133'!DU95,"AAAAAF/z5yM=")</f>
        <v>#VALUE!</v>
      </c>
      <c r="AK133" t="e">
        <f>AND('UP133'!DV95,"AAAAAF/z5yQ=")</f>
        <v>#VALUE!</v>
      </c>
      <c r="AL133" t="e">
        <f>AND('UP133'!DW95,"AAAAAF/z5yU=")</f>
        <v>#VALUE!</v>
      </c>
      <c r="AM133" t="e">
        <f>AND('UP133'!DX95,"AAAAAF/z5yY=")</f>
        <v>#VALUE!</v>
      </c>
      <c r="AN133" t="e">
        <f>AND('UP133'!DY95,"AAAAAF/z5yc=")</f>
        <v>#VALUE!</v>
      </c>
      <c r="AO133" t="e">
        <f>AND('UP133'!DZ95,"AAAAAF/z5yg=")</f>
        <v>#VALUE!</v>
      </c>
      <c r="AP133" t="e">
        <f>AND('UP133'!EA95,"AAAAAF/z5yk=")</f>
        <v>#VALUE!</v>
      </c>
      <c r="AQ133" t="e">
        <f>AND('UP133'!EB95,"AAAAAF/z5yo=")</f>
        <v>#VALUE!</v>
      </c>
      <c r="AR133" t="e">
        <f>AND('UP133'!EC95,"AAAAAF/z5ys=")</f>
        <v>#VALUE!</v>
      </c>
      <c r="AS133" t="e">
        <f>AND('UP133'!ED95,"AAAAAF/z5yw=")</f>
        <v>#VALUE!</v>
      </c>
      <c r="AT133" t="e">
        <f>AND('UP133'!EE95,"AAAAAF/z5y0=")</f>
        <v>#VALUE!</v>
      </c>
      <c r="AU133" t="e">
        <f>AND('UP133'!EF95,"AAAAAF/z5y4=")</f>
        <v>#VALUE!</v>
      </c>
      <c r="AV133" t="e">
        <f>AND('UP133'!EG95,"AAAAAF/z5y8=")</f>
        <v>#VALUE!</v>
      </c>
      <c r="AW133" t="e">
        <f>AND('UP133'!EH95,"AAAAAF/z5zA=")</f>
        <v>#VALUE!</v>
      </c>
      <c r="AX133" t="e">
        <f>AND('UP133'!EI95,"AAAAAF/z5zE=")</f>
        <v>#VALUE!</v>
      </c>
      <c r="AY133" t="e">
        <f>AND('UP133'!EJ95,"AAAAAF/z5zI=")</f>
        <v>#VALUE!</v>
      </c>
      <c r="AZ133" t="e">
        <f>AND('UP133'!EK95,"AAAAAF/z5zM=")</f>
        <v>#VALUE!</v>
      </c>
      <c r="BA133" t="e">
        <f>AND('UP133'!EL95,"AAAAAF/z5zQ=")</f>
        <v>#VALUE!</v>
      </c>
      <c r="BB133" t="e">
        <f>AND('UP133'!EM95,"AAAAAF/z5zU=")</f>
        <v>#VALUE!</v>
      </c>
      <c r="BC133" t="e">
        <f>AND('UP133'!EN95,"AAAAAF/z5zY=")</f>
        <v>#VALUE!</v>
      </c>
      <c r="BD133" t="e">
        <f>AND('UP133'!EO95,"AAAAAF/z5zc=")</f>
        <v>#VALUE!</v>
      </c>
      <c r="BE133" t="e">
        <f>AND('UP133'!EP95,"AAAAAF/z5zg=")</f>
        <v>#VALUE!</v>
      </c>
      <c r="BF133" t="e">
        <f>AND('UP133'!EQ95,"AAAAAF/z5zk=")</f>
        <v>#VALUE!</v>
      </c>
      <c r="BG133" t="e">
        <f>AND('UP133'!ER95,"AAAAAF/z5zo=")</f>
        <v>#VALUE!</v>
      </c>
      <c r="BH133" t="e">
        <f>AND('UP133'!ES95,"AAAAAF/z5zs=")</f>
        <v>#VALUE!</v>
      </c>
      <c r="BI133" t="e">
        <f>AND('UP133'!ET95,"AAAAAF/z5zw=")</f>
        <v>#VALUE!</v>
      </c>
      <c r="BJ133" t="e">
        <f>AND('UP133'!EU95,"AAAAAF/z5z0=")</f>
        <v>#VALUE!</v>
      </c>
      <c r="BK133" t="e">
        <f>AND('UP133'!EV95,"AAAAAF/z5z4=")</f>
        <v>#VALUE!</v>
      </c>
      <c r="BL133" t="e">
        <f>AND('UP133'!EW95,"AAAAAF/z5z8=")</f>
        <v>#VALUE!</v>
      </c>
      <c r="BM133" t="e">
        <f>AND('UP133'!EX95,"AAAAAF/z50A=")</f>
        <v>#VALUE!</v>
      </c>
      <c r="BN133" t="e">
        <f>AND('UP133'!EY95,"AAAAAF/z50E=")</f>
        <v>#VALUE!</v>
      </c>
      <c r="BO133" t="e">
        <f>AND('UP133'!EZ95,"AAAAAF/z50I=")</f>
        <v>#VALUE!</v>
      </c>
      <c r="BP133" t="e">
        <f>AND('UP133'!FA95,"AAAAAF/z50M=")</f>
        <v>#VALUE!</v>
      </c>
      <c r="BQ133" t="e">
        <f>AND('UP133'!FB95,"AAAAAF/z50Q=")</f>
        <v>#VALUE!</v>
      </c>
      <c r="BR133" t="e">
        <f>AND('UP133'!FC95,"AAAAAF/z50U=")</f>
        <v>#VALUE!</v>
      </c>
      <c r="BS133" t="e">
        <f>AND('UP133'!FD95,"AAAAAF/z50Y=")</f>
        <v>#VALUE!</v>
      </c>
      <c r="BT133" t="e">
        <f>AND('UP133'!FE95,"AAAAAF/z50c=")</f>
        <v>#VALUE!</v>
      </c>
      <c r="BU133" t="e">
        <f>AND('UP133'!FF95,"AAAAAF/z50g=")</f>
        <v>#VALUE!</v>
      </c>
      <c r="BV133" t="e">
        <f>AND('UP133'!FG95,"AAAAAF/z50k=")</f>
        <v>#VALUE!</v>
      </c>
      <c r="BW133" t="e">
        <f>AND('UP133'!FH95,"AAAAAF/z50o=")</f>
        <v>#VALUE!</v>
      </c>
      <c r="BX133" t="e">
        <f>AND('UP133'!FI95,"AAAAAF/z50s=")</f>
        <v>#VALUE!</v>
      </c>
      <c r="BY133" t="e">
        <f>AND('UP133'!FJ95,"AAAAAF/z50w=")</f>
        <v>#VALUE!</v>
      </c>
      <c r="BZ133" t="e">
        <f>AND('UP133'!FK95,"AAAAAF/z500=")</f>
        <v>#VALUE!</v>
      </c>
      <c r="CA133" t="e">
        <f>AND('UP133'!FL95,"AAAAAF/z504=")</f>
        <v>#VALUE!</v>
      </c>
      <c r="CB133" t="e">
        <f>AND('UP133'!FM95,"AAAAAF/z508=")</f>
        <v>#VALUE!</v>
      </c>
      <c r="CC133" t="e">
        <f>AND('UP133'!FN95,"AAAAAF/z51A=")</f>
        <v>#VALUE!</v>
      </c>
      <c r="CD133" t="e">
        <f>AND('UP133'!FO95,"AAAAAF/z51E=")</f>
        <v>#VALUE!</v>
      </c>
      <c r="CE133" t="e">
        <f>AND('UP133'!FP95,"AAAAAF/z51I=")</f>
        <v>#VALUE!</v>
      </c>
      <c r="CF133" t="e">
        <f>AND('UP133'!FQ95,"AAAAAF/z51M=")</f>
        <v>#VALUE!</v>
      </c>
      <c r="CG133" t="e">
        <f>AND('UP133'!FR95,"AAAAAF/z51Q=")</f>
        <v>#VALUE!</v>
      </c>
      <c r="CH133" t="e">
        <f>AND('UP133'!FS95,"AAAAAF/z51U=")</f>
        <v>#VALUE!</v>
      </c>
      <c r="CI133" t="e">
        <f>AND('UP133'!FT95,"AAAAAF/z51Y=")</f>
        <v>#VALUE!</v>
      </c>
      <c r="CJ133" t="e">
        <f>AND('UP133'!FU95,"AAAAAF/z51c=")</f>
        <v>#VALUE!</v>
      </c>
      <c r="CK133" t="e">
        <f>AND('UP133'!FV95,"AAAAAF/z51g=")</f>
        <v>#VALUE!</v>
      </c>
      <c r="CL133" t="e">
        <f>AND('UP133'!FW95,"AAAAAF/z51k=")</f>
        <v>#VALUE!</v>
      </c>
      <c r="CM133" t="e">
        <f>AND('UP133'!FX95,"AAAAAF/z51o=")</f>
        <v>#VALUE!</v>
      </c>
      <c r="CN133" t="e">
        <f>AND('UP133'!FY95,"AAAAAF/z51s=")</f>
        <v>#VALUE!</v>
      </c>
      <c r="CO133" t="e">
        <f>AND('UP133'!FZ95,"AAAAAF/z51w=")</f>
        <v>#VALUE!</v>
      </c>
      <c r="CP133" t="e">
        <f>AND('UP133'!GA95,"AAAAAF/z510=")</f>
        <v>#VALUE!</v>
      </c>
      <c r="CQ133" t="e">
        <f>AND('UP133'!GB95,"AAAAAF/z514=")</f>
        <v>#VALUE!</v>
      </c>
      <c r="CR133" t="e">
        <f>AND('UP133'!GC95,"AAAAAF/z518=")</f>
        <v>#VALUE!</v>
      </c>
      <c r="CS133" t="e">
        <f>AND('UP133'!GD95,"AAAAAF/z52A=")</f>
        <v>#VALUE!</v>
      </c>
      <c r="CT133" t="e">
        <f>AND('UP133'!GE95,"AAAAAF/z52E=")</f>
        <v>#VALUE!</v>
      </c>
      <c r="CU133" t="e">
        <f>AND('UP133'!GF95,"AAAAAF/z52I=")</f>
        <v>#VALUE!</v>
      </c>
      <c r="CV133" t="e">
        <f>AND('UP133'!GG95,"AAAAAF/z52M=")</f>
        <v>#VALUE!</v>
      </c>
      <c r="CW133" t="e">
        <f>AND('UP133'!GH95,"AAAAAF/z52Q=")</f>
        <v>#VALUE!</v>
      </c>
      <c r="CX133" t="e">
        <f>AND('UP133'!GI95,"AAAAAF/z52U=")</f>
        <v>#VALUE!</v>
      </c>
      <c r="CY133" t="e">
        <f>AND('UP133'!GJ95,"AAAAAF/z52Y=")</f>
        <v>#VALUE!</v>
      </c>
      <c r="CZ133" t="e">
        <f>AND('UP133'!GK95,"AAAAAF/z52c=")</f>
        <v>#VALUE!</v>
      </c>
      <c r="DA133" t="e">
        <f>AND('UP133'!GL95,"AAAAAF/z52g=")</f>
        <v>#VALUE!</v>
      </c>
      <c r="DB133" t="e">
        <f>AND('UP133'!GM95,"AAAAAF/z52k=")</f>
        <v>#VALUE!</v>
      </c>
      <c r="DC133" t="e">
        <f>AND('UP133'!GN95,"AAAAAF/z52o=")</f>
        <v>#VALUE!</v>
      </c>
      <c r="DD133" t="e">
        <f>AND('UP133'!GO95,"AAAAAF/z52s=")</f>
        <v>#VALUE!</v>
      </c>
      <c r="DE133" t="e">
        <f>AND('UP133'!GP95,"AAAAAF/z52w=")</f>
        <v>#VALUE!</v>
      </c>
      <c r="DF133" t="e">
        <f>AND('UP133'!GQ95,"AAAAAF/z520=")</f>
        <v>#VALUE!</v>
      </c>
      <c r="DG133" t="e">
        <f>AND('UP133'!GR95,"AAAAAF/z524=")</f>
        <v>#VALUE!</v>
      </c>
      <c r="DH133" t="e">
        <f>AND('UP133'!GS95,"AAAAAF/z528=")</f>
        <v>#VALUE!</v>
      </c>
      <c r="DI133" t="e">
        <f>AND('UP133'!GT95,"AAAAAF/z53A=")</f>
        <v>#VALUE!</v>
      </c>
      <c r="DJ133" t="e">
        <f>AND('UP133'!GU95,"AAAAAF/z53E=")</f>
        <v>#VALUE!</v>
      </c>
      <c r="DK133" t="e">
        <f>AND('UP133'!GV95,"AAAAAF/z53I=")</f>
        <v>#VALUE!</v>
      </c>
      <c r="DL133" t="e">
        <f>AND('UP133'!GW95,"AAAAAF/z53M=")</f>
        <v>#VALUE!</v>
      </c>
      <c r="DM133" t="e">
        <f>AND('UP133'!GX95,"AAAAAF/z53Q=")</f>
        <v>#VALUE!</v>
      </c>
      <c r="DN133" t="e">
        <f>AND('UP133'!GY95,"AAAAAF/z53U=")</f>
        <v>#VALUE!</v>
      </c>
      <c r="DO133" t="e">
        <f>AND('UP133'!GZ95,"AAAAAF/z53Y=")</f>
        <v>#VALUE!</v>
      </c>
      <c r="DP133" t="e">
        <f>AND('UP133'!HA95,"AAAAAF/z53c=")</f>
        <v>#VALUE!</v>
      </c>
      <c r="DQ133" t="e">
        <f>AND('UP133'!HB95,"AAAAAF/z53g=")</f>
        <v>#VALUE!</v>
      </c>
      <c r="DR133" t="e">
        <f>AND('UP133'!HC95,"AAAAAF/z53k=")</f>
        <v>#VALUE!</v>
      </c>
      <c r="DS133" t="e">
        <f>AND('UP133'!HD95,"AAAAAF/z53o=")</f>
        <v>#VALUE!</v>
      </c>
      <c r="DT133" t="e">
        <f>AND('UP133'!HE95,"AAAAAF/z53s=")</f>
        <v>#VALUE!</v>
      </c>
      <c r="DU133" t="e">
        <f>AND('UP133'!HF95,"AAAAAF/z53w=")</f>
        <v>#VALUE!</v>
      </c>
      <c r="DV133" t="e">
        <f>AND('UP133'!HG95,"AAAAAF/z530=")</f>
        <v>#VALUE!</v>
      </c>
      <c r="DW133" t="e">
        <f>AND('UP133'!HH95,"AAAAAF/z534=")</f>
        <v>#VALUE!</v>
      </c>
      <c r="DX133" t="e">
        <f>AND('UP133'!HI95,"AAAAAF/z538=")</f>
        <v>#VALUE!</v>
      </c>
      <c r="DY133" t="e">
        <f>AND('UP133'!HJ95,"AAAAAF/z54A=")</f>
        <v>#VALUE!</v>
      </c>
      <c r="DZ133" t="e">
        <f>AND('UP133'!HK95,"AAAAAF/z54E=")</f>
        <v>#VALUE!</v>
      </c>
      <c r="EA133" t="e">
        <f>AND('UP133'!HL95,"AAAAAF/z54I=")</f>
        <v>#VALUE!</v>
      </c>
      <c r="EB133" t="e">
        <f>AND('UP133'!HM95,"AAAAAF/z54M=")</f>
        <v>#VALUE!</v>
      </c>
      <c r="EC133" t="e">
        <f>AND('UP133'!HN95,"AAAAAF/z54Q=")</f>
        <v>#VALUE!</v>
      </c>
      <c r="ED133" t="e">
        <f>AND('UP133'!HO95,"AAAAAF/z54U=")</f>
        <v>#VALUE!</v>
      </c>
      <c r="EE133" t="e">
        <f>AND('UP133'!HP95,"AAAAAF/z54Y=")</f>
        <v>#VALUE!</v>
      </c>
      <c r="EF133" t="e">
        <f>AND('UP133'!HQ95,"AAAAAF/z54c=")</f>
        <v>#VALUE!</v>
      </c>
      <c r="EG133" t="e">
        <f>AND('UP133'!HR95,"AAAAAF/z54g=")</f>
        <v>#VALUE!</v>
      </c>
      <c r="EH133" t="e">
        <f>AND('UP133'!HS95,"AAAAAF/z54k=")</f>
        <v>#VALUE!</v>
      </c>
      <c r="EI133" t="e">
        <f>AND('UP133'!HT95,"AAAAAF/z54o=")</f>
        <v>#VALUE!</v>
      </c>
      <c r="EJ133" t="e">
        <f>AND('UP133'!HU95,"AAAAAF/z54s=")</f>
        <v>#VALUE!</v>
      </c>
      <c r="EK133" t="e">
        <f>AND('UP133'!HV95,"AAAAAF/z54w=")</f>
        <v>#VALUE!</v>
      </c>
      <c r="EL133" t="e">
        <f>AND('UP133'!HW95,"AAAAAF/z540=")</f>
        <v>#VALUE!</v>
      </c>
      <c r="EM133" t="e">
        <f>AND('UP133'!HX95,"AAAAAF/z544=")</f>
        <v>#VALUE!</v>
      </c>
      <c r="EN133" t="e">
        <f>AND('UP133'!HY95,"AAAAAF/z548=")</f>
        <v>#VALUE!</v>
      </c>
      <c r="EO133" t="e">
        <f>AND('UP133'!HZ95,"AAAAAF/z55A=")</f>
        <v>#VALUE!</v>
      </c>
      <c r="EP133" t="e">
        <f>AND('UP133'!IA95,"AAAAAF/z55E=")</f>
        <v>#VALUE!</v>
      </c>
      <c r="EQ133" t="e">
        <f>AND('UP133'!IB95,"AAAAAF/z55I=")</f>
        <v>#VALUE!</v>
      </c>
      <c r="ER133" t="e">
        <f>AND('UP133'!IC95,"AAAAAF/z55M=")</f>
        <v>#VALUE!</v>
      </c>
      <c r="ES133" t="e">
        <f>AND('UP133'!ID95,"AAAAAF/z55Q=")</f>
        <v>#VALUE!</v>
      </c>
      <c r="ET133" t="e">
        <f>AND('UP133'!IE95,"AAAAAF/z55U=")</f>
        <v>#VALUE!</v>
      </c>
      <c r="EU133" t="e">
        <f>AND('UP133'!IF95,"AAAAAF/z55Y=")</f>
        <v>#VALUE!</v>
      </c>
      <c r="EV133" t="e">
        <f>AND('UP133'!IG95,"AAAAAF/z55c=")</f>
        <v>#VALUE!</v>
      </c>
      <c r="EW133" t="e">
        <f>AND('UP133'!IH95,"AAAAAF/z55g=")</f>
        <v>#VALUE!</v>
      </c>
      <c r="EX133" t="e">
        <f>AND('UP133'!II95,"AAAAAF/z55k=")</f>
        <v>#VALUE!</v>
      </c>
      <c r="EY133" t="e">
        <f>AND('UP133'!IJ95,"AAAAAF/z55o=")</f>
        <v>#VALUE!</v>
      </c>
      <c r="EZ133" t="e">
        <f>AND('UP133'!IK95,"AAAAAF/z55s=")</f>
        <v>#VALUE!</v>
      </c>
      <c r="FA133" t="e">
        <f>AND('UP133'!IL95,"AAAAAF/z55w=")</f>
        <v>#VALUE!</v>
      </c>
      <c r="FB133" t="e">
        <f>AND('UP133'!IM95,"AAAAAF/z550=")</f>
        <v>#VALUE!</v>
      </c>
      <c r="FC133" t="e">
        <f>AND('UP133'!IN95,"AAAAAF/z554=")</f>
        <v>#VALUE!</v>
      </c>
      <c r="FD133" t="e">
        <f>AND('UP133'!IO95,"AAAAAF/z558=")</f>
        <v>#VALUE!</v>
      </c>
      <c r="FE133" t="e">
        <f>AND('UP133'!IP95,"AAAAAF/z56A=")</f>
        <v>#VALUE!</v>
      </c>
      <c r="FF133" t="e">
        <f>AND('UP133'!IQ95,"AAAAAF/z56E=")</f>
        <v>#VALUE!</v>
      </c>
      <c r="FG133">
        <f>IF('UP133'!96:96,"AAAAAF/z56I=",0)</f>
        <v>0</v>
      </c>
      <c r="FH133" t="e">
        <f>AND('UP133'!A96,"AAAAAF/z56M=")</f>
        <v>#VALUE!</v>
      </c>
      <c r="FI133" t="e">
        <f>AND('UP133'!B96,"AAAAAF/z56Q=")</f>
        <v>#VALUE!</v>
      </c>
      <c r="FJ133" t="e">
        <f>AND('UP133'!C96,"AAAAAF/z56U=")</f>
        <v>#VALUE!</v>
      </c>
      <c r="FK133" t="e">
        <f>AND('UP133'!D96,"AAAAAF/z56Y=")</f>
        <v>#VALUE!</v>
      </c>
      <c r="FL133" t="e">
        <f>AND('UP133'!E96,"AAAAAF/z56c=")</f>
        <v>#VALUE!</v>
      </c>
      <c r="FM133" t="e">
        <f>AND('UP133'!F96,"AAAAAF/z56g=")</f>
        <v>#VALUE!</v>
      </c>
      <c r="FN133" t="e">
        <f>AND('UP133'!G96,"AAAAAF/z56k=")</f>
        <v>#VALUE!</v>
      </c>
      <c r="FO133" t="e">
        <f>AND('UP133'!H96,"AAAAAF/z56o=")</f>
        <v>#VALUE!</v>
      </c>
      <c r="FP133" t="e">
        <f>AND('UP133'!I96,"AAAAAF/z56s=")</f>
        <v>#VALUE!</v>
      </c>
      <c r="FQ133" t="e">
        <f>AND('UP133'!J96,"AAAAAF/z56w=")</f>
        <v>#VALUE!</v>
      </c>
      <c r="FR133" t="e">
        <f>AND('UP133'!K96,"AAAAAF/z560=")</f>
        <v>#VALUE!</v>
      </c>
      <c r="FS133" t="e">
        <f>AND('UP133'!L96,"AAAAAF/z564=")</f>
        <v>#VALUE!</v>
      </c>
      <c r="FT133" t="e">
        <f>AND('UP133'!M96,"AAAAAF/z568=")</f>
        <v>#VALUE!</v>
      </c>
      <c r="FU133" t="e">
        <f>AND('UP133'!N96,"AAAAAF/z57A=")</f>
        <v>#VALUE!</v>
      </c>
      <c r="FV133" t="e">
        <f>AND('UP133'!O96,"AAAAAF/z57E=")</f>
        <v>#VALUE!</v>
      </c>
      <c r="FW133" t="e">
        <f>AND('UP133'!P96,"AAAAAF/z57I=")</f>
        <v>#VALUE!</v>
      </c>
      <c r="FX133" t="e">
        <f>AND('UP133'!Q96,"AAAAAF/z57M=")</f>
        <v>#VALUE!</v>
      </c>
      <c r="FY133" t="e">
        <f>AND('UP133'!R96,"AAAAAF/z57Q=")</f>
        <v>#VALUE!</v>
      </c>
      <c r="FZ133" t="e">
        <f>AND('UP133'!S96,"AAAAAF/z57U=")</f>
        <v>#VALUE!</v>
      </c>
      <c r="GA133" t="e">
        <f>AND('UP133'!T96,"AAAAAF/z57Y=")</f>
        <v>#VALUE!</v>
      </c>
      <c r="GB133" t="e">
        <f>AND('UP133'!U96,"AAAAAF/z57c=")</f>
        <v>#VALUE!</v>
      </c>
      <c r="GC133" t="e">
        <f>AND('UP133'!V96,"AAAAAF/z57g=")</f>
        <v>#VALUE!</v>
      </c>
      <c r="GD133" t="e">
        <f>AND('UP133'!W96,"AAAAAF/z57k=")</f>
        <v>#VALUE!</v>
      </c>
      <c r="GE133" t="e">
        <f>AND('UP133'!X96,"AAAAAF/z57o=")</f>
        <v>#VALUE!</v>
      </c>
      <c r="GF133" t="e">
        <f>AND('UP133'!Y96,"AAAAAF/z57s=")</f>
        <v>#VALUE!</v>
      </c>
      <c r="GG133" t="e">
        <f>AND('UP133'!Z96,"AAAAAF/z57w=")</f>
        <v>#VALUE!</v>
      </c>
      <c r="GH133" t="e">
        <f>AND('UP133'!AA96,"AAAAAF/z570=")</f>
        <v>#VALUE!</v>
      </c>
      <c r="GI133" t="e">
        <f>AND('UP133'!AB96,"AAAAAF/z574=")</f>
        <v>#VALUE!</v>
      </c>
      <c r="GJ133" t="e">
        <f>AND('UP133'!AC96,"AAAAAF/z578=")</f>
        <v>#VALUE!</v>
      </c>
      <c r="GK133" t="e">
        <f>AND('UP133'!AD96,"AAAAAF/z58A=")</f>
        <v>#VALUE!</v>
      </c>
      <c r="GL133" t="e">
        <f>AND('UP133'!AE96,"AAAAAF/z58E=")</f>
        <v>#VALUE!</v>
      </c>
      <c r="GM133" t="e">
        <f>AND('UP133'!AF96,"AAAAAF/z58I=")</f>
        <v>#VALUE!</v>
      </c>
      <c r="GN133" t="e">
        <f>AND('UP133'!AG96,"AAAAAF/z58M=")</f>
        <v>#VALUE!</v>
      </c>
      <c r="GO133" t="e">
        <f>AND('UP133'!AH96,"AAAAAF/z58Q=")</f>
        <v>#VALUE!</v>
      </c>
      <c r="GP133" t="e">
        <f>AND('UP133'!AI96,"AAAAAF/z58U=")</f>
        <v>#VALUE!</v>
      </c>
      <c r="GQ133" t="e">
        <f>AND('UP133'!AJ96,"AAAAAF/z58Y=")</f>
        <v>#VALUE!</v>
      </c>
      <c r="GR133" t="e">
        <f>AND('UP133'!AK96,"AAAAAF/z58c=")</f>
        <v>#VALUE!</v>
      </c>
      <c r="GS133" t="e">
        <f>AND('UP133'!AL96,"AAAAAF/z58g=")</f>
        <v>#VALUE!</v>
      </c>
      <c r="GT133" t="e">
        <f>AND('UP133'!AM96,"AAAAAF/z58k=")</f>
        <v>#VALUE!</v>
      </c>
      <c r="GU133" t="e">
        <f>AND('UP133'!AN96,"AAAAAF/z58o=")</f>
        <v>#VALUE!</v>
      </c>
      <c r="GV133" t="e">
        <f>AND('UP133'!AO96,"AAAAAF/z58s=")</f>
        <v>#VALUE!</v>
      </c>
      <c r="GW133" t="e">
        <f>AND('UP133'!AP96,"AAAAAF/z58w=")</f>
        <v>#VALUE!</v>
      </c>
      <c r="GX133" t="e">
        <f>AND('UP133'!AQ96,"AAAAAF/z580=")</f>
        <v>#VALUE!</v>
      </c>
      <c r="GY133" t="e">
        <f>AND('UP133'!AR96,"AAAAAF/z584=")</f>
        <v>#VALUE!</v>
      </c>
      <c r="GZ133" t="e">
        <f>AND('UP133'!AS96,"AAAAAF/z588=")</f>
        <v>#VALUE!</v>
      </c>
      <c r="HA133" t="e">
        <f>AND('UP133'!AT96,"AAAAAF/z59A=")</f>
        <v>#VALUE!</v>
      </c>
      <c r="HB133" t="e">
        <f>AND('UP133'!AU96,"AAAAAF/z59E=")</f>
        <v>#VALUE!</v>
      </c>
      <c r="HC133" t="e">
        <f>AND('UP133'!AV96,"AAAAAF/z59I=")</f>
        <v>#VALUE!</v>
      </c>
      <c r="HD133" t="e">
        <f>AND('UP133'!AW96,"AAAAAF/z59M=")</f>
        <v>#VALUE!</v>
      </c>
      <c r="HE133" t="e">
        <f>AND('UP133'!AX96,"AAAAAF/z59Q=")</f>
        <v>#VALUE!</v>
      </c>
      <c r="HF133" t="e">
        <f>AND('UP133'!AY96,"AAAAAF/z59U=")</f>
        <v>#VALUE!</v>
      </c>
      <c r="HG133" t="e">
        <f>AND('UP133'!AZ96,"AAAAAF/z59Y=")</f>
        <v>#VALUE!</v>
      </c>
      <c r="HH133" t="e">
        <f>AND('UP133'!BA96,"AAAAAF/z59c=")</f>
        <v>#VALUE!</v>
      </c>
      <c r="HI133" t="e">
        <f>AND('UP133'!BB96,"AAAAAF/z59g=")</f>
        <v>#VALUE!</v>
      </c>
      <c r="HJ133" t="e">
        <f>AND('UP133'!BC96,"AAAAAF/z59k=")</f>
        <v>#VALUE!</v>
      </c>
      <c r="HK133" t="e">
        <f>AND('UP133'!BD96,"AAAAAF/z59o=")</f>
        <v>#VALUE!</v>
      </c>
      <c r="HL133" t="e">
        <f>AND('UP133'!BE96,"AAAAAF/z59s=")</f>
        <v>#VALUE!</v>
      </c>
      <c r="HM133" t="e">
        <f>AND('UP133'!BF96,"AAAAAF/z59w=")</f>
        <v>#VALUE!</v>
      </c>
      <c r="HN133" t="e">
        <f>AND('UP133'!BG96,"AAAAAF/z590=")</f>
        <v>#VALUE!</v>
      </c>
      <c r="HO133" t="e">
        <f>AND('UP133'!BH96,"AAAAAF/z594=")</f>
        <v>#VALUE!</v>
      </c>
      <c r="HP133" t="e">
        <f>AND('UP133'!BI96,"AAAAAF/z598=")</f>
        <v>#VALUE!</v>
      </c>
      <c r="HQ133" t="e">
        <f>AND('UP133'!BJ96,"AAAAAF/z5+A=")</f>
        <v>#VALUE!</v>
      </c>
      <c r="HR133" t="e">
        <f>AND('UP133'!BK96,"AAAAAF/z5+E=")</f>
        <v>#VALUE!</v>
      </c>
      <c r="HS133" t="e">
        <f>AND('UP133'!BL96,"AAAAAF/z5+I=")</f>
        <v>#VALUE!</v>
      </c>
      <c r="HT133" t="e">
        <f>AND('UP133'!BM96,"AAAAAF/z5+M=")</f>
        <v>#VALUE!</v>
      </c>
      <c r="HU133" t="e">
        <f>AND('UP133'!BN96,"AAAAAF/z5+Q=")</f>
        <v>#VALUE!</v>
      </c>
      <c r="HV133" t="e">
        <f>AND('UP133'!BO96,"AAAAAF/z5+U=")</f>
        <v>#VALUE!</v>
      </c>
      <c r="HW133" t="e">
        <f>AND('UP133'!BP96,"AAAAAF/z5+Y=")</f>
        <v>#VALUE!</v>
      </c>
      <c r="HX133" t="e">
        <f>AND('UP133'!BQ96,"AAAAAF/z5+c=")</f>
        <v>#VALUE!</v>
      </c>
      <c r="HY133" t="e">
        <f>AND('UP133'!BR96,"AAAAAF/z5+g=")</f>
        <v>#VALUE!</v>
      </c>
      <c r="HZ133" t="e">
        <f>AND('UP133'!BS96,"AAAAAF/z5+k=")</f>
        <v>#VALUE!</v>
      </c>
      <c r="IA133" t="e">
        <f>AND('UP133'!BT96,"AAAAAF/z5+o=")</f>
        <v>#VALUE!</v>
      </c>
      <c r="IB133" t="e">
        <f>AND('UP133'!BU96,"AAAAAF/z5+s=")</f>
        <v>#VALUE!</v>
      </c>
      <c r="IC133" t="e">
        <f>AND('UP133'!BV96,"AAAAAF/z5+w=")</f>
        <v>#VALUE!</v>
      </c>
      <c r="ID133" t="e">
        <f>AND('UP133'!BW96,"AAAAAF/z5+0=")</f>
        <v>#VALUE!</v>
      </c>
      <c r="IE133" t="e">
        <f>AND('UP133'!BX96,"AAAAAF/z5+4=")</f>
        <v>#VALUE!</v>
      </c>
      <c r="IF133" t="e">
        <f>AND('UP133'!BY96,"AAAAAF/z5+8=")</f>
        <v>#VALUE!</v>
      </c>
      <c r="IG133" t="e">
        <f>AND('UP133'!BZ96,"AAAAAF/z5/A=")</f>
        <v>#VALUE!</v>
      </c>
      <c r="IH133" t="e">
        <f>AND('UP133'!CA96,"AAAAAF/z5/E=")</f>
        <v>#VALUE!</v>
      </c>
      <c r="II133" t="e">
        <f>AND('UP133'!CB96,"AAAAAF/z5/I=")</f>
        <v>#VALUE!</v>
      </c>
      <c r="IJ133" t="e">
        <f>AND('UP133'!CC96,"AAAAAF/z5/M=")</f>
        <v>#VALUE!</v>
      </c>
      <c r="IK133" t="e">
        <f>AND('UP133'!CD96,"AAAAAF/z5/Q=")</f>
        <v>#VALUE!</v>
      </c>
      <c r="IL133" t="e">
        <f>AND('UP133'!CE96,"AAAAAF/z5/U=")</f>
        <v>#VALUE!</v>
      </c>
      <c r="IM133" t="e">
        <f>AND('UP133'!CF96,"AAAAAF/z5/Y=")</f>
        <v>#VALUE!</v>
      </c>
      <c r="IN133" t="e">
        <f>AND('UP133'!CG96,"AAAAAF/z5/c=")</f>
        <v>#VALUE!</v>
      </c>
      <c r="IO133" t="e">
        <f>AND('UP133'!CH96,"AAAAAF/z5/g=")</f>
        <v>#VALUE!</v>
      </c>
      <c r="IP133" t="e">
        <f>AND('UP133'!CI96,"AAAAAF/z5/k=")</f>
        <v>#VALUE!</v>
      </c>
      <c r="IQ133" t="e">
        <f>AND('UP133'!CJ96,"AAAAAF/z5/o=")</f>
        <v>#VALUE!</v>
      </c>
      <c r="IR133" t="e">
        <f>AND('UP133'!CK96,"AAAAAF/z5/s=")</f>
        <v>#VALUE!</v>
      </c>
      <c r="IS133" t="e">
        <f>AND('UP133'!CL96,"AAAAAF/z5/w=")</f>
        <v>#VALUE!</v>
      </c>
      <c r="IT133" t="e">
        <f>AND('UP133'!CM96,"AAAAAF/z5/0=")</f>
        <v>#VALUE!</v>
      </c>
      <c r="IU133" t="e">
        <f>AND('UP133'!CN96,"AAAAAF/z5/4=")</f>
        <v>#VALUE!</v>
      </c>
      <c r="IV133" t="e">
        <f>AND('UP133'!CO96,"AAAAAF/z5/8=")</f>
        <v>#VALUE!</v>
      </c>
    </row>
    <row r="134" spans="1:256">
      <c r="A134" t="e">
        <f>AND('UP133'!CP96,"AAAAAE+/TwA=")</f>
        <v>#VALUE!</v>
      </c>
      <c r="B134" t="e">
        <f>AND('UP133'!CQ96,"AAAAAE+/TwE=")</f>
        <v>#VALUE!</v>
      </c>
      <c r="C134" t="e">
        <f>AND('UP133'!CR96,"AAAAAE+/TwI=")</f>
        <v>#VALUE!</v>
      </c>
      <c r="D134" t="e">
        <f>AND('UP133'!CS96,"AAAAAE+/TwM=")</f>
        <v>#VALUE!</v>
      </c>
      <c r="E134" t="e">
        <f>AND('UP133'!CT96,"AAAAAE+/TwQ=")</f>
        <v>#VALUE!</v>
      </c>
      <c r="F134" t="e">
        <f>AND('UP133'!CU96,"AAAAAE+/TwU=")</f>
        <v>#VALUE!</v>
      </c>
      <c r="G134" t="e">
        <f>AND('UP133'!CV96,"AAAAAE+/TwY=")</f>
        <v>#VALUE!</v>
      </c>
      <c r="H134" t="e">
        <f>AND('UP133'!CW96,"AAAAAE+/Twc=")</f>
        <v>#VALUE!</v>
      </c>
      <c r="I134" t="e">
        <f>AND('UP133'!CX96,"AAAAAE+/Twg=")</f>
        <v>#VALUE!</v>
      </c>
      <c r="J134" t="e">
        <f>AND('UP133'!CY96,"AAAAAE+/Twk=")</f>
        <v>#VALUE!</v>
      </c>
      <c r="K134" t="e">
        <f>AND('UP133'!CZ96,"AAAAAE+/Two=")</f>
        <v>#VALUE!</v>
      </c>
      <c r="L134" t="e">
        <f>AND('UP133'!DA96,"AAAAAE+/Tws=")</f>
        <v>#VALUE!</v>
      </c>
      <c r="M134" t="e">
        <f>AND('UP133'!DB96,"AAAAAE+/Tww=")</f>
        <v>#VALUE!</v>
      </c>
      <c r="N134" t="e">
        <f>AND('UP133'!DC96,"AAAAAE+/Tw0=")</f>
        <v>#VALUE!</v>
      </c>
      <c r="O134" t="e">
        <f>AND('UP133'!DD96,"AAAAAE+/Tw4=")</f>
        <v>#VALUE!</v>
      </c>
      <c r="P134" t="e">
        <f>AND('UP133'!DE96,"AAAAAE+/Tw8=")</f>
        <v>#VALUE!</v>
      </c>
      <c r="Q134" t="e">
        <f>AND('UP133'!DF96,"AAAAAE+/TxA=")</f>
        <v>#VALUE!</v>
      </c>
      <c r="R134" t="e">
        <f>AND('UP133'!DG96,"AAAAAE+/TxE=")</f>
        <v>#VALUE!</v>
      </c>
      <c r="S134" t="e">
        <f>AND('UP133'!DH96,"AAAAAE+/TxI=")</f>
        <v>#VALUE!</v>
      </c>
      <c r="T134" t="e">
        <f>AND('UP133'!DI96,"AAAAAE+/TxM=")</f>
        <v>#VALUE!</v>
      </c>
      <c r="U134" t="e">
        <f>AND('UP133'!DJ96,"AAAAAE+/TxQ=")</f>
        <v>#VALUE!</v>
      </c>
      <c r="V134" t="e">
        <f>AND('UP133'!DK96,"AAAAAE+/TxU=")</f>
        <v>#VALUE!</v>
      </c>
      <c r="W134" t="e">
        <f>AND('UP133'!DL96,"AAAAAE+/TxY=")</f>
        <v>#VALUE!</v>
      </c>
      <c r="X134" t="e">
        <f>AND('UP133'!DM96,"AAAAAE+/Txc=")</f>
        <v>#VALUE!</v>
      </c>
      <c r="Y134" t="e">
        <f>AND('UP133'!DN96,"AAAAAE+/Txg=")</f>
        <v>#VALUE!</v>
      </c>
      <c r="Z134" t="e">
        <f>AND('UP133'!DO96,"AAAAAE+/Txk=")</f>
        <v>#VALUE!</v>
      </c>
      <c r="AA134" t="e">
        <f>AND('UP133'!DP96,"AAAAAE+/Txo=")</f>
        <v>#VALUE!</v>
      </c>
      <c r="AB134" t="e">
        <f>AND('UP133'!DQ96,"AAAAAE+/Txs=")</f>
        <v>#VALUE!</v>
      </c>
      <c r="AC134" t="e">
        <f>AND('UP133'!DR96,"AAAAAE+/Txw=")</f>
        <v>#VALUE!</v>
      </c>
      <c r="AD134" t="e">
        <f>AND('UP133'!DS96,"AAAAAE+/Tx0=")</f>
        <v>#VALUE!</v>
      </c>
      <c r="AE134" t="e">
        <f>AND('UP133'!DT96,"AAAAAE+/Tx4=")</f>
        <v>#VALUE!</v>
      </c>
      <c r="AF134" t="e">
        <f>AND('UP133'!DU96,"AAAAAE+/Tx8=")</f>
        <v>#VALUE!</v>
      </c>
      <c r="AG134" t="e">
        <f>AND('UP133'!DV96,"AAAAAE+/TyA=")</f>
        <v>#VALUE!</v>
      </c>
      <c r="AH134" t="e">
        <f>AND('UP133'!DW96,"AAAAAE+/TyE=")</f>
        <v>#VALUE!</v>
      </c>
      <c r="AI134" t="e">
        <f>AND('UP133'!DX96,"AAAAAE+/TyI=")</f>
        <v>#VALUE!</v>
      </c>
      <c r="AJ134" t="e">
        <f>AND('UP133'!DY96,"AAAAAE+/TyM=")</f>
        <v>#VALUE!</v>
      </c>
      <c r="AK134" t="e">
        <f>AND('UP133'!DZ96,"AAAAAE+/TyQ=")</f>
        <v>#VALUE!</v>
      </c>
      <c r="AL134" t="e">
        <f>AND('UP133'!EA96,"AAAAAE+/TyU=")</f>
        <v>#VALUE!</v>
      </c>
      <c r="AM134" t="e">
        <f>AND('UP133'!EB96,"AAAAAE+/TyY=")</f>
        <v>#VALUE!</v>
      </c>
      <c r="AN134" t="e">
        <f>AND('UP133'!EC96,"AAAAAE+/Tyc=")</f>
        <v>#VALUE!</v>
      </c>
      <c r="AO134" t="e">
        <f>AND('UP133'!ED96,"AAAAAE+/Tyg=")</f>
        <v>#VALUE!</v>
      </c>
      <c r="AP134" t="e">
        <f>AND('UP133'!EE96,"AAAAAE+/Tyk=")</f>
        <v>#VALUE!</v>
      </c>
      <c r="AQ134" t="e">
        <f>AND('UP133'!EF96,"AAAAAE+/Tyo=")</f>
        <v>#VALUE!</v>
      </c>
      <c r="AR134" t="e">
        <f>AND('UP133'!EG96,"AAAAAE+/Tys=")</f>
        <v>#VALUE!</v>
      </c>
      <c r="AS134" t="e">
        <f>AND('UP133'!EH96,"AAAAAE+/Tyw=")</f>
        <v>#VALUE!</v>
      </c>
      <c r="AT134" t="e">
        <f>AND('UP133'!EI96,"AAAAAE+/Ty0=")</f>
        <v>#VALUE!</v>
      </c>
      <c r="AU134" t="e">
        <f>AND('UP133'!EJ96,"AAAAAE+/Ty4=")</f>
        <v>#VALUE!</v>
      </c>
      <c r="AV134" t="e">
        <f>AND('UP133'!EK96,"AAAAAE+/Ty8=")</f>
        <v>#VALUE!</v>
      </c>
      <c r="AW134" t="e">
        <f>AND('UP133'!EL96,"AAAAAE+/TzA=")</f>
        <v>#VALUE!</v>
      </c>
      <c r="AX134" t="e">
        <f>AND('UP133'!EM96,"AAAAAE+/TzE=")</f>
        <v>#VALUE!</v>
      </c>
      <c r="AY134" t="e">
        <f>AND('UP133'!EN96,"AAAAAE+/TzI=")</f>
        <v>#VALUE!</v>
      </c>
      <c r="AZ134" t="e">
        <f>AND('UP133'!EO96,"AAAAAE+/TzM=")</f>
        <v>#VALUE!</v>
      </c>
      <c r="BA134" t="e">
        <f>AND('UP133'!EP96,"AAAAAE+/TzQ=")</f>
        <v>#VALUE!</v>
      </c>
      <c r="BB134" t="e">
        <f>AND('UP133'!EQ96,"AAAAAE+/TzU=")</f>
        <v>#VALUE!</v>
      </c>
      <c r="BC134" t="e">
        <f>AND('UP133'!ER96,"AAAAAE+/TzY=")</f>
        <v>#VALUE!</v>
      </c>
      <c r="BD134" t="e">
        <f>AND('UP133'!ES96,"AAAAAE+/Tzc=")</f>
        <v>#VALUE!</v>
      </c>
      <c r="BE134" t="e">
        <f>AND('UP133'!ET96,"AAAAAE+/Tzg=")</f>
        <v>#VALUE!</v>
      </c>
      <c r="BF134" t="e">
        <f>AND('UP133'!EU96,"AAAAAE+/Tzk=")</f>
        <v>#VALUE!</v>
      </c>
      <c r="BG134" t="e">
        <f>AND('UP133'!EV96,"AAAAAE+/Tzo=")</f>
        <v>#VALUE!</v>
      </c>
      <c r="BH134" t="e">
        <f>AND('UP133'!EW96,"AAAAAE+/Tzs=")</f>
        <v>#VALUE!</v>
      </c>
      <c r="BI134" t="e">
        <f>AND('UP133'!EX96,"AAAAAE+/Tzw=")</f>
        <v>#VALUE!</v>
      </c>
      <c r="BJ134" t="e">
        <f>AND('UP133'!EY96,"AAAAAE+/Tz0=")</f>
        <v>#VALUE!</v>
      </c>
      <c r="BK134" t="e">
        <f>AND('UP133'!EZ96,"AAAAAE+/Tz4=")</f>
        <v>#VALUE!</v>
      </c>
      <c r="BL134" t="e">
        <f>AND('UP133'!FA96,"AAAAAE+/Tz8=")</f>
        <v>#VALUE!</v>
      </c>
      <c r="BM134" t="e">
        <f>AND('UP133'!FB96,"AAAAAE+/T0A=")</f>
        <v>#VALUE!</v>
      </c>
      <c r="BN134" t="e">
        <f>AND('UP133'!FC96,"AAAAAE+/T0E=")</f>
        <v>#VALUE!</v>
      </c>
      <c r="BO134" t="e">
        <f>AND('UP133'!FD96,"AAAAAE+/T0I=")</f>
        <v>#VALUE!</v>
      </c>
      <c r="BP134" t="e">
        <f>AND('UP133'!FE96,"AAAAAE+/T0M=")</f>
        <v>#VALUE!</v>
      </c>
      <c r="BQ134" t="e">
        <f>AND('UP133'!FF96,"AAAAAE+/T0Q=")</f>
        <v>#VALUE!</v>
      </c>
      <c r="BR134" t="e">
        <f>AND('UP133'!FG96,"AAAAAE+/T0U=")</f>
        <v>#VALUE!</v>
      </c>
      <c r="BS134" t="e">
        <f>AND('UP133'!FH96,"AAAAAE+/T0Y=")</f>
        <v>#VALUE!</v>
      </c>
      <c r="BT134" t="e">
        <f>AND('UP133'!FI96,"AAAAAE+/T0c=")</f>
        <v>#VALUE!</v>
      </c>
      <c r="BU134" t="e">
        <f>AND('UP133'!FJ96,"AAAAAE+/T0g=")</f>
        <v>#VALUE!</v>
      </c>
      <c r="BV134" t="e">
        <f>AND('UP133'!FK96,"AAAAAE+/T0k=")</f>
        <v>#VALUE!</v>
      </c>
      <c r="BW134" t="e">
        <f>AND('UP133'!FL96,"AAAAAE+/T0o=")</f>
        <v>#VALUE!</v>
      </c>
      <c r="BX134" t="e">
        <f>AND('UP133'!FM96,"AAAAAE+/T0s=")</f>
        <v>#VALUE!</v>
      </c>
      <c r="BY134" t="e">
        <f>AND('UP133'!FN96,"AAAAAE+/T0w=")</f>
        <v>#VALUE!</v>
      </c>
      <c r="BZ134" t="e">
        <f>AND('UP133'!FO96,"AAAAAE+/T00=")</f>
        <v>#VALUE!</v>
      </c>
      <c r="CA134" t="e">
        <f>AND('UP133'!FP96,"AAAAAE+/T04=")</f>
        <v>#VALUE!</v>
      </c>
      <c r="CB134" t="e">
        <f>AND('UP133'!FQ96,"AAAAAE+/T08=")</f>
        <v>#VALUE!</v>
      </c>
      <c r="CC134" t="e">
        <f>AND('UP133'!FR96,"AAAAAE+/T1A=")</f>
        <v>#VALUE!</v>
      </c>
      <c r="CD134" t="e">
        <f>AND('UP133'!FS96,"AAAAAE+/T1E=")</f>
        <v>#VALUE!</v>
      </c>
      <c r="CE134" t="e">
        <f>AND('UP133'!FT96,"AAAAAE+/T1I=")</f>
        <v>#VALUE!</v>
      </c>
      <c r="CF134" t="e">
        <f>AND('UP133'!FU96,"AAAAAE+/T1M=")</f>
        <v>#VALUE!</v>
      </c>
      <c r="CG134" t="e">
        <f>AND('UP133'!FV96,"AAAAAE+/T1Q=")</f>
        <v>#VALUE!</v>
      </c>
      <c r="CH134" t="e">
        <f>AND('UP133'!FW96,"AAAAAE+/T1U=")</f>
        <v>#VALUE!</v>
      </c>
      <c r="CI134" t="e">
        <f>AND('UP133'!FX96,"AAAAAE+/T1Y=")</f>
        <v>#VALUE!</v>
      </c>
      <c r="CJ134" t="e">
        <f>AND('UP133'!FY96,"AAAAAE+/T1c=")</f>
        <v>#VALUE!</v>
      </c>
      <c r="CK134" t="e">
        <f>AND('UP133'!FZ96,"AAAAAE+/T1g=")</f>
        <v>#VALUE!</v>
      </c>
      <c r="CL134" t="e">
        <f>AND('UP133'!GA96,"AAAAAE+/T1k=")</f>
        <v>#VALUE!</v>
      </c>
      <c r="CM134" t="e">
        <f>AND('UP133'!GB96,"AAAAAE+/T1o=")</f>
        <v>#VALUE!</v>
      </c>
      <c r="CN134" t="e">
        <f>AND('UP133'!GC96,"AAAAAE+/T1s=")</f>
        <v>#VALUE!</v>
      </c>
      <c r="CO134" t="e">
        <f>AND('UP133'!GD96,"AAAAAE+/T1w=")</f>
        <v>#VALUE!</v>
      </c>
      <c r="CP134" t="e">
        <f>AND('UP133'!GE96,"AAAAAE+/T10=")</f>
        <v>#VALUE!</v>
      </c>
      <c r="CQ134" t="e">
        <f>AND('UP133'!GF96,"AAAAAE+/T14=")</f>
        <v>#VALUE!</v>
      </c>
      <c r="CR134" t="e">
        <f>AND('UP133'!GG96,"AAAAAE+/T18=")</f>
        <v>#VALUE!</v>
      </c>
      <c r="CS134" t="e">
        <f>AND('UP133'!GH96,"AAAAAE+/T2A=")</f>
        <v>#VALUE!</v>
      </c>
      <c r="CT134" t="e">
        <f>AND('UP133'!GI96,"AAAAAE+/T2E=")</f>
        <v>#VALUE!</v>
      </c>
      <c r="CU134" t="e">
        <f>AND('UP133'!GJ96,"AAAAAE+/T2I=")</f>
        <v>#VALUE!</v>
      </c>
      <c r="CV134" t="e">
        <f>AND('UP133'!GK96,"AAAAAE+/T2M=")</f>
        <v>#VALUE!</v>
      </c>
      <c r="CW134" t="e">
        <f>AND('UP133'!GL96,"AAAAAE+/T2Q=")</f>
        <v>#VALUE!</v>
      </c>
      <c r="CX134" t="e">
        <f>AND('UP133'!GM96,"AAAAAE+/T2U=")</f>
        <v>#VALUE!</v>
      </c>
      <c r="CY134" t="e">
        <f>AND('UP133'!GN96,"AAAAAE+/T2Y=")</f>
        <v>#VALUE!</v>
      </c>
      <c r="CZ134" t="e">
        <f>AND('UP133'!GO96,"AAAAAE+/T2c=")</f>
        <v>#VALUE!</v>
      </c>
      <c r="DA134" t="e">
        <f>AND('UP133'!GP96,"AAAAAE+/T2g=")</f>
        <v>#VALUE!</v>
      </c>
      <c r="DB134" t="e">
        <f>AND('UP133'!GQ96,"AAAAAE+/T2k=")</f>
        <v>#VALUE!</v>
      </c>
      <c r="DC134" t="e">
        <f>AND('UP133'!GR96,"AAAAAE+/T2o=")</f>
        <v>#VALUE!</v>
      </c>
      <c r="DD134" t="e">
        <f>AND('UP133'!GS96,"AAAAAE+/T2s=")</f>
        <v>#VALUE!</v>
      </c>
      <c r="DE134" t="e">
        <f>AND('UP133'!GT96,"AAAAAE+/T2w=")</f>
        <v>#VALUE!</v>
      </c>
      <c r="DF134" t="e">
        <f>AND('UP133'!GU96,"AAAAAE+/T20=")</f>
        <v>#VALUE!</v>
      </c>
      <c r="DG134" t="e">
        <f>AND('UP133'!GV96,"AAAAAE+/T24=")</f>
        <v>#VALUE!</v>
      </c>
      <c r="DH134" t="e">
        <f>AND('UP133'!GW96,"AAAAAE+/T28=")</f>
        <v>#VALUE!</v>
      </c>
      <c r="DI134" t="e">
        <f>AND('UP133'!GX96,"AAAAAE+/T3A=")</f>
        <v>#VALUE!</v>
      </c>
      <c r="DJ134" t="e">
        <f>AND('UP133'!GY96,"AAAAAE+/T3E=")</f>
        <v>#VALUE!</v>
      </c>
      <c r="DK134" t="e">
        <f>AND('UP133'!GZ96,"AAAAAE+/T3I=")</f>
        <v>#VALUE!</v>
      </c>
      <c r="DL134" t="e">
        <f>AND('UP133'!HA96,"AAAAAE+/T3M=")</f>
        <v>#VALUE!</v>
      </c>
      <c r="DM134" t="e">
        <f>AND('UP133'!HB96,"AAAAAE+/T3Q=")</f>
        <v>#VALUE!</v>
      </c>
      <c r="DN134" t="e">
        <f>AND('UP133'!HC96,"AAAAAE+/T3U=")</f>
        <v>#VALUE!</v>
      </c>
      <c r="DO134" t="e">
        <f>AND('UP133'!HD96,"AAAAAE+/T3Y=")</f>
        <v>#VALUE!</v>
      </c>
      <c r="DP134" t="e">
        <f>AND('UP133'!HE96,"AAAAAE+/T3c=")</f>
        <v>#VALUE!</v>
      </c>
      <c r="DQ134" t="e">
        <f>AND('UP133'!HF96,"AAAAAE+/T3g=")</f>
        <v>#VALUE!</v>
      </c>
      <c r="DR134" t="e">
        <f>AND('UP133'!HG96,"AAAAAE+/T3k=")</f>
        <v>#VALUE!</v>
      </c>
      <c r="DS134" t="e">
        <f>AND('UP133'!HH96,"AAAAAE+/T3o=")</f>
        <v>#VALUE!</v>
      </c>
      <c r="DT134" t="e">
        <f>AND('UP133'!HI96,"AAAAAE+/T3s=")</f>
        <v>#VALUE!</v>
      </c>
      <c r="DU134" t="e">
        <f>AND('UP133'!HJ96,"AAAAAE+/T3w=")</f>
        <v>#VALUE!</v>
      </c>
      <c r="DV134" t="e">
        <f>AND('UP133'!HK96,"AAAAAE+/T30=")</f>
        <v>#VALUE!</v>
      </c>
      <c r="DW134" t="e">
        <f>AND('UP133'!HL96,"AAAAAE+/T34=")</f>
        <v>#VALUE!</v>
      </c>
      <c r="DX134" t="e">
        <f>AND('UP133'!HM96,"AAAAAE+/T38=")</f>
        <v>#VALUE!</v>
      </c>
      <c r="DY134" t="e">
        <f>AND('UP133'!HN96,"AAAAAE+/T4A=")</f>
        <v>#VALUE!</v>
      </c>
      <c r="DZ134" t="e">
        <f>AND('UP133'!HO96,"AAAAAE+/T4E=")</f>
        <v>#VALUE!</v>
      </c>
      <c r="EA134" t="e">
        <f>AND('UP133'!HP96,"AAAAAE+/T4I=")</f>
        <v>#VALUE!</v>
      </c>
      <c r="EB134" t="e">
        <f>AND('UP133'!HQ96,"AAAAAE+/T4M=")</f>
        <v>#VALUE!</v>
      </c>
      <c r="EC134" t="e">
        <f>AND('UP133'!HR96,"AAAAAE+/T4Q=")</f>
        <v>#VALUE!</v>
      </c>
      <c r="ED134" t="e">
        <f>AND('UP133'!HS96,"AAAAAE+/T4U=")</f>
        <v>#VALUE!</v>
      </c>
      <c r="EE134" t="e">
        <f>AND('UP133'!HT96,"AAAAAE+/T4Y=")</f>
        <v>#VALUE!</v>
      </c>
      <c r="EF134" t="e">
        <f>AND('UP133'!HU96,"AAAAAE+/T4c=")</f>
        <v>#VALUE!</v>
      </c>
      <c r="EG134" t="e">
        <f>AND('UP133'!HV96,"AAAAAE+/T4g=")</f>
        <v>#VALUE!</v>
      </c>
      <c r="EH134" t="e">
        <f>AND('UP133'!HW96,"AAAAAE+/T4k=")</f>
        <v>#VALUE!</v>
      </c>
      <c r="EI134" t="e">
        <f>AND('UP133'!HX96,"AAAAAE+/T4o=")</f>
        <v>#VALUE!</v>
      </c>
      <c r="EJ134" t="e">
        <f>AND('UP133'!HY96,"AAAAAE+/T4s=")</f>
        <v>#VALUE!</v>
      </c>
      <c r="EK134" t="e">
        <f>AND('UP133'!HZ96,"AAAAAE+/T4w=")</f>
        <v>#VALUE!</v>
      </c>
      <c r="EL134" t="e">
        <f>AND('UP133'!IA96,"AAAAAE+/T40=")</f>
        <v>#VALUE!</v>
      </c>
      <c r="EM134" t="e">
        <f>AND('UP133'!IB96,"AAAAAE+/T44=")</f>
        <v>#VALUE!</v>
      </c>
      <c r="EN134" t="e">
        <f>AND('UP133'!IC96,"AAAAAE+/T48=")</f>
        <v>#VALUE!</v>
      </c>
      <c r="EO134" t="e">
        <f>AND('UP133'!ID96,"AAAAAE+/T5A=")</f>
        <v>#VALUE!</v>
      </c>
      <c r="EP134" t="e">
        <f>AND('UP133'!IE96,"AAAAAE+/T5E=")</f>
        <v>#VALUE!</v>
      </c>
      <c r="EQ134" t="e">
        <f>AND('UP133'!IF96,"AAAAAE+/T5I=")</f>
        <v>#VALUE!</v>
      </c>
      <c r="ER134" t="e">
        <f>AND('UP133'!IG96,"AAAAAE+/T5M=")</f>
        <v>#VALUE!</v>
      </c>
      <c r="ES134" t="e">
        <f>AND('UP133'!IH96,"AAAAAE+/T5Q=")</f>
        <v>#VALUE!</v>
      </c>
      <c r="ET134" t="e">
        <f>AND('UP133'!II96,"AAAAAE+/T5U=")</f>
        <v>#VALUE!</v>
      </c>
      <c r="EU134" t="e">
        <f>AND('UP133'!IJ96,"AAAAAE+/T5Y=")</f>
        <v>#VALUE!</v>
      </c>
      <c r="EV134" t="e">
        <f>AND('UP133'!IK96,"AAAAAE+/T5c=")</f>
        <v>#VALUE!</v>
      </c>
      <c r="EW134" t="e">
        <f>AND('UP133'!IL96,"AAAAAE+/T5g=")</f>
        <v>#VALUE!</v>
      </c>
      <c r="EX134" t="e">
        <f>AND('UP133'!IM96,"AAAAAE+/T5k=")</f>
        <v>#VALUE!</v>
      </c>
      <c r="EY134" t="e">
        <f>AND('UP133'!IN96,"AAAAAE+/T5o=")</f>
        <v>#VALUE!</v>
      </c>
      <c r="EZ134" t="e">
        <f>AND('UP133'!IO96,"AAAAAE+/T5s=")</f>
        <v>#VALUE!</v>
      </c>
      <c r="FA134" t="e">
        <f>AND('UP133'!IP96,"AAAAAE+/T5w=")</f>
        <v>#VALUE!</v>
      </c>
      <c r="FB134" t="e">
        <f>AND('UP133'!IQ96,"AAAAAE+/T50=")</f>
        <v>#VALUE!</v>
      </c>
      <c r="FC134">
        <f>IF('UP133'!97:97,"AAAAAE+/T54=",0)</f>
        <v>0</v>
      </c>
      <c r="FD134" t="e">
        <f>AND('UP133'!A97,"AAAAAE+/T58=")</f>
        <v>#VALUE!</v>
      </c>
      <c r="FE134" t="e">
        <f>AND('UP133'!B97,"AAAAAE+/T6A=")</f>
        <v>#VALUE!</v>
      </c>
      <c r="FF134" t="e">
        <f>AND('UP133'!C97,"AAAAAE+/T6E=")</f>
        <v>#VALUE!</v>
      </c>
      <c r="FG134" t="e">
        <f>AND('UP133'!D97,"AAAAAE+/T6I=")</f>
        <v>#VALUE!</v>
      </c>
      <c r="FH134" t="e">
        <f>AND('UP133'!E97,"AAAAAE+/T6M=")</f>
        <v>#VALUE!</v>
      </c>
      <c r="FI134" t="e">
        <f>AND('UP133'!F97,"AAAAAE+/T6Q=")</f>
        <v>#VALUE!</v>
      </c>
      <c r="FJ134" t="e">
        <f>AND('UP133'!G97,"AAAAAE+/T6U=")</f>
        <v>#VALUE!</v>
      </c>
      <c r="FK134" t="e">
        <f>AND('UP133'!H97,"AAAAAE+/T6Y=")</f>
        <v>#VALUE!</v>
      </c>
      <c r="FL134" t="e">
        <f>AND('UP133'!I97,"AAAAAE+/T6c=")</f>
        <v>#VALUE!</v>
      </c>
      <c r="FM134" t="e">
        <f>AND('UP133'!J97,"AAAAAE+/T6g=")</f>
        <v>#VALUE!</v>
      </c>
      <c r="FN134" t="e">
        <f>AND('UP133'!K97,"AAAAAE+/T6k=")</f>
        <v>#VALUE!</v>
      </c>
      <c r="FO134" t="e">
        <f>AND('UP133'!L97,"AAAAAE+/T6o=")</f>
        <v>#VALUE!</v>
      </c>
      <c r="FP134" t="e">
        <f>AND('UP133'!M97,"AAAAAE+/T6s=")</f>
        <v>#VALUE!</v>
      </c>
      <c r="FQ134" t="e">
        <f>AND('UP133'!N97,"AAAAAE+/T6w=")</f>
        <v>#VALUE!</v>
      </c>
      <c r="FR134" t="e">
        <f>AND('UP133'!O97,"AAAAAE+/T60=")</f>
        <v>#VALUE!</v>
      </c>
      <c r="FS134" t="e">
        <f>AND('UP133'!P97,"AAAAAE+/T64=")</f>
        <v>#VALUE!</v>
      </c>
      <c r="FT134" t="e">
        <f>AND('UP133'!Q97,"AAAAAE+/T68=")</f>
        <v>#VALUE!</v>
      </c>
      <c r="FU134" t="e">
        <f>AND('UP133'!R97,"AAAAAE+/T7A=")</f>
        <v>#VALUE!</v>
      </c>
      <c r="FV134" t="e">
        <f>AND('UP133'!S97,"AAAAAE+/T7E=")</f>
        <v>#VALUE!</v>
      </c>
      <c r="FW134" t="e">
        <f>AND('UP133'!T97,"AAAAAE+/T7I=")</f>
        <v>#VALUE!</v>
      </c>
      <c r="FX134" t="e">
        <f>AND('UP133'!U97,"AAAAAE+/T7M=")</f>
        <v>#VALUE!</v>
      </c>
      <c r="FY134" t="e">
        <f>AND('UP133'!V97,"AAAAAE+/T7Q=")</f>
        <v>#VALUE!</v>
      </c>
      <c r="FZ134" t="e">
        <f>AND('UP133'!W97,"AAAAAE+/T7U=")</f>
        <v>#VALUE!</v>
      </c>
      <c r="GA134" t="e">
        <f>AND('UP133'!X97,"AAAAAE+/T7Y=")</f>
        <v>#VALUE!</v>
      </c>
      <c r="GB134" t="e">
        <f>AND('UP133'!Y97,"AAAAAE+/T7c=")</f>
        <v>#VALUE!</v>
      </c>
      <c r="GC134" t="e">
        <f>AND('UP133'!Z97,"AAAAAE+/T7g=")</f>
        <v>#VALUE!</v>
      </c>
      <c r="GD134" t="e">
        <f>AND('UP133'!AA97,"AAAAAE+/T7k=")</f>
        <v>#VALUE!</v>
      </c>
      <c r="GE134" t="e">
        <f>AND('UP133'!AB97,"AAAAAE+/T7o=")</f>
        <v>#VALUE!</v>
      </c>
      <c r="GF134" t="e">
        <f>AND('UP133'!AC97,"AAAAAE+/T7s=")</f>
        <v>#VALUE!</v>
      </c>
      <c r="GG134" t="e">
        <f>AND('UP133'!AD97,"AAAAAE+/T7w=")</f>
        <v>#VALUE!</v>
      </c>
      <c r="GH134" t="e">
        <f>AND('UP133'!AE97,"AAAAAE+/T70=")</f>
        <v>#VALUE!</v>
      </c>
      <c r="GI134" t="e">
        <f>AND('UP133'!AF97,"AAAAAE+/T74=")</f>
        <v>#VALUE!</v>
      </c>
      <c r="GJ134" t="e">
        <f>AND('UP133'!AG97,"AAAAAE+/T78=")</f>
        <v>#VALUE!</v>
      </c>
      <c r="GK134" t="e">
        <f>AND('UP133'!AH97,"AAAAAE+/T8A=")</f>
        <v>#VALUE!</v>
      </c>
      <c r="GL134" t="e">
        <f>AND('UP133'!AI97,"AAAAAE+/T8E=")</f>
        <v>#VALUE!</v>
      </c>
      <c r="GM134" t="e">
        <f>AND('UP133'!AJ97,"AAAAAE+/T8I=")</f>
        <v>#VALUE!</v>
      </c>
      <c r="GN134" t="e">
        <f>AND('UP133'!AK97,"AAAAAE+/T8M=")</f>
        <v>#VALUE!</v>
      </c>
      <c r="GO134" t="e">
        <f>AND('UP133'!AL97,"AAAAAE+/T8Q=")</f>
        <v>#VALUE!</v>
      </c>
      <c r="GP134" t="e">
        <f>AND('UP133'!AM97,"AAAAAE+/T8U=")</f>
        <v>#VALUE!</v>
      </c>
      <c r="GQ134" t="e">
        <f>AND('UP133'!AN97,"AAAAAE+/T8Y=")</f>
        <v>#VALUE!</v>
      </c>
      <c r="GR134" t="e">
        <f>AND('UP133'!AO97,"AAAAAE+/T8c=")</f>
        <v>#VALUE!</v>
      </c>
      <c r="GS134" t="e">
        <f>AND('UP133'!AP97,"AAAAAE+/T8g=")</f>
        <v>#VALUE!</v>
      </c>
      <c r="GT134" t="e">
        <f>AND('UP133'!AQ97,"AAAAAE+/T8k=")</f>
        <v>#VALUE!</v>
      </c>
      <c r="GU134" t="e">
        <f>AND('UP133'!AR97,"AAAAAE+/T8o=")</f>
        <v>#VALUE!</v>
      </c>
      <c r="GV134" t="e">
        <f>AND('UP133'!AS97,"AAAAAE+/T8s=")</f>
        <v>#VALUE!</v>
      </c>
      <c r="GW134" t="e">
        <f>AND('UP133'!AT97,"AAAAAE+/T8w=")</f>
        <v>#VALUE!</v>
      </c>
      <c r="GX134" t="e">
        <f>AND('UP133'!AU97,"AAAAAE+/T80=")</f>
        <v>#VALUE!</v>
      </c>
      <c r="GY134" t="e">
        <f>AND('UP133'!AV97,"AAAAAE+/T84=")</f>
        <v>#VALUE!</v>
      </c>
      <c r="GZ134" t="e">
        <f>AND('UP133'!AW97,"AAAAAE+/T88=")</f>
        <v>#VALUE!</v>
      </c>
      <c r="HA134" t="e">
        <f>AND('UP133'!AX97,"AAAAAE+/T9A=")</f>
        <v>#VALUE!</v>
      </c>
      <c r="HB134" t="e">
        <f>AND('UP133'!AY97,"AAAAAE+/T9E=")</f>
        <v>#VALUE!</v>
      </c>
      <c r="HC134" t="e">
        <f>AND('UP133'!AZ97,"AAAAAE+/T9I=")</f>
        <v>#VALUE!</v>
      </c>
      <c r="HD134" t="e">
        <f>AND('UP133'!BA97,"AAAAAE+/T9M=")</f>
        <v>#VALUE!</v>
      </c>
      <c r="HE134" t="e">
        <f>AND('UP133'!BB97,"AAAAAE+/T9Q=")</f>
        <v>#VALUE!</v>
      </c>
      <c r="HF134" t="e">
        <f>AND('UP133'!BC97,"AAAAAE+/T9U=")</f>
        <v>#VALUE!</v>
      </c>
      <c r="HG134" t="e">
        <f>AND('UP133'!BD97,"AAAAAE+/T9Y=")</f>
        <v>#VALUE!</v>
      </c>
      <c r="HH134" t="e">
        <f>AND('UP133'!BE97,"AAAAAE+/T9c=")</f>
        <v>#VALUE!</v>
      </c>
      <c r="HI134" t="e">
        <f>AND('UP133'!BF97,"AAAAAE+/T9g=")</f>
        <v>#VALUE!</v>
      </c>
      <c r="HJ134" t="e">
        <f>AND('UP133'!BG97,"AAAAAE+/T9k=")</f>
        <v>#VALUE!</v>
      </c>
      <c r="HK134" t="e">
        <f>AND('UP133'!BH97,"AAAAAE+/T9o=")</f>
        <v>#VALUE!</v>
      </c>
      <c r="HL134" t="e">
        <f>AND('UP133'!BI97,"AAAAAE+/T9s=")</f>
        <v>#VALUE!</v>
      </c>
      <c r="HM134" t="e">
        <f>AND('UP133'!BJ97,"AAAAAE+/T9w=")</f>
        <v>#VALUE!</v>
      </c>
      <c r="HN134" t="e">
        <f>AND('UP133'!BK97,"AAAAAE+/T90=")</f>
        <v>#VALUE!</v>
      </c>
      <c r="HO134" t="e">
        <f>AND('UP133'!BL97,"AAAAAE+/T94=")</f>
        <v>#VALUE!</v>
      </c>
      <c r="HP134" t="e">
        <f>AND('UP133'!BM97,"AAAAAE+/T98=")</f>
        <v>#VALUE!</v>
      </c>
      <c r="HQ134" t="e">
        <f>AND('UP133'!BN97,"AAAAAE+/T+A=")</f>
        <v>#VALUE!</v>
      </c>
      <c r="HR134" t="e">
        <f>AND('UP133'!BO97,"AAAAAE+/T+E=")</f>
        <v>#VALUE!</v>
      </c>
      <c r="HS134" t="e">
        <f>AND('UP133'!BP97,"AAAAAE+/T+I=")</f>
        <v>#VALUE!</v>
      </c>
      <c r="HT134" t="e">
        <f>AND('UP133'!BQ97,"AAAAAE+/T+M=")</f>
        <v>#VALUE!</v>
      </c>
      <c r="HU134" t="e">
        <f>AND('UP133'!BR97,"AAAAAE+/T+Q=")</f>
        <v>#VALUE!</v>
      </c>
      <c r="HV134" t="e">
        <f>AND('UP133'!BS97,"AAAAAE+/T+U=")</f>
        <v>#VALUE!</v>
      </c>
      <c r="HW134" t="e">
        <f>AND('UP133'!BT97,"AAAAAE+/T+Y=")</f>
        <v>#VALUE!</v>
      </c>
      <c r="HX134" t="e">
        <f>AND('UP133'!BU97,"AAAAAE+/T+c=")</f>
        <v>#VALUE!</v>
      </c>
      <c r="HY134" t="e">
        <f>AND('UP133'!BV97,"AAAAAE+/T+g=")</f>
        <v>#VALUE!</v>
      </c>
      <c r="HZ134" t="e">
        <f>AND('UP133'!BW97,"AAAAAE+/T+k=")</f>
        <v>#VALUE!</v>
      </c>
      <c r="IA134" t="e">
        <f>AND('UP133'!BX97,"AAAAAE+/T+o=")</f>
        <v>#VALUE!</v>
      </c>
      <c r="IB134" t="e">
        <f>AND('UP133'!BY97,"AAAAAE+/T+s=")</f>
        <v>#VALUE!</v>
      </c>
      <c r="IC134" t="e">
        <f>AND('UP133'!BZ97,"AAAAAE+/T+w=")</f>
        <v>#VALUE!</v>
      </c>
      <c r="ID134" t="e">
        <f>AND('UP133'!CA97,"AAAAAE+/T+0=")</f>
        <v>#VALUE!</v>
      </c>
      <c r="IE134" t="e">
        <f>AND('UP133'!CB97,"AAAAAE+/T+4=")</f>
        <v>#VALUE!</v>
      </c>
      <c r="IF134" t="e">
        <f>AND('UP133'!CC97,"AAAAAE+/T+8=")</f>
        <v>#VALUE!</v>
      </c>
      <c r="IG134" t="e">
        <f>AND('UP133'!CD97,"AAAAAE+/T/A=")</f>
        <v>#VALUE!</v>
      </c>
      <c r="IH134" t="e">
        <f>AND('UP133'!CE97,"AAAAAE+/T/E=")</f>
        <v>#VALUE!</v>
      </c>
      <c r="II134" t="e">
        <f>AND('UP133'!CF97,"AAAAAE+/T/I=")</f>
        <v>#VALUE!</v>
      </c>
      <c r="IJ134" t="e">
        <f>AND('UP133'!CG97,"AAAAAE+/T/M=")</f>
        <v>#VALUE!</v>
      </c>
      <c r="IK134" t="e">
        <f>AND('UP133'!CH97,"AAAAAE+/T/Q=")</f>
        <v>#VALUE!</v>
      </c>
      <c r="IL134" t="e">
        <f>AND('UP133'!CI97,"AAAAAE+/T/U=")</f>
        <v>#VALUE!</v>
      </c>
      <c r="IM134" t="e">
        <f>AND('UP133'!CJ97,"AAAAAE+/T/Y=")</f>
        <v>#VALUE!</v>
      </c>
      <c r="IN134" t="e">
        <f>AND('UP133'!CK97,"AAAAAE+/T/c=")</f>
        <v>#VALUE!</v>
      </c>
      <c r="IO134" t="e">
        <f>AND('UP133'!CL97,"AAAAAE+/T/g=")</f>
        <v>#VALUE!</v>
      </c>
      <c r="IP134" t="e">
        <f>AND('UP133'!CM97,"AAAAAE+/T/k=")</f>
        <v>#VALUE!</v>
      </c>
      <c r="IQ134" t="e">
        <f>AND('UP133'!CN97,"AAAAAE+/T/o=")</f>
        <v>#VALUE!</v>
      </c>
      <c r="IR134" t="e">
        <f>AND('UP133'!CO97,"AAAAAE+/T/s=")</f>
        <v>#VALUE!</v>
      </c>
      <c r="IS134" t="e">
        <f>AND('UP133'!CP97,"AAAAAE+/T/w=")</f>
        <v>#VALUE!</v>
      </c>
      <c r="IT134" t="e">
        <f>AND('UP133'!CQ97,"AAAAAE+/T/0=")</f>
        <v>#VALUE!</v>
      </c>
      <c r="IU134" t="e">
        <f>AND('UP133'!CR97,"AAAAAE+/T/4=")</f>
        <v>#VALUE!</v>
      </c>
      <c r="IV134" t="e">
        <f>AND('UP133'!CS97,"AAAAAE+/T/8=")</f>
        <v>#VALUE!</v>
      </c>
    </row>
    <row r="135" spans="1:256">
      <c r="A135" t="e">
        <f>AND('UP133'!CT97,"AAAAAH+/xwA=")</f>
        <v>#VALUE!</v>
      </c>
      <c r="B135" t="e">
        <f>AND('UP133'!CU97,"AAAAAH+/xwE=")</f>
        <v>#VALUE!</v>
      </c>
      <c r="C135" t="e">
        <f>AND('UP133'!CV97,"AAAAAH+/xwI=")</f>
        <v>#VALUE!</v>
      </c>
      <c r="D135" t="e">
        <f>AND('UP133'!CW97,"AAAAAH+/xwM=")</f>
        <v>#VALUE!</v>
      </c>
      <c r="E135" t="e">
        <f>AND('UP133'!CX97,"AAAAAH+/xwQ=")</f>
        <v>#VALUE!</v>
      </c>
      <c r="F135" t="e">
        <f>AND('UP133'!CY97,"AAAAAH+/xwU=")</f>
        <v>#VALUE!</v>
      </c>
      <c r="G135" t="e">
        <f>AND('UP133'!CZ97,"AAAAAH+/xwY=")</f>
        <v>#VALUE!</v>
      </c>
      <c r="H135" t="e">
        <f>AND('UP133'!DA97,"AAAAAH+/xwc=")</f>
        <v>#VALUE!</v>
      </c>
      <c r="I135" t="e">
        <f>AND('UP133'!DB97,"AAAAAH+/xwg=")</f>
        <v>#VALUE!</v>
      </c>
      <c r="J135" t="e">
        <f>AND('UP133'!DC97,"AAAAAH+/xwk=")</f>
        <v>#VALUE!</v>
      </c>
      <c r="K135" t="e">
        <f>AND('UP133'!DD97,"AAAAAH+/xwo=")</f>
        <v>#VALUE!</v>
      </c>
      <c r="L135" t="e">
        <f>AND('UP133'!DE97,"AAAAAH+/xws=")</f>
        <v>#VALUE!</v>
      </c>
      <c r="M135" t="e">
        <f>AND('UP133'!DF97,"AAAAAH+/xww=")</f>
        <v>#VALUE!</v>
      </c>
      <c r="N135" t="e">
        <f>AND('UP133'!DG97,"AAAAAH+/xw0=")</f>
        <v>#VALUE!</v>
      </c>
      <c r="O135" t="e">
        <f>AND('UP133'!DH97,"AAAAAH+/xw4=")</f>
        <v>#VALUE!</v>
      </c>
      <c r="P135" t="e">
        <f>AND('UP133'!DI97,"AAAAAH+/xw8=")</f>
        <v>#VALUE!</v>
      </c>
      <c r="Q135" t="e">
        <f>AND('UP133'!DJ97,"AAAAAH+/xxA=")</f>
        <v>#VALUE!</v>
      </c>
      <c r="R135" t="e">
        <f>AND('UP133'!DK97,"AAAAAH+/xxE=")</f>
        <v>#VALUE!</v>
      </c>
      <c r="S135" t="e">
        <f>AND('UP133'!DL97,"AAAAAH+/xxI=")</f>
        <v>#VALUE!</v>
      </c>
      <c r="T135" t="e">
        <f>AND('UP133'!DM97,"AAAAAH+/xxM=")</f>
        <v>#VALUE!</v>
      </c>
      <c r="U135" t="e">
        <f>AND('UP133'!DN97,"AAAAAH+/xxQ=")</f>
        <v>#VALUE!</v>
      </c>
      <c r="V135" t="e">
        <f>AND('UP133'!DO97,"AAAAAH+/xxU=")</f>
        <v>#VALUE!</v>
      </c>
      <c r="W135" t="e">
        <f>AND('UP133'!DP97,"AAAAAH+/xxY=")</f>
        <v>#VALUE!</v>
      </c>
      <c r="X135" t="e">
        <f>AND('UP133'!DQ97,"AAAAAH+/xxc=")</f>
        <v>#VALUE!</v>
      </c>
      <c r="Y135" t="e">
        <f>AND('UP133'!DR97,"AAAAAH+/xxg=")</f>
        <v>#VALUE!</v>
      </c>
      <c r="Z135" t="e">
        <f>AND('UP133'!DS97,"AAAAAH+/xxk=")</f>
        <v>#VALUE!</v>
      </c>
      <c r="AA135" t="e">
        <f>AND('UP133'!DT97,"AAAAAH+/xxo=")</f>
        <v>#VALUE!</v>
      </c>
      <c r="AB135" t="e">
        <f>AND('UP133'!DU97,"AAAAAH+/xxs=")</f>
        <v>#VALUE!</v>
      </c>
      <c r="AC135" t="e">
        <f>AND('UP133'!DV97,"AAAAAH+/xxw=")</f>
        <v>#VALUE!</v>
      </c>
      <c r="AD135" t="e">
        <f>AND('UP133'!DW97,"AAAAAH+/xx0=")</f>
        <v>#VALUE!</v>
      </c>
      <c r="AE135" t="e">
        <f>AND('UP133'!DX97,"AAAAAH+/xx4=")</f>
        <v>#VALUE!</v>
      </c>
      <c r="AF135" t="e">
        <f>AND('UP133'!DY97,"AAAAAH+/xx8=")</f>
        <v>#VALUE!</v>
      </c>
      <c r="AG135" t="e">
        <f>AND('UP133'!DZ97,"AAAAAH+/xyA=")</f>
        <v>#VALUE!</v>
      </c>
      <c r="AH135" t="e">
        <f>AND('UP133'!EA97,"AAAAAH+/xyE=")</f>
        <v>#VALUE!</v>
      </c>
      <c r="AI135" t="e">
        <f>AND('UP133'!EB97,"AAAAAH+/xyI=")</f>
        <v>#VALUE!</v>
      </c>
      <c r="AJ135" t="e">
        <f>AND('UP133'!EC97,"AAAAAH+/xyM=")</f>
        <v>#VALUE!</v>
      </c>
      <c r="AK135" t="e">
        <f>AND('UP133'!ED97,"AAAAAH+/xyQ=")</f>
        <v>#VALUE!</v>
      </c>
      <c r="AL135" t="e">
        <f>AND('UP133'!EE97,"AAAAAH+/xyU=")</f>
        <v>#VALUE!</v>
      </c>
      <c r="AM135" t="e">
        <f>AND('UP133'!EF97,"AAAAAH+/xyY=")</f>
        <v>#VALUE!</v>
      </c>
      <c r="AN135" t="e">
        <f>AND('UP133'!EG97,"AAAAAH+/xyc=")</f>
        <v>#VALUE!</v>
      </c>
      <c r="AO135" t="e">
        <f>AND('UP133'!EH97,"AAAAAH+/xyg=")</f>
        <v>#VALUE!</v>
      </c>
      <c r="AP135" t="e">
        <f>AND('UP133'!EI97,"AAAAAH+/xyk=")</f>
        <v>#VALUE!</v>
      </c>
      <c r="AQ135" t="e">
        <f>AND('UP133'!EJ97,"AAAAAH+/xyo=")</f>
        <v>#VALUE!</v>
      </c>
      <c r="AR135" t="e">
        <f>AND('UP133'!EK97,"AAAAAH+/xys=")</f>
        <v>#VALUE!</v>
      </c>
      <c r="AS135" t="e">
        <f>AND('UP133'!EL97,"AAAAAH+/xyw=")</f>
        <v>#VALUE!</v>
      </c>
      <c r="AT135" t="e">
        <f>AND('UP133'!EM97,"AAAAAH+/xy0=")</f>
        <v>#VALUE!</v>
      </c>
      <c r="AU135" t="e">
        <f>AND('UP133'!EN97,"AAAAAH+/xy4=")</f>
        <v>#VALUE!</v>
      </c>
      <c r="AV135" t="e">
        <f>AND('UP133'!EO97,"AAAAAH+/xy8=")</f>
        <v>#VALUE!</v>
      </c>
      <c r="AW135" t="e">
        <f>AND('UP133'!EP97,"AAAAAH+/xzA=")</f>
        <v>#VALUE!</v>
      </c>
      <c r="AX135" t="e">
        <f>AND('UP133'!EQ97,"AAAAAH+/xzE=")</f>
        <v>#VALUE!</v>
      </c>
      <c r="AY135" t="e">
        <f>AND('UP133'!ER97,"AAAAAH+/xzI=")</f>
        <v>#VALUE!</v>
      </c>
      <c r="AZ135" t="e">
        <f>AND('UP133'!ES97,"AAAAAH+/xzM=")</f>
        <v>#VALUE!</v>
      </c>
      <c r="BA135" t="e">
        <f>AND('UP133'!ET97,"AAAAAH+/xzQ=")</f>
        <v>#VALUE!</v>
      </c>
      <c r="BB135" t="e">
        <f>AND('UP133'!EU97,"AAAAAH+/xzU=")</f>
        <v>#VALUE!</v>
      </c>
      <c r="BC135" t="e">
        <f>AND('UP133'!EV97,"AAAAAH+/xzY=")</f>
        <v>#VALUE!</v>
      </c>
      <c r="BD135" t="e">
        <f>AND('UP133'!EW97,"AAAAAH+/xzc=")</f>
        <v>#VALUE!</v>
      </c>
      <c r="BE135" t="e">
        <f>AND('UP133'!EX97,"AAAAAH+/xzg=")</f>
        <v>#VALUE!</v>
      </c>
      <c r="BF135" t="e">
        <f>AND('UP133'!EY97,"AAAAAH+/xzk=")</f>
        <v>#VALUE!</v>
      </c>
      <c r="BG135" t="e">
        <f>AND('UP133'!EZ97,"AAAAAH+/xzo=")</f>
        <v>#VALUE!</v>
      </c>
      <c r="BH135" t="e">
        <f>AND('UP133'!FA97,"AAAAAH+/xzs=")</f>
        <v>#VALUE!</v>
      </c>
      <c r="BI135" t="e">
        <f>AND('UP133'!FB97,"AAAAAH+/xzw=")</f>
        <v>#VALUE!</v>
      </c>
      <c r="BJ135" t="e">
        <f>AND('UP133'!FC97,"AAAAAH+/xz0=")</f>
        <v>#VALUE!</v>
      </c>
      <c r="BK135" t="e">
        <f>AND('UP133'!FD97,"AAAAAH+/xz4=")</f>
        <v>#VALUE!</v>
      </c>
      <c r="BL135" t="e">
        <f>AND('UP133'!FE97,"AAAAAH+/xz8=")</f>
        <v>#VALUE!</v>
      </c>
      <c r="BM135" t="e">
        <f>AND('UP133'!FF97,"AAAAAH+/x0A=")</f>
        <v>#VALUE!</v>
      </c>
      <c r="BN135" t="e">
        <f>AND('UP133'!FG97,"AAAAAH+/x0E=")</f>
        <v>#VALUE!</v>
      </c>
      <c r="BO135" t="e">
        <f>AND('UP133'!FH97,"AAAAAH+/x0I=")</f>
        <v>#VALUE!</v>
      </c>
      <c r="BP135" t="e">
        <f>AND('UP133'!FI97,"AAAAAH+/x0M=")</f>
        <v>#VALUE!</v>
      </c>
      <c r="BQ135" t="e">
        <f>AND('UP133'!FJ97,"AAAAAH+/x0Q=")</f>
        <v>#VALUE!</v>
      </c>
      <c r="BR135" t="e">
        <f>AND('UP133'!FK97,"AAAAAH+/x0U=")</f>
        <v>#VALUE!</v>
      </c>
      <c r="BS135" t="e">
        <f>AND('UP133'!FL97,"AAAAAH+/x0Y=")</f>
        <v>#VALUE!</v>
      </c>
      <c r="BT135" t="e">
        <f>AND('UP133'!FM97,"AAAAAH+/x0c=")</f>
        <v>#VALUE!</v>
      </c>
      <c r="BU135" t="e">
        <f>AND('UP133'!FN97,"AAAAAH+/x0g=")</f>
        <v>#VALUE!</v>
      </c>
      <c r="BV135" t="e">
        <f>AND('UP133'!FO97,"AAAAAH+/x0k=")</f>
        <v>#VALUE!</v>
      </c>
      <c r="BW135" t="e">
        <f>AND('UP133'!FP97,"AAAAAH+/x0o=")</f>
        <v>#VALUE!</v>
      </c>
      <c r="BX135" t="e">
        <f>AND('UP133'!FQ97,"AAAAAH+/x0s=")</f>
        <v>#VALUE!</v>
      </c>
      <c r="BY135" t="e">
        <f>AND('UP133'!FR97,"AAAAAH+/x0w=")</f>
        <v>#VALUE!</v>
      </c>
      <c r="BZ135" t="e">
        <f>AND('UP133'!FS97,"AAAAAH+/x00=")</f>
        <v>#VALUE!</v>
      </c>
      <c r="CA135" t="e">
        <f>AND('UP133'!FT97,"AAAAAH+/x04=")</f>
        <v>#VALUE!</v>
      </c>
      <c r="CB135" t="e">
        <f>AND('UP133'!FU97,"AAAAAH+/x08=")</f>
        <v>#VALUE!</v>
      </c>
      <c r="CC135" t="e">
        <f>AND('UP133'!FV97,"AAAAAH+/x1A=")</f>
        <v>#VALUE!</v>
      </c>
      <c r="CD135" t="e">
        <f>AND('UP133'!FW97,"AAAAAH+/x1E=")</f>
        <v>#VALUE!</v>
      </c>
      <c r="CE135" t="e">
        <f>AND('UP133'!FX97,"AAAAAH+/x1I=")</f>
        <v>#VALUE!</v>
      </c>
      <c r="CF135" t="e">
        <f>AND('UP133'!FY97,"AAAAAH+/x1M=")</f>
        <v>#VALUE!</v>
      </c>
      <c r="CG135" t="e">
        <f>AND('UP133'!FZ97,"AAAAAH+/x1Q=")</f>
        <v>#VALUE!</v>
      </c>
      <c r="CH135" t="e">
        <f>AND('UP133'!GA97,"AAAAAH+/x1U=")</f>
        <v>#VALUE!</v>
      </c>
      <c r="CI135" t="e">
        <f>AND('UP133'!GB97,"AAAAAH+/x1Y=")</f>
        <v>#VALUE!</v>
      </c>
      <c r="CJ135" t="e">
        <f>AND('UP133'!GC97,"AAAAAH+/x1c=")</f>
        <v>#VALUE!</v>
      </c>
      <c r="CK135" t="e">
        <f>AND('UP133'!GD97,"AAAAAH+/x1g=")</f>
        <v>#VALUE!</v>
      </c>
      <c r="CL135" t="e">
        <f>AND('UP133'!GE97,"AAAAAH+/x1k=")</f>
        <v>#VALUE!</v>
      </c>
      <c r="CM135" t="e">
        <f>AND('UP133'!GF97,"AAAAAH+/x1o=")</f>
        <v>#VALUE!</v>
      </c>
      <c r="CN135" t="e">
        <f>AND('UP133'!GG97,"AAAAAH+/x1s=")</f>
        <v>#VALUE!</v>
      </c>
      <c r="CO135" t="e">
        <f>AND('UP133'!GH97,"AAAAAH+/x1w=")</f>
        <v>#VALUE!</v>
      </c>
      <c r="CP135" t="e">
        <f>AND('UP133'!GI97,"AAAAAH+/x10=")</f>
        <v>#VALUE!</v>
      </c>
      <c r="CQ135" t="e">
        <f>AND('UP133'!GJ97,"AAAAAH+/x14=")</f>
        <v>#VALUE!</v>
      </c>
      <c r="CR135" t="e">
        <f>AND('UP133'!GK97,"AAAAAH+/x18=")</f>
        <v>#VALUE!</v>
      </c>
      <c r="CS135" t="e">
        <f>AND('UP133'!GL97,"AAAAAH+/x2A=")</f>
        <v>#VALUE!</v>
      </c>
      <c r="CT135" t="e">
        <f>AND('UP133'!GM97,"AAAAAH+/x2E=")</f>
        <v>#VALUE!</v>
      </c>
      <c r="CU135" t="e">
        <f>AND('UP133'!GN97,"AAAAAH+/x2I=")</f>
        <v>#VALUE!</v>
      </c>
      <c r="CV135" t="e">
        <f>AND('UP133'!GO97,"AAAAAH+/x2M=")</f>
        <v>#VALUE!</v>
      </c>
      <c r="CW135" t="e">
        <f>AND('UP133'!GP97,"AAAAAH+/x2Q=")</f>
        <v>#VALUE!</v>
      </c>
      <c r="CX135" t="e">
        <f>AND('UP133'!GQ97,"AAAAAH+/x2U=")</f>
        <v>#VALUE!</v>
      </c>
      <c r="CY135" t="e">
        <f>AND('UP133'!GR97,"AAAAAH+/x2Y=")</f>
        <v>#VALUE!</v>
      </c>
      <c r="CZ135" t="e">
        <f>AND('UP133'!GS97,"AAAAAH+/x2c=")</f>
        <v>#VALUE!</v>
      </c>
      <c r="DA135" t="e">
        <f>AND('UP133'!GT97,"AAAAAH+/x2g=")</f>
        <v>#VALUE!</v>
      </c>
      <c r="DB135" t="e">
        <f>AND('UP133'!GU97,"AAAAAH+/x2k=")</f>
        <v>#VALUE!</v>
      </c>
      <c r="DC135" t="e">
        <f>AND('UP133'!GV97,"AAAAAH+/x2o=")</f>
        <v>#VALUE!</v>
      </c>
      <c r="DD135" t="e">
        <f>AND('UP133'!GW97,"AAAAAH+/x2s=")</f>
        <v>#VALUE!</v>
      </c>
      <c r="DE135" t="e">
        <f>AND('UP133'!GX97,"AAAAAH+/x2w=")</f>
        <v>#VALUE!</v>
      </c>
      <c r="DF135" t="e">
        <f>AND('UP133'!GY97,"AAAAAH+/x20=")</f>
        <v>#VALUE!</v>
      </c>
      <c r="DG135" t="e">
        <f>AND('UP133'!GZ97,"AAAAAH+/x24=")</f>
        <v>#VALUE!</v>
      </c>
      <c r="DH135" t="e">
        <f>AND('UP133'!HA97,"AAAAAH+/x28=")</f>
        <v>#VALUE!</v>
      </c>
      <c r="DI135" t="e">
        <f>AND('UP133'!HB97,"AAAAAH+/x3A=")</f>
        <v>#VALUE!</v>
      </c>
      <c r="DJ135" t="e">
        <f>AND('UP133'!HC97,"AAAAAH+/x3E=")</f>
        <v>#VALUE!</v>
      </c>
      <c r="DK135" t="e">
        <f>AND('UP133'!HD97,"AAAAAH+/x3I=")</f>
        <v>#VALUE!</v>
      </c>
      <c r="DL135" t="e">
        <f>AND('UP133'!HE97,"AAAAAH+/x3M=")</f>
        <v>#VALUE!</v>
      </c>
      <c r="DM135" t="e">
        <f>AND('UP133'!HF97,"AAAAAH+/x3Q=")</f>
        <v>#VALUE!</v>
      </c>
      <c r="DN135" t="e">
        <f>AND('UP133'!HG97,"AAAAAH+/x3U=")</f>
        <v>#VALUE!</v>
      </c>
      <c r="DO135" t="e">
        <f>AND('UP133'!HH97,"AAAAAH+/x3Y=")</f>
        <v>#VALUE!</v>
      </c>
      <c r="DP135" t="e">
        <f>AND('UP133'!HI97,"AAAAAH+/x3c=")</f>
        <v>#VALUE!</v>
      </c>
      <c r="DQ135" t="e">
        <f>AND('UP133'!HJ97,"AAAAAH+/x3g=")</f>
        <v>#VALUE!</v>
      </c>
      <c r="DR135" t="e">
        <f>AND('UP133'!HK97,"AAAAAH+/x3k=")</f>
        <v>#VALUE!</v>
      </c>
      <c r="DS135" t="e">
        <f>AND('UP133'!HL97,"AAAAAH+/x3o=")</f>
        <v>#VALUE!</v>
      </c>
      <c r="DT135" t="e">
        <f>AND('UP133'!HM97,"AAAAAH+/x3s=")</f>
        <v>#VALUE!</v>
      </c>
      <c r="DU135" t="e">
        <f>AND('UP133'!HN97,"AAAAAH+/x3w=")</f>
        <v>#VALUE!</v>
      </c>
      <c r="DV135" t="e">
        <f>AND('UP133'!HO97,"AAAAAH+/x30=")</f>
        <v>#VALUE!</v>
      </c>
      <c r="DW135" t="e">
        <f>AND('UP133'!HP97,"AAAAAH+/x34=")</f>
        <v>#VALUE!</v>
      </c>
      <c r="DX135" t="e">
        <f>AND('UP133'!HQ97,"AAAAAH+/x38=")</f>
        <v>#VALUE!</v>
      </c>
      <c r="DY135" t="e">
        <f>AND('UP133'!HR97,"AAAAAH+/x4A=")</f>
        <v>#VALUE!</v>
      </c>
      <c r="DZ135" t="e">
        <f>AND('UP133'!HS97,"AAAAAH+/x4E=")</f>
        <v>#VALUE!</v>
      </c>
      <c r="EA135" t="e">
        <f>AND('UP133'!HT97,"AAAAAH+/x4I=")</f>
        <v>#VALUE!</v>
      </c>
      <c r="EB135" t="e">
        <f>AND('UP133'!HU97,"AAAAAH+/x4M=")</f>
        <v>#VALUE!</v>
      </c>
      <c r="EC135" t="e">
        <f>AND('UP133'!HV97,"AAAAAH+/x4Q=")</f>
        <v>#VALUE!</v>
      </c>
      <c r="ED135" t="e">
        <f>AND('UP133'!HW97,"AAAAAH+/x4U=")</f>
        <v>#VALUE!</v>
      </c>
      <c r="EE135" t="e">
        <f>AND('UP133'!HX97,"AAAAAH+/x4Y=")</f>
        <v>#VALUE!</v>
      </c>
      <c r="EF135" t="e">
        <f>AND('UP133'!HY97,"AAAAAH+/x4c=")</f>
        <v>#VALUE!</v>
      </c>
      <c r="EG135" t="e">
        <f>AND('UP133'!HZ97,"AAAAAH+/x4g=")</f>
        <v>#VALUE!</v>
      </c>
      <c r="EH135" t="e">
        <f>AND('UP133'!IA97,"AAAAAH+/x4k=")</f>
        <v>#VALUE!</v>
      </c>
      <c r="EI135" t="e">
        <f>AND('UP133'!IB97,"AAAAAH+/x4o=")</f>
        <v>#VALUE!</v>
      </c>
      <c r="EJ135" t="e">
        <f>AND('UP133'!IC97,"AAAAAH+/x4s=")</f>
        <v>#VALUE!</v>
      </c>
      <c r="EK135" t="e">
        <f>AND('UP133'!ID97,"AAAAAH+/x4w=")</f>
        <v>#VALUE!</v>
      </c>
      <c r="EL135" t="e">
        <f>AND('UP133'!IE97,"AAAAAH+/x40=")</f>
        <v>#VALUE!</v>
      </c>
      <c r="EM135" t="e">
        <f>AND('UP133'!IF97,"AAAAAH+/x44=")</f>
        <v>#VALUE!</v>
      </c>
      <c r="EN135" t="e">
        <f>AND('UP133'!IG97,"AAAAAH+/x48=")</f>
        <v>#VALUE!</v>
      </c>
      <c r="EO135" t="e">
        <f>AND('UP133'!IH97,"AAAAAH+/x5A=")</f>
        <v>#VALUE!</v>
      </c>
      <c r="EP135" t="e">
        <f>AND('UP133'!II97,"AAAAAH+/x5E=")</f>
        <v>#VALUE!</v>
      </c>
      <c r="EQ135" t="e">
        <f>AND('UP133'!IJ97,"AAAAAH+/x5I=")</f>
        <v>#VALUE!</v>
      </c>
      <c r="ER135" t="e">
        <f>AND('UP133'!IK97,"AAAAAH+/x5M=")</f>
        <v>#VALUE!</v>
      </c>
      <c r="ES135" t="e">
        <f>AND('UP133'!IL97,"AAAAAH+/x5Q=")</f>
        <v>#VALUE!</v>
      </c>
      <c r="ET135" t="e">
        <f>AND('UP133'!IM97,"AAAAAH+/x5U=")</f>
        <v>#VALUE!</v>
      </c>
      <c r="EU135" t="e">
        <f>AND('UP133'!IN97,"AAAAAH+/x5Y=")</f>
        <v>#VALUE!</v>
      </c>
      <c r="EV135" t="e">
        <f>AND('UP133'!IO97,"AAAAAH+/x5c=")</f>
        <v>#VALUE!</v>
      </c>
      <c r="EW135" t="e">
        <f>AND('UP133'!IP97,"AAAAAH+/x5g=")</f>
        <v>#VALUE!</v>
      </c>
      <c r="EX135" t="e">
        <f>AND('UP133'!IQ97,"AAAAAH+/x5k=")</f>
        <v>#VALUE!</v>
      </c>
      <c r="EY135">
        <f>IF('UP133'!98:98,"AAAAAH+/x5o=",0)</f>
        <v>0</v>
      </c>
      <c r="EZ135" t="e">
        <f>AND('UP133'!A98,"AAAAAH+/x5s=")</f>
        <v>#VALUE!</v>
      </c>
      <c r="FA135" t="e">
        <f>AND('UP133'!B98,"AAAAAH+/x5w=")</f>
        <v>#VALUE!</v>
      </c>
      <c r="FB135" t="e">
        <f>AND('UP133'!C98,"AAAAAH+/x50=")</f>
        <v>#VALUE!</v>
      </c>
      <c r="FC135" t="e">
        <f>AND('UP133'!D98,"AAAAAH+/x54=")</f>
        <v>#VALUE!</v>
      </c>
      <c r="FD135" t="e">
        <f>AND('UP133'!E98,"AAAAAH+/x58=")</f>
        <v>#VALUE!</v>
      </c>
      <c r="FE135" t="e">
        <f>AND('UP133'!F98,"AAAAAH+/x6A=")</f>
        <v>#VALUE!</v>
      </c>
      <c r="FF135" t="e">
        <f>AND('UP133'!G98,"AAAAAH+/x6E=")</f>
        <v>#VALUE!</v>
      </c>
      <c r="FG135" t="e">
        <f>AND('UP133'!H98,"AAAAAH+/x6I=")</f>
        <v>#VALUE!</v>
      </c>
      <c r="FH135" t="e">
        <f>AND('UP133'!I98,"AAAAAH+/x6M=")</f>
        <v>#VALUE!</v>
      </c>
      <c r="FI135" t="e">
        <f>AND('UP133'!J98,"AAAAAH+/x6Q=")</f>
        <v>#VALUE!</v>
      </c>
      <c r="FJ135" t="e">
        <f>AND('UP133'!K98,"AAAAAH+/x6U=")</f>
        <v>#VALUE!</v>
      </c>
      <c r="FK135" t="e">
        <f>AND('UP133'!L98,"AAAAAH+/x6Y=")</f>
        <v>#VALUE!</v>
      </c>
      <c r="FL135" t="e">
        <f>AND('UP133'!M98,"AAAAAH+/x6c=")</f>
        <v>#VALUE!</v>
      </c>
      <c r="FM135" t="e">
        <f>AND('UP133'!N98,"AAAAAH+/x6g=")</f>
        <v>#VALUE!</v>
      </c>
      <c r="FN135" t="e">
        <f>AND('UP133'!O98,"AAAAAH+/x6k=")</f>
        <v>#VALUE!</v>
      </c>
      <c r="FO135" t="e">
        <f>AND('UP133'!P98,"AAAAAH+/x6o=")</f>
        <v>#VALUE!</v>
      </c>
      <c r="FP135" t="e">
        <f>AND('UP133'!Q98,"AAAAAH+/x6s=")</f>
        <v>#VALUE!</v>
      </c>
      <c r="FQ135" t="e">
        <f>AND('UP133'!R98,"AAAAAH+/x6w=")</f>
        <v>#VALUE!</v>
      </c>
      <c r="FR135" t="e">
        <f>AND('UP133'!S98,"AAAAAH+/x60=")</f>
        <v>#VALUE!</v>
      </c>
      <c r="FS135" t="e">
        <f>AND('UP133'!T98,"AAAAAH+/x64=")</f>
        <v>#VALUE!</v>
      </c>
      <c r="FT135" t="e">
        <f>AND('UP133'!U98,"AAAAAH+/x68=")</f>
        <v>#VALUE!</v>
      </c>
      <c r="FU135" t="e">
        <f>AND('UP133'!V98,"AAAAAH+/x7A=")</f>
        <v>#VALUE!</v>
      </c>
      <c r="FV135" t="e">
        <f>AND('UP133'!W98,"AAAAAH+/x7E=")</f>
        <v>#VALUE!</v>
      </c>
      <c r="FW135" t="e">
        <f>AND('UP133'!X98,"AAAAAH+/x7I=")</f>
        <v>#VALUE!</v>
      </c>
      <c r="FX135" t="e">
        <f>AND('UP133'!Y98,"AAAAAH+/x7M=")</f>
        <v>#VALUE!</v>
      </c>
      <c r="FY135" t="e">
        <f>AND('UP133'!Z98,"AAAAAH+/x7Q=")</f>
        <v>#VALUE!</v>
      </c>
      <c r="FZ135" t="e">
        <f>AND('UP133'!AA98,"AAAAAH+/x7U=")</f>
        <v>#VALUE!</v>
      </c>
      <c r="GA135" t="e">
        <f>AND('UP133'!AB98,"AAAAAH+/x7Y=")</f>
        <v>#VALUE!</v>
      </c>
      <c r="GB135" t="e">
        <f>AND('UP133'!AC98,"AAAAAH+/x7c=")</f>
        <v>#VALUE!</v>
      </c>
      <c r="GC135" t="e">
        <f>AND('UP133'!AD98,"AAAAAH+/x7g=")</f>
        <v>#VALUE!</v>
      </c>
      <c r="GD135" t="e">
        <f>AND('UP133'!AE98,"AAAAAH+/x7k=")</f>
        <v>#VALUE!</v>
      </c>
      <c r="GE135" t="e">
        <f>AND('UP133'!AF98,"AAAAAH+/x7o=")</f>
        <v>#VALUE!</v>
      </c>
      <c r="GF135" t="e">
        <f>AND('UP133'!AG98,"AAAAAH+/x7s=")</f>
        <v>#VALUE!</v>
      </c>
      <c r="GG135" t="e">
        <f>AND('UP133'!AH98,"AAAAAH+/x7w=")</f>
        <v>#VALUE!</v>
      </c>
      <c r="GH135" t="e">
        <f>AND('UP133'!AI98,"AAAAAH+/x70=")</f>
        <v>#VALUE!</v>
      </c>
      <c r="GI135" t="e">
        <f>AND('UP133'!AJ98,"AAAAAH+/x74=")</f>
        <v>#VALUE!</v>
      </c>
      <c r="GJ135" t="e">
        <f>AND('UP133'!AK98,"AAAAAH+/x78=")</f>
        <v>#VALUE!</v>
      </c>
      <c r="GK135" t="e">
        <f>AND('UP133'!AL98,"AAAAAH+/x8A=")</f>
        <v>#VALUE!</v>
      </c>
      <c r="GL135" t="e">
        <f>AND('UP133'!AM98,"AAAAAH+/x8E=")</f>
        <v>#VALUE!</v>
      </c>
      <c r="GM135" t="e">
        <f>AND('UP133'!AN98,"AAAAAH+/x8I=")</f>
        <v>#VALUE!</v>
      </c>
      <c r="GN135" t="e">
        <f>AND('UP133'!AO98,"AAAAAH+/x8M=")</f>
        <v>#VALUE!</v>
      </c>
      <c r="GO135" t="e">
        <f>AND('UP133'!AP98,"AAAAAH+/x8Q=")</f>
        <v>#VALUE!</v>
      </c>
      <c r="GP135" t="e">
        <f>AND('UP133'!AQ98,"AAAAAH+/x8U=")</f>
        <v>#VALUE!</v>
      </c>
      <c r="GQ135" t="e">
        <f>AND('UP133'!AR98,"AAAAAH+/x8Y=")</f>
        <v>#VALUE!</v>
      </c>
      <c r="GR135" t="e">
        <f>AND('UP133'!AS98,"AAAAAH+/x8c=")</f>
        <v>#VALUE!</v>
      </c>
      <c r="GS135" t="e">
        <f>AND('UP133'!AT98,"AAAAAH+/x8g=")</f>
        <v>#VALUE!</v>
      </c>
      <c r="GT135" t="e">
        <f>AND('UP133'!AU98,"AAAAAH+/x8k=")</f>
        <v>#VALUE!</v>
      </c>
      <c r="GU135" t="e">
        <f>AND('UP133'!AV98,"AAAAAH+/x8o=")</f>
        <v>#VALUE!</v>
      </c>
      <c r="GV135" t="e">
        <f>AND('UP133'!AW98,"AAAAAH+/x8s=")</f>
        <v>#VALUE!</v>
      </c>
      <c r="GW135" t="e">
        <f>AND('UP133'!AX98,"AAAAAH+/x8w=")</f>
        <v>#VALUE!</v>
      </c>
      <c r="GX135" t="e">
        <f>AND('UP133'!AY98,"AAAAAH+/x80=")</f>
        <v>#VALUE!</v>
      </c>
      <c r="GY135" t="e">
        <f>AND('UP133'!AZ98,"AAAAAH+/x84=")</f>
        <v>#VALUE!</v>
      </c>
      <c r="GZ135" t="e">
        <f>AND('UP133'!BA98,"AAAAAH+/x88=")</f>
        <v>#VALUE!</v>
      </c>
      <c r="HA135" t="e">
        <f>AND('UP133'!BB98,"AAAAAH+/x9A=")</f>
        <v>#VALUE!</v>
      </c>
      <c r="HB135" t="e">
        <f>AND('UP133'!BC98,"AAAAAH+/x9E=")</f>
        <v>#VALUE!</v>
      </c>
      <c r="HC135" t="e">
        <f>AND('UP133'!BD98,"AAAAAH+/x9I=")</f>
        <v>#VALUE!</v>
      </c>
      <c r="HD135" t="e">
        <f>AND('UP133'!BE98,"AAAAAH+/x9M=")</f>
        <v>#VALUE!</v>
      </c>
      <c r="HE135" t="e">
        <f>AND('UP133'!BF98,"AAAAAH+/x9Q=")</f>
        <v>#VALUE!</v>
      </c>
      <c r="HF135" t="e">
        <f>AND('UP133'!BG98,"AAAAAH+/x9U=")</f>
        <v>#VALUE!</v>
      </c>
      <c r="HG135" t="e">
        <f>AND('UP133'!BH98,"AAAAAH+/x9Y=")</f>
        <v>#VALUE!</v>
      </c>
      <c r="HH135" t="e">
        <f>AND('UP133'!BI98,"AAAAAH+/x9c=")</f>
        <v>#VALUE!</v>
      </c>
      <c r="HI135" t="e">
        <f>AND('UP133'!BJ98,"AAAAAH+/x9g=")</f>
        <v>#VALUE!</v>
      </c>
      <c r="HJ135" t="e">
        <f>AND('UP133'!BK98,"AAAAAH+/x9k=")</f>
        <v>#VALUE!</v>
      </c>
      <c r="HK135" t="e">
        <f>AND('UP133'!BL98,"AAAAAH+/x9o=")</f>
        <v>#VALUE!</v>
      </c>
      <c r="HL135" t="e">
        <f>AND('UP133'!BM98,"AAAAAH+/x9s=")</f>
        <v>#VALUE!</v>
      </c>
      <c r="HM135" t="e">
        <f>AND('UP133'!BN98,"AAAAAH+/x9w=")</f>
        <v>#VALUE!</v>
      </c>
      <c r="HN135" t="e">
        <f>AND('UP133'!BO98,"AAAAAH+/x90=")</f>
        <v>#VALUE!</v>
      </c>
      <c r="HO135" t="e">
        <f>AND('UP133'!BP98,"AAAAAH+/x94=")</f>
        <v>#VALUE!</v>
      </c>
      <c r="HP135" t="e">
        <f>AND('UP133'!BQ98,"AAAAAH+/x98=")</f>
        <v>#VALUE!</v>
      </c>
      <c r="HQ135" t="e">
        <f>AND('UP133'!BR98,"AAAAAH+/x+A=")</f>
        <v>#VALUE!</v>
      </c>
      <c r="HR135" t="e">
        <f>AND('UP133'!BS98,"AAAAAH+/x+E=")</f>
        <v>#VALUE!</v>
      </c>
      <c r="HS135" t="e">
        <f>AND('UP133'!BT98,"AAAAAH+/x+I=")</f>
        <v>#VALUE!</v>
      </c>
      <c r="HT135" t="e">
        <f>AND('UP133'!BU98,"AAAAAH+/x+M=")</f>
        <v>#VALUE!</v>
      </c>
      <c r="HU135" t="e">
        <f>AND('UP133'!BV98,"AAAAAH+/x+Q=")</f>
        <v>#VALUE!</v>
      </c>
      <c r="HV135" t="e">
        <f>AND('UP133'!BW98,"AAAAAH+/x+U=")</f>
        <v>#VALUE!</v>
      </c>
      <c r="HW135" t="e">
        <f>AND('UP133'!BX98,"AAAAAH+/x+Y=")</f>
        <v>#VALUE!</v>
      </c>
      <c r="HX135" t="e">
        <f>AND('UP133'!BY98,"AAAAAH+/x+c=")</f>
        <v>#VALUE!</v>
      </c>
      <c r="HY135" t="e">
        <f>AND('UP133'!BZ98,"AAAAAH+/x+g=")</f>
        <v>#VALUE!</v>
      </c>
      <c r="HZ135" t="e">
        <f>AND('UP133'!CA98,"AAAAAH+/x+k=")</f>
        <v>#VALUE!</v>
      </c>
      <c r="IA135" t="e">
        <f>AND('UP133'!CB98,"AAAAAH+/x+o=")</f>
        <v>#VALUE!</v>
      </c>
      <c r="IB135" t="e">
        <f>AND('UP133'!CC98,"AAAAAH+/x+s=")</f>
        <v>#VALUE!</v>
      </c>
      <c r="IC135" t="e">
        <f>AND('UP133'!CD98,"AAAAAH+/x+w=")</f>
        <v>#VALUE!</v>
      </c>
      <c r="ID135" t="e">
        <f>AND('UP133'!CE98,"AAAAAH+/x+0=")</f>
        <v>#VALUE!</v>
      </c>
      <c r="IE135" t="e">
        <f>AND('UP133'!CF98,"AAAAAH+/x+4=")</f>
        <v>#VALUE!</v>
      </c>
      <c r="IF135" t="e">
        <f>AND('UP133'!CG98,"AAAAAH+/x+8=")</f>
        <v>#VALUE!</v>
      </c>
      <c r="IG135" t="e">
        <f>AND('UP133'!CH98,"AAAAAH+/x/A=")</f>
        <v>#VALUE!</v>
      </c>
      <c r="IH135" t="e">
        <f>AND('UP133'!CI98,"AAAAAH+/x/E=")</f>
        <v>#VALUE!</v>
      </c>
      <c r="II135" t="e">
        <f>AND('UP133'!CJ98,"AAAAAH+/x/I=")</f>
        <v>#VALUE!</v>
      </c>
      <c r="IJ135" t="e">
        <f>AND('UP133'!CK98,"AAAAAH+/x/M=")</f>
        <v>#VALUE!</v>
      </c>
      <c r="IK135" t="e">
        <f>AND('UP133'!CL98,"AAAAAH+/x/Q=")</f>
        <v>#VALUE!</v>
      </c>
      <c r="IL135" t="e">
        <f>AND('UP133'!CM98,"AAAAAH+/x/U=")</f>
        <v>#VALUE!</v>
      </c>
      <c r="IM135" t="e">
        <f>AND('UP133'!CN98,"AAAAAH+/x/Y=")</f>
        <v>#VALUE!</v>
      </c>
      <c r="IN135" t="e">
        <f>AND('UP133'!CO98,"AAAAAH+/x/c=")</f>
        <v>#VALUE!</v>
      </c>
      <c r="IO135" t="e">
        <f>AND('UP133'!CP98,"AAAAAH+/x/g=")</f>
        <v>#VALUE!</v>
      </c>
      <c r="IP135" t="e">
        <f>AND('UP133'!CQ98,"AAAAAH+/x/k=")</f>
        <v>#VALUE!</v>
      </c>
      <c r="IQ135" t="e">
        <f>AND('UP133'!CR98,"AAAAAH+/x/o=")</f>
        <v>#VALUE!</v>
      </c>
      <c r="IR135" t="e">
        <f>AND('UP133'!CS98,"AAAAAH+/x/s=")</f>
        <v>#VALUE!</v>
      </c>
      <c r="IS135" t="e">
        <f>AND('UP133'!CT98,"AAAAAH+/x/w=")</f>
        <v>#VALUE!</v>
      </c>
      <c r="IT135" t="e">
        <f>AND('UP133'!CU98,"AAAAAH+/x/0=")</f>
        <v>#VALUE!</v>
      </c>
      <c r="IU135" t="e">
        <f>AND('UP133'!CV98,"AAAAAH+/x/4=")</f>
        <v>#VALUE!</v>
      </c>
      <c r="IV135" t="e">
        <f>AND('UP133'!CW98,"AAAAAH+/x/8=")</f>
        <v>#VALUE!</v>
      </c>
    </row>
    <row r="136" spans="1:256">
      <c r="A136" t="e">
        <f>AND('UP133'!CX98,"AAAAAF+9dwA=")</f>
        <v>#VALUE!</v>
      </c>
      <c r="B136" t="e">
        <f>AND('UP133'!CY98,"AAAAAF+9dwE=")</f>
        <v>#VALUE!</v>
      </c>
      <c r="C136" t="e">
        <f>AND('UP133'!CZ98,"AAAAAF+9dwI=")</f>
        <v>#VALUE!</v>
      </c>
      <c r="D136" t="e">
        <f>AND('UP133'!DA98,"AAAAAF+9dwM=")</f>
        <v>#VALUE!</v>
      </c>
      <c r="E136" t="e">
        <f>AND('UP133'!DB98,"AAAAAF+9dwQ=")</f>
        <v>#VALUE!</v>
      </c>
      <c r="F136" t="e">
        <f>AND('UP133'!DC98,"AAAAAF+9dwU=")</f>
        <v>#VALUE!</v>
      </c>
      <c r="G136" t="e">
        <f>AND('UP133'!DD98,"AAAAAF+9dwY=")</f>
        <v>#VALUE!</v>
      </c>
      <c r="H136" t="e">
        <f>AND('UP133'!DE98,"AAAAAF+9dwc=")</f>
        <v>#VALUE!</v>
      </c>
      <c r="I136" t="e">
        <f>AND('UP133'!DF98,"AAAAAF+9dwg=")</f>
        <v>#VALUE!</v>
      </c>
      <c r="J136" t="e">
        <f>AND('UP133'!DG98,"AAAAAF+9dwk=")</f>
        <v>#VALUE!</v>
      </c>
      <c r="K136" t="e">
        <f>AND('UP133'!DH98,"AAAAAF+9dwo=")</f>
        <v>#VALUE!</v>
      </c>
      <c r="L136" t="e">
        <f>AND('UP133'!DI98,"AAAAAF+9dws=")</f>
        <v>#VALUE!</v>
      </c>
      <c r="M136" t="e">
        <f>AND('UP133'!DJ98,"AAAAAF+9dww=")</f>
        <v>#VALUE!</v>
      </c>
      <c r="N136" t="e">
        <f>AND('UP133'!DK98,"AAAAAF+9dw0=")</f>
        <v>#VALUE!</v>
      </c>
      <c r="O136" t="e">
        <f>AND('UP133'!DL98,"AAAAAF+9dw4=")</f>
        <v>#VALUE!</v>
      </c>
      <c r="P136" t="e">
        <f>AND('UP133'!DM98,"AAAAAF+9dw8=")</f>
        <v>#VALUE!</v>
      </c>
      <c r="Q136" t="e">
        <f>AND('UP133'!DN98,"AAAAAF+9dxA=")</f>
        <v>#VALUE!</v>
      </c>
      <c r="R136" t="e">
        <f>AND('UP133'!DO98,"AAAAAF+9dxE=")</f>
        <v>#VALUE!</v>
      </c>
      <c r="S136" t="e">
        <f>AND('UP133'!DP98,"AAAAAF+9dxI=")</f>
        <v>#VALUE!</v>
      </c>
      <c r="T136" t="e">
        <f>AND('UP133'!DQ98,"AAAAAF+9dxM=")</f>
        <v>#VALUE!</v>
      </c>
      <c r="U136" t="e">
        <f>AND('UP133'!DR98,"AAAAAF+9dxQ=")</f>
        <v>#VALUE!</v>
      </c>
      <c r="V136" t="e">
        <f>AND('UP133'!DS98,"AAAAAF+9dxU=")</f>
        <v>#VALUE!</v>
      </c>
      <c r="W136" t="e">
        <f>AND('UP133'!DT98,"AAAAAF+9dxY=")</f>
        <v>#VALUE!</v>
      </c>
      <c r="X136" t="e">
        <f>AND('UP133'!DU98,"AAAAAF+9dxc=")</f>
        <v>#VALUE!</v>
      </c>
      <c r="Y136" t="e">
        <f>AND('UP133'!DV98,"AAAAAF+9dxg=")</f>
        <v>#VALUE!</v>
      </c>
      <c r="Z136" t="e">
        <f>AND('UP133'!DW98,"AAAAAF+9dxk=")</f>
        <v>#VALUE!</v>
      </c>
      <c r="AA136" t="e">
        <f>AND('UP133'!DX98,"AAAAAF+9dxo=")</f>
        <v>#VALUE!</v>
      </c>
      <c r="AB136" t="e">
        <f>AND('UP133'!DY98,"AAAAAF+9dxs=")</f>
        <v>#VALUE!</v>
      </c>
      <c r="AC136" t="e">
        <f>AND('UP133'!DZ98,"AAAAAF+9dxw=")</f>
        <v>#VALUE!</v>
      </c>
      <c r="AD136" t="e">
        <f>AND('UP133'!EA98,"AAAAAF+9dx0=")</f>
        <v>#VALUE!</v>
      </c>
      <c r="AE136" t="e">
        <f>AND('UP133'!EB98,"AAAAAF+9dx4=")</f>
        <v>#VALUE!</v>
      </c>
      <c r="AF136" t="e">
        <f>AND('UP133'!EC98,"AAAAAF+9dx8=")</f>
        <v>#VALUE!</v>
      </c>
      <c r="AG136" t="e">
        <f>AND('UP133'!ED98,"AAAAAF+9dyA=")</f>
        <v>#VALUE!</v>
      </c>
      <c r="AH136" t="e">
        <f>AND('UP133'!EE98,"AAAAAF+9dyE=")</f>
        <v>#VALUE!</v>
      </c>
      <c r="AI136" t="e">
        <f>AND('UP133'!EF98,"AAAAAF+9dyI=")</f>
        <v>#VALUE!</v>
      </c>
      <c r="AJ136" t="e">
        <f>AND('UP133'!EG98,"AAAAAF+9dyM=")</f>
        <v>#VALUE!</v>
      </c>
      <c r="AK136" t="e">
        <f>AND('UP133'!EH98,"AAAAAF+9dyQ=")</f>
        <v>#VALUE!</v>
      </c>
      <c r="AL136" t="e">
        <f>AND('UP133'!EI98,"AAAAAF+9dyU=")</f>
        <v>#VALUE!</v>
      </c>
      <c r="AM136" t="e">
        <f>AND('UP133'!EJ98,"AAAAAF+9dyY=")</f>
        <v>#VALUE!</v>
      </c>
      <c r="AN136" t="e">
        <f>AND('UP133'!EK98,"AAAAAF+9dyc=")</f>
        <v>#VALUE!</v>
      </c>
      <c r="AO136" t="e">
        <f>AND('UP133'!EL98,"AAAAAF+9dyg=")</f>
        <v>#VALUE!</v>
      </c>
      <c r="AP136" t="e">
        <f>AND('UP133'!EM98,"AAAAAF+9dyk=")</f>
        <v>#VALUE!</v>
      </c>
      <c r="AQ136" t="e">
        <f>AND('UP133'!EN98,"AAAAAF+9dyo=")</f>
        <v>#VALUE!</v>
      </c>
      <c r="AR136" t="e">
        <f>AND('UP133'!EO98,"AAAAAF+9dys=")</f>
        <v>#VALUE!</v>
      </c>
      <c r="AS136" t="e">
        <f>AND('UP133'!EP98,"AAAAAF+9dyw=")</f>
        <v>#VALUE!</v>
      </c>
      <c r="AT136" t="e">
        <f>AND('UP133'!EQ98,"AAAAAF+9dy0=")</f>
        <v>#VALUE!</v>
      </c>
      <c r="AU136" t="e">
        <f>AND('UP133'!ER98,"AAAAAF+9dy4=")</f>
        <v>#VALUE!</v>
      </c>
      <c r="AV136" t="e">
        <f>AND('UP133'!ES98,"AAAAAF+9dy8=")</f>
        <v>#VALUE!</v>
      </c>
      <c r="AW136" t="e">
        <f>AND('UP133'!ET98,"AAAAAF+9dzA=")</f>
        <v>#VALUE!</v>
      </c>
      <c r="AX136" t="e">
        <f>AND('UP133'!EU98,"AAAAAF+9dzE=")</f>
        <v>#VALUE!</v>
      </c>
      <c r="AY136" t="e">
        <f>AND('UP133'!EV98,"AAAAAF+9dzI=")</f>
        <v>#VALUE!</v>
      </c>
      <c r="AZ136" t="e">
        <f>AND('UP133'!EW98,"AAAAAF+9dzM=")</f>
        <v>#VALUE!</v>
      </c>
      <c r="BA136" t="e">
        <f>AND('UP133'!EX98,"AAAAAF+9dzQ=")</f>
        <v>#VALUE!</v>
      </c>
      <c r="BB136" t="e">
        <f>AND('UP133'!EY98,"AAAAAF+9dzU=")</f>
        <v>#VALUE!</v>
      </c>
      <c r="BC136" t="e">
        <f>AND('UP133'!EZ98,"AAAAAF+9dzY=")</f>
        <v>#VALUE!</v>
      </c>
      <c r="BD136" t="e">
        <f>AND('UP133'!FA98,"AAAAAF+9dzc=")</f>
        <v>#VALUE!</v>
      </c>
      <c r="BE136" t="e">
        <f>AND('UP133'!FB98,"AAAAAF+9dzg=")</f>
        <v>#VALUE!</v>
      </c>
      <c r="BF136" t="e">
        <f>AND('UP133'!FC98,"AAAAAF+9dzk=")</f>
        <v>#VALUE!</v>
      </c>
      <c r="BG136" t="e">
        <f>AND('UP133'!FD98,"AAAAAF+9dzo=")</f>
        <v>#VALUE!</v>
      </c>
      <c r="BH136" t="e">
        <f>AND('UP133'!FE98,"AAAAAF+9dzs=")</f>
        <v>#VALUE!</v>
      </c>
      <c r="BI136" t="e">
        <f>AND('UP133'!FF98,"AAAAAF+9dzw=")</f>
        <v>#VALUE!</v>
      </c>
      <c r="BJ136" t="e">
        <f>AND('UP133'!FG98,"AAAAAF+9dz0=")</f>
        <v>#VALUE!</v>
      </c>
      <c r="BK136" t="e">
        <f>AND('UP133'!FH98,"AAAAAF+9dz4=")</f>
        <v>#VALUE!</v>
      </c>
      <c r="BL136" t="e">
        <f>AND('UP133'!FI98,"AAAAAF+9dz8=")</f>
        <v>#VALUE!</v>
      </c>
      <c r="BM136" t="e">
        <f>AND('UP133'!FJ98,"AAAAAF+9d0A=")</f>
        <v>#VALUE!</v>
      </c>
      <c r="BN136" t="e">
        <f>AND('UP133'!FK98,"AAAAAF+9d0E=")</f>
        <v>#VALUE!</v>
      </c>
      <c r="BO136" t="e">
        <f>AND('UP133'!FL98,"AAAAAF+9d0I=")</f>
        <v>#VALUE!</v>
      </c>
      <c r="BP136" t="e">
        <f>AND('UP133'!FM98,"AAAAAF+9d0M=")</f>
        <v>#VALUE!</v>
      </c>
      <c r="BQ136" t="e">
        <f>AND('UP133'!FN98,"AAAAAF+9d0Q=")</f>
        <v>#VALUE!</v>
      </c>
      <c r="BR136" t="e">
        <f>AND('UP133'!FO98,"AAAAAF+9d0U=")</f>
        <v>#VALUE!</v>
      </c>
      <c r="BS136" t="e">
        <f>AND('UP133'!FP98,"AAAAAF+9d0Y=")</f>
        <v>#VALUE!</v>
      </c>
      <c r="BT136" t="e">
        <f>AND('UP133'!FQ98,"AAAAAF+9d0c=")</f>
        <v>#VALUE!</v>
      </c>
      <c r="BU136" t="e">
        <f>AND('UP133'!FR98,"AAAAAF+9d0g=")</f>
        <v>#VALUE!</v>
      </c>
      <c r="BV136" t="e">
        <f>AND('UP133'!FS98,"AAAAAF+9d0k=")</f>
        <v>#VALUE!</v>
      </c>
      <c r="BW136" t="e">
        <f>AND('UP133'!FT98,"AAAAAF+9d0o=")</f>
        <v>#VALUE!</v>
      </c>
      <c r="BX136" t="e">
        <f>AND('UP133'!FU98,"AAAAAF+9d0s=")</f>
        <v>#VALUE!</v>
      </c>
      <c r="BY136" t="e">
        <f>AND('UP133'!FV98,"AAAAAF+9d0w=")</f>
        <v>#VALUE!</v>
      </c>
      <c r="BZ136" t="e">
        <f>AND('UP133'!FW98,"AAAAAF+9d00=")</f>
        <v>#VALUE!</v>
      </c>
      <c r="CA136" t="e">
        <f>AND('UP133'!FX98,"AAAAAF+9d04=")</f>
        <v>#VALUE!</v>
      </c>
      <c r="CB136" t="e">
        <f>AND('UP133'!FY98,"AAAAAF+9d08=")</f>
        <v>#VALUE!</v>
      </c>
      <c r="CC136" t="e">
        <f>AND('UP133'!FZ98,"AAAAAF+9d1A=")</f>
        <v>#VALUE!</v>
      </c>
      <c r="CD136" t="e">
        <f>AND('UP133'!GA98,"AAAAAF+9d1E=")</f>
        <v>#VALUE!</v>
      </c>
      <c r="CE136" t="e">
        <f>AND('UP133'!GB98,"AAAAAF+9d1I=")</f>
        <v>#VALUE!</v>
      </c>
      <c r="CF136" t="e">
        <f>AND('UP133'!GC98,"AAAAAF+9d1M=")</f>
        <v>#VALUE!</v>
      </c>
      <c r="CG136" t="e">
        <f>AND('UP133'!GD98,"AAAAAF+9d1Q=")</f>
        <v>#VALUE!</v>
      </c>
      <c r="CH136" t="e">
        <f>AND('UP133'!GE98,"AAAAAF+9d1U=")</f>
        <v>#VALUE!</v>
      </c>
      <c r="CI136" t="e">
        <f>AND('UP133'!GF98,"AAAAAF+9d1Y=")</f>
        <v>#VALUE!</v>
      </c>
      <c r="CJ136" t="e">
        <f>AND('UP133'!GG98,"AAAAAF+9d1c=")</f>
        <v>#VALUE!</v>
      </c>
      <c r="CK136" t="e">
        <f>AND('UP133'!GH98,"AAAAAF+9d1g=")</f>
        <v>#VALUE!</v>
      </c>
      <c r="CL136" t="e">
        <f>AND('UP133'!GI98,"AAAAAF+9d1k=")</f>
        <v>#VALUE!</v>
      </c>
      <c r="CM136" t="e">
        <f>AND('UP133'!GJ98,"AAAAAF+9d1o=")</f>
        <v>#VALUE!</v>
      </c>
      <c r="CN136" t="e">
        <f>AND('UP133'!GK98,"AAAAAF+9d1s=")</f>
        <v>#VALUE!</v>
      </c>
      <c r="CO136" t="e">
        <f>AND('UP133'!GL98,"AAAAAF+9d1w=")</f>
        <v>#VALUE!</v>
      </c>
      <c r="CP136" t="e">
        <f>AND('UP133'!GM98,"AAAAAF+9d10=")</f>
        <v>#VALUE!</v>
      </c>
      <c r="CQ136" t="e">
        <f>AND('UP133'!GN98,"AAAAAF+9d14=")</f>
        <v>#VALUE!</v>
      </c>
      <c r="CR136" t="e">
        <f>AND('UP133'!GO98,"AAAAAF+9d18=")</f>
        <v>#VALUE!</v>
      </c>
      <c r="CS136" t="e">
        <f>AND('UP133'!GP98,"AAAAAF+9d2A=")</f>
        <v>#VALUE!</v>
      </c>
      <c r="CT136" t="e">
        <f>AND('UP133'!GQ98,"AAAAAF+9d2E=")</f>
        <v>#VALUE!</v>
      </c>
      <c r="CU136" t="e">
        <f>AND('UP133'!GR98,"AAAAAF+9d2I=")</f>
        <v>#VALUE!</v>
      </c>
      <c r="CV136" t="e">
        <f>AND('UP133'!GS98,"AAAAAF+9d2M=")</f>
        <v>#VALUE!</v>
      </c>
      <c r="CW136" t="e">
        <f>AND('UP133'!GT98,"AAAAAF+9d2Q=")</f>
        <v>#VALUE!</v>
      </c>
      <c r="CX136" t="e">
        <f>AND('UP133'!GU98,"AAAAAF+9d2U=")</f>
        <v>#VALUE!</v>
      </c>
      <c r="CY136" t="e">
        <f>AND('UP133'!GV98,"AAAAAF+9d2Y=")</f>
        <v>#VALUE!</v>
      </c>
      <c r="CZ136" t="e">
        <f>AND('UP133'!GW98,"AAAAAF+9d2c=")</f>
        <v>#VALUE!</v>
      </c>
      <c r="DA136" t="e">
        <f>AND('UP133'!GX98,"AAAAAF+9d2g=")</f>
        <v>#VALUE!</v>
      </c>
      <c r="DB136" t="e">
        <f>AND('UP133'!GY98,"AAAAAF+9d2k=")</f>
        <v>#VALUE!</v>
      </c>
      <c r="DC136" t="e">
        <f>AND('UP133'!GZ98,"AAAAAF+9d2o=")</f>
        <v>#VALUE!</v>
      </c>
      <c r="DD136" t="e">
        <f>AND('UP133'!HA98,"AAAAAF+9d2s=")</f>
        <v>#VALUE!</v>
      </c>
      <c r="DE136" t="e">
        <f>AND('UP133'!HB98,"AAAAAF+9d2w=")</f>
        <v>#VALUE!</v>
      </c>
      <c r="DF136" t="e">
        <f>AND('UP133'!HC98,"AAAAAF+9d20=")</f>
        <v>#VALUE!</v>
      </c>
      <c r="DG136" t="e">
        <f>AND('UP133'!HD98,"AAAAAF+9d24=")</f>
        <v>#VALUE!</v>
      </c>
      <c r="DH136" t="e">
        <f>AND('UP133'!HE98,"AAAAAF+9d28=")</f>
        <v>#VALUE!</v>
      </c>
      <c r="DI136" t="e">
        <f>AND('UP133'!HF98,"AAAAAF+9d3A=")</f>
        <v>#VALUE!</v>
      </c>
      <c r="DJ136" t="e">
        <f>AND('UP133'!HG98,"AAAAAF+9d3E=")</f>
        <v>#VALUE!</v>
      </c>
      <c r="DK136" t="e">
        <f>AND('UP133'!HH98,"AAAAAF+9d3I=")</f>
        <v>#VALUE!</v>
      </c>
      <c r="DL136" t="e">
        <f>AND('UP133'!HI98,"AAAAAF+9d3M=")</f>
        <v>#VALUE!</v>
      </c>
      <c r="DM136" t="e">
        <f>AND('UP133'!HJ98,"AAAAAF+9d3Q=")</f>
        <v>#VALUE!</v>
      </c>
      <c r="DN136" t="e">
        <f>AND('UP133'!HK98,"AAAAAF+9d3U=")</f>
        <v>#VALUE!</v>
      </c>
      <c r="DO136" t="e">
        <f>AND('UP133'!HL98,"AAAAAF+9d3Y=")</f>
        <v>#VALUE!</v>
      </c>
      <c r="DP136" t="e">
        <f>AND('UP133'!HM98,"AAAAAF+9d3c=")</f>
        <v>#VALUE!</v>
      </c>
      <c r="DQ136" t="e">
        <f>AND('UP133'!HN98,"AAAAAF+9d3g=")</f>
        <v>#VALUE!</v>
      </c>
      <c r="DR136" t="e">
        <f>AND('UP133'!HO98,"AAAAAF+9d3k=")</f>
        <v>#VALUE!</v>
      </c>
      <c r="DS136" t="e">
        <f>AND('UP133'!HP98,"AAAAAF+9d3o=")</f>
        <v>#VALUE!</v>
      </c>
      <c r="DT136" t="e">
        <f>AND('UP133'!HQ98,"AAAAAF+9d3s=")</f>
        <v>#VALUE!</v>
      </c>
      <c r="DU136" t="e">
        <f>AND('UP133'!HR98,"AAAAAF+9d3w=")</f>
        <v>#VALUE!</v>
      </c>
      <c r="DV136" t="e">
        <f>AND('UP133'!HS98,"AAAAAF+9d30=")</f>
        <v>#VALUE!</v>
      </c>
      <c r="DW136" t="e">
        <f>AND('UP133'!HT98,"AAAAAF+9d34=")</f>
        <v>#VALUE!</v>
      </c>
      <c r="DX136" t="e">
        <f>AND('UP133'!HU98,"AAAAAF+9d38=")</f>
        <v>#VALUE!</v>
      </c>
      <c r="DY136" t="e">
        <f>AND('UP133'!HV98,"AAAAAF+9d4A=")</f>
        <v>#VALUE!</v>
      </c>
      <c r="DZ136" t="e">
        <f>AND('UP133'!HW98,"AAAAAF+9d4E=")</f>
        <v>#VALUE!</v>
      </c>
      <c r="EA136" t="e">
        <f>AND('UP133'!HX98,"AAAAAF+9d4I=")</f>
        <v>#VALUE!</v>
      </c>
      <c r="EB136" t="e">
        <f>AND('UP133'!HY98,"AAAAAF+9d4M=")</f>
        <v>#VALUE!</v>
      </c>
      <c r="EC136" t="e">
        <f>AND('UP133'!HZ98,"AAAAAF+9d4Q=")</f>
        <v>#VALUE!</v>
      </c>
      <c r="ED136" t="e">
        <f>AND('UP133'!IA98,"AAAAAF+9d4U=")</f>
        <v>#VALUE!</v>
      </c>
      <c r="EE136" t="e">
        <f>AND('UP133'!IB98,"AAAAAF+9d4Y=")</f>
        <v>#VALUE!</v>
      </c>
      <c r="EF136" t="e">
        <f>AND('UP133'!IC98,"AAAAAF+9d4c=")</f>
        <v>#VALUE!</v>
      </c>
      <c r="EG136" t="e">
        <f>AND('UP133'!ID98,"AAAAAF+9d4g=")</f>
        <v>#VALUE!</v>
      </c>
      <c r="EH136" t="e">
        <f>AND('UP133'!IE98,"AAAAAF+9d4k=")</f>
        <v>#VALUE!</v>
      </c>
      <c r="EI136" t="e">
        <f>AND('UP133'!IF98,"AAAAAF+9d4o=")</f>
        <v>#VALUE!</v>
      </c>
      <c r="EJ136" t="e">
        <f>AND('UP133'!IG98,"AAAAAF+9d4s=")</f>
        <v>#VALUE!</v>
      </c>
      <c r="EK136" t="e">
        <f>AND('UP133'!IH98,"AAAAAF+9d4w=")</f>
        <v>#VALUE!</v>
      </c>
      <c r="EL136" t="e">
        <f>AND('UP133'!II98,"AAAAAF+9d40=")</f>
        <v>#VALUE!</v>
      </c>
      <c r="EM136" t="e">
        <f>AND('UP133'!IJ98,"AAAAAF+9d44=")</f>
        <v>#VALUE!</v>
      </c>
      <c r="EN136" t="e">
        <f>AND('UP133'!IK98,"AAAAAF+9d48=")</f>
        <v>#VALUE!</v>
      </c>
      <c r="EO136" t="e">
        <f>AND('UP133'!IL98,"AAAAAF+9d5A=")</f>
        <v>#VALUE!</v>
      </c>
      <c r="EP136" t="e">
        <f>AND('UP133'!IM98,"AAAAAF+9d5E=")</f>
        <v>#VALUE!</v>
      </c>
      <c r="EQ136" t="e">
        <f>AND('UP133'!IN98,"AAAAAF+9d5I=")</f>
        <v>#VALUE!</v>
      </c>
      <c r="ER136" t="e">
        <f>AND('UP133'!IO98,"AAAAAF+9d5M=")</f>
        <v>#VALUE!</v>
      </c>
      <c r="ES136" t="e">
        <f>AND('UP133'!IP98,"AAAAAF+9d5Q=")</f>
        <v>#VALUE!</v>
      </c>
      <c r="ET136" t="e">
        <f>AND('UP133'!IQ98,"AAAAAF+9d5U=")</f>
        <v>#VALUE!</v>
      </c>
      <c r="EU136">
        <f>IF('UP133'!99:99,"AAAAAF+9d5Y=",0)</f>
        <v>0</v>
      </c>
      <c r="EV136" t="e">
        <f>AND('UP133'!A99,"AAAAAF+9d5c=")</f>
        <v>#VALUE!</v>
      </c>
      <c r="EW136" t="e">
        <f>AND('UP133'!B99,"AAAAAF+9d5g=")</f>
        <v>#VALUE!</v>
      </c>
      <c r="EX136" t="e">
        <f>AND('UP133'!C99,"AAAAAF+9d5k=")</f>
        <v>#VALUE!</v>
      </c>
      <c r="EY136" t="e">
        <f>AND('UP133'!D99,"AAAAAF+9d5o=")</f>
        <v>#VALUE!</v>
      </c>
      <c r="EZ136" t="e">
        <f>AND('UP133'!E99,"AAAAAF+9d5s=")</f>
        <v>#VALUE!</v>
      </c>
      <c r="FA136" t="e">
        <f>AND('UP133'!F99,"AAAAAF+9d5w=")</f>
        <v>#VALUE!</v>
      </c>
      <c r="FB136" t="e">
        <f>AND('UP133'!G99,"AAAAAF+9d50=")</f>
        <v>#VALUE!</v>
      </c>
      <c r="FC136" t="e">
        <f>AND('UP133'!H99,"AAAAAF+9d54=")</f>
        <v>#VALUE!</v>
      </c>
      <c r="FD136" t="e">
        <f>AND('UP133'!I99,"AAAAAF+9d58=")</f>
        <v>#VALUE!</v>
      </c>
      <c r="FE136" t="e">
        <f>AND('UP133'!J99,"AAAAAF+9d6A=")</f>
        <v>#VALUE!</v>
      </c>
      <c r="FF136" t="e">
        <f>AND('UP133'!K99,"AAAAAF+9d6E=")</f>
        <v>#VALUE!</v>
      </c>
      <c r="FG136" t="e">
        <f>AND('UP133'!L99,"AAAAAF+9d6I=")</f>
        <v>#VALUE!</v>
      </c>
      <c r="FH136" t="e">
        <f>AND('UP133'!M99,"AAAAAF+9d6M=")</f>
        <v>#VALUE!</v>
      </c>
      <c r="FI136" t="e">
        <f>AND('UP133'!N99,"AAAAAF+9d6Q=")</f>
        <v>#VALUE!</v>
      </c>
      <c r="FJ136" t="e">
        <f>AND('UP133'!O99,"AAAAAF+9d6U=")</f>
        <v>#VALUE!</v>
      </c>
      <c r="FK136" t="e">
        <f>AND('UP133'!P99,"AAAAAF+9d6Y=")</f>
        <v>#VALUE!</v>
      </c>
      <c r="FL136" t="e">
        <f>AND('UP133'!Q99,"AAAAAF+9d6c=")</f>
        <v>#VALUE!</v>
      </c>
      <c r="FM136" t="e">
        <f>AND('UP133'!R99,"AAAAAF+9d6g=")</f>
        <v>#VALUE!</v>
      </c>
      <c r="FN136" t="e">
        <f>AND('UP133'!S99,"AAAAAF+9d6k=")</f>
        <v>#VALUE!</v>
      </c>
      <c r="FO136" t="e">
        <f>AND('UP133'!T99,"AAAAAF+9d6o=")</f>
        <v>#VALUE!</v>
      </c>
      <c r="FP136" t="e">
        <f>AND('UP133'!U99,"AAAAAF+9d6s=")</f>
        <v>#VALUE!</v>
      </c>
      <c r="FQ136" t="e">
        <f>AND('UP133'!V99,"AAAAAF+9d6w=")</f>
        <v>#VALUE!</v>
      </c>
      <c r="FR136" t="e">
        <f>AND('UP133'!W99,"AAAAAF+9d60=")</f>
        <v>#VALUE!</v>
      </c>
      <c r="FS136" t="e">
        <f>AND('UP133'!X99,"AAAAAF+9d64=")</f>
        <v>#VALUE!</v>
      </c>
      <c r="FT136" t="e">
        <f>AND('UP133'!Y99,"AAAAAF+9d68=")</f>
        <v>#VALUE!</v>
      </c>
      <c r="FU136" t="e">
        <f>AND('UP133'!Z99,"AAAAAF+9d7A=")</f>
        <v>#VALUE!</v>
      </c>
      <c r="FV136" t="e">
        <f>AND('UP133'!AA99,"AAAAAF+9d7E=")</f>
        <v>#VALUE!</v>
      </c>
      <c r="FW136" t="e">
        <f>AND('UP133'!AB99,"AAAAAF+9d7I=")</f>
        <v>#VALUE!</v>
      </c>
      <c r="FX136" t="e">
        <f>AND('UP133'!AC99,"AAAAAF+9d7M=")</f>
        <v>#VALUE!</v>
      </c>
      <c r="FY136" t="e">
        <f>AND('UP133'!AD99,"AAAAAF+9d7Q=")</f>
        <v>#VALUE!</v>
      </c>
      <c r="FZ136" t="e">
        <f>AND('UP133'!AE99,"AAAAAF+9d7U=")</f>
        <v>#VALUE!</v>
      </c>
      <c r="GA136" t="e">
        <f>AND('UP133'!AF99,"AAAAAF+9d7Y=")</f>
        <v>#VALUE!</v>
      </c>
      <c r="GB136" t="e">
        <f>AND('UP133'!AG99,"AAAAAF+9d7c=")</f>
        <v>#VALUE!</v>
      </c>
      <c r="GC136" t="e">
        <f>AND('UP133'!AH99,"AAAAAF+9d7g=")</f>
        <v>#VALUE!</v>
      </c>
      <c r="GD136" t="e">
        <f>AND('UP133'!AI99,"AAAAAF+9d7k=")</f>
        <v>#VALUE!</v>
      </c>
      <c r="GE136" t="e">
        <f>AND('UP133'!AJ99,"AAAAAF+9d7o=")</f>
        <v>#VALUE!</v>
      </c>
      <c r="GF136" t="e">
        <f>AND('UP133'!AK99,"AAAAAF+9d7s=")</f>
        <v>#VALUE!</v>
      </c>
      <c r="GG136" t="e">
        <f>AND('UP133'!AL99,"AAAAAF+9d7w=")</f>
        <v>#VALUE!</v>
      </c>
      <c r="GH136" t="e">
        <f>AND('UP133'!AM99,"AAAAAF+9d70=")</f>
        <v>#VALUE!</v>
      </c>
      <c r="GI136" t="e">
        <f>AND('UP133'!AN99,"AAAAAF+9d74=")</f>
        <v>#VALUE!</v>
      </c>
      <c r="GJ136" t="e">
        <f>AND('UP133'!AO99,"AAAAAF+9d78=")</f>
        <v>#VALUE!</v>
      </c>
      <c r="GK136" t="e">
        <f>AND('UP133'!AP99,"AAAAAF+9d8A=")</f>
        <v>#VALUE!</v>
      </c>
      <c r="GL136" t="e">
        <f>AND('UP133'!AQ99,"AAAAAF+9d8E=")</f>
        <v>#VALUE!</v>
      </c>
      <c r="GM136" t="e">
        <f>AND('UP133'!AR99,"AAAAAF+9d8I=")</f>
        <v>#VALUE!</v>
      </c>
      <c r="GN136" t="e">
        <f>AND('UP133'!AS99,"AAAAAF+9d8M=")</f>
        <v>#VALUE!</v>
      </c>
      <c r="GO136" t="e">
        <f>AND('UP133'!AT99,"AAAAAF+9d8Q=")</f>
        <v>#VALUE!</v>
      </c>
      <c r="GP136" t="e">
        <f>AND('UP133'!AU99,"AAAAAF+9d8U=")</f>
        <v>#VALUE!</v>
      </c>
      <c r="GQ136" t="e">
        <f>AND('UP133'!AV99,"AAAAAF+9d8Y=")</f>
        <v>#VALUE!</v>
      </c>
      <c r="GR136" t="e">
        <f>AND('UP133'!AW99,"AAAAAF+9d8c=")</f>
        <v>#VALUE!</v>
      </c>
      <c r="GS136" t="e">
        <f>AND('UP133'!AX99,"AAAAAF+9d8g=")</f>
        <v>#VALUE!</v>
      </c>
      <c r="GT136" t="e">
        <f>AND('UP133'!AY99,"AAAAAF+9d8k=")</f>
        <v>#VALUE!</v>
      </c>
      <c r="GU136" t="e">
        <f>AND('UP133'!AZ99,"AAAAAF+9d8o=")</f>
        <v>#VALUE!</v>
      </c>
      <c r="GV136" t="e">
        <f>AND('UP133'!BA99,"AAAAAF+9d8s=")</f>
        <v>#VALUE!</v>
      </c>
      <c r="GW136" t="e">
        <f>AND('UP133'!BB99,"AAAAAF+9d8w=")</f>
        <v>#VALUE!</v>
      </c>
      <c r="GX136" t="e">
        <f>AND('UP133'!BC99,"AAAAAF+9d80=")</f>
        <v>#VALUE!</v>
      </c>
      <c r="GY136" t="e">
        <f>AND('UP133'!BD99,"AAAAAF+9d84=")</f>
        <v>#VALUE!</v>
      </c>
      <c r="GZ136" t="e">
        <f>AND('UP133'!BE99,"AAAAAF+9d88=")</f>
        <v>#VALUE!</v>
      </c>
      <c r="HA136" t="e">
        <f>AND('UP133'!BF99,"AAAAAF+9d9A=")</f>
        <v>#VALUE!</v>
      </c>
      <c r="HB136" t="e">
        <f>AND('UP133'!BG99,"AAAAAF+9d9E=")</f>
        <v>#VALUE!</v>
      </c>
      <c r="HC136" t="e">
        <f>AND('UP133'!BH99,"AAAAAF+9d9I=")</f>
        <v>#VALUE!</v>
      </c>
      <c r="HD136" t="e">
        <f>AND('UP133'!BI99,"AAAAAF+9d9M=")</f>
        <v>#VALUE!</v>
      </c>
      <c r="HE136" t="e">
        <f>AND('UP133'!BJ99,"AAAAAF+9d9Q=")</f>
        <v>#VALUE!</v>
      </c>
      <c r="HF136" t="e">
        <f>AND('UP133'!BK99,"AAAAAF+9d9U=")</f>
        <v>#VALUE!</v>
      </c>
      <c r="HG136" t="e">
        <f>AND('UP133'!BL99,"AAAAAF+9d9Y=")</f>
        <v>#VALUE!</v>
      </c>
      <c r="HH136" t="e">
        <f>AND('UP133'!BM99,"AAAAAF+9d9c=")</f>
        <v>#VALUE!</v>
      </c>
      <c r="HI136" t="e">
        <f>AND('UP133'!BN99,"AAAAAF+9d9g=")</f>
        <v>#VALUE!</v>
      </c>
      <c r="HJ136" t="e">
        <f>AND('UP133'!BO99,"AAAAAF+9d9k=")</f>
        <v>#VALUE!</v>
      </c>
      <c r="HK136" t="e">
        <f>AND('UP133'!BP99,"AAAAAF+9d9o=")</f>
        <v>#VALUE!</v>
      </c>
      <c r="HL136" t="e">
        <f>AND('UP133'!BQ99,"AAAAAF+9d9s=")</f>
        <v>#VALUE!</v>
      </c>
      <c r="HM136" t="e">
        <f>AND('UP133'!BR99,"AAAAAF+9d9w=")</f>
        <v>#VALUE!</v>
      </c>
      <c r="HN136" t="e">
        <f>AND('UP133'!BS99,"AAAAAF+9d90=")</f>
        <v>#VALUE!</v>
      </c>
      <c r="HO136" t="e">
        <f>AND('UP133'!BT99,"AAAAAF+9d94=")</f>
        <v>#VALUE!</v>
      </c>
      <c r="HP136" t="e">
        <f>AND('UP133'!BU99,"AAAAAF+9d98=")</f>
        <v>#VALUE!</v>
      </c>
      <c r="HQ136" t="e">
        <f>AND('UP133'!BV99,"AAAAAF+9d+A=")</f>
        <v>#VALUE!</v>
      </c>
      <c r="HR136" t="e">
        <f>AND('UP133'!BW99,"AAAAAF+9d+E=")</f>
        <v>#VALUE!</v>
      </c>
      <c r="HS136" t="e">
        <f>AND('UP133'!BX99,"AAAAAF+9d+I=")</f>
        <v>#VALUE!</v>
      </c>
      <c r="HT136" t="e">
        <f>AND('UP133'!BY99,"AAAAAF+9d+M=")</f>
        <v>#VALUE!</v>
      </c>
      <c r="HU136" t="e">
        <f>AND('UP133'!BZ99,"AAAAAF+9d+Q=")</f>
        <v>#VALUE!</v>
      </c>
      <c r="HV136" t="e">
        <f>AND('UP133'!CA99,"AAAAAF+9d+U=")</f>
        <v>#VALUE!</v>
      </c>
      <c r="HW136" t="e">
        <f>AND('UP133'!CB99,"AAAAAF+9d+Y=")</f>
        <v>#VALUE!</v>
      </c>
      <c r="HX136" t="e">
        <f>AND('UP133'!CC99,"AAAAAF+9d+c=")</f>
        <v>#VALUE!</v>
      </c>
      <c r="HY136" t="e">
        <f>AND('UP133'!CD99,"AAAAAF+9d+g=")</f>
        <v>#VALUE!</v>
      </c>
      <c r="HZ136" t="e">
        <f>AND('UP133'!CE99,"AAAAAF+9d+k=")</f>
        <v>#VALUE!</v>
      </c>
      <c r="IA136" t="e">
        <f>AND('UP133'!CF99,"AAAAAF+9d+o=")</f>
        <v>#VALUE!</v>
      </c>
      <c r="IB136" t="e">
        <f>AND('UP133'!CG99,"AAAAAF+9d+s=")</f>
        <v>#VALUE!</v>
      </c>
      <c r="IC136" t="e">
        <f>AND('UP133'!CH99,"AAAAAF+9d+w=")</f>
        <v>#VALUE!</v>
      </c>
      <c r="ID136" t="e">
        <f>AND('UP133'!CI99,"AAAAAF+9d+0=")</f>
        <v>#VALUE!</v>
      </c>
      <c r="IE136" t="e">
        <f>AND('UP133'!CJ99,"AAAAAF+9d+4=")</f>
        <v>#VALUE!</v>
      </c>
      <c r="IF136" t="e">
        <f>AND('UP133'!CK99,"AAAAAF+9d+8=")</f>
        <v>#VALUE!</v>
      </c>
      <c r="IG136" t="e">
        <f>AND('UP133'!CL99,"AAAAAF+9d/A=")</f>
        <v>#VALUE!</v>
      </c>
      <c r="IH136" t="e">
        <f>AND('UP133'!CM99,"AAAAAF+9d/E=")</f>
        <v>#VALUE!</v>
      </c>
      <c r="II136" t="e">
        <f>AND('UP133'!CN99,"AAAAAF+9d/I=")</f>
        <v>#VALUE!</v>
      </c>
      <c r="IJ136" t="e">
        <f>AND('UP133'!CO99,"AAAAAF+9d/M=")</f>
        <v>#VALUE!</v>
      </c>
      <c r="IK136" t="e">
        <f>AND('UP133'!CP99,"AAAAAF+9d/Q=")</f>
        <v>#VALUE!</v>
      </c>
      <c r="IL136" t="e">
        <f>AND('UP133'!CQ99,"AAAAAF+9d/U=")</f>
        <v>#VALUE!</v>
      </c>
      <c r="IM136" t="e">
        <f>AND('UP133'!CR99,"AAAAAF+9d/Y=")</f>
        <v>#VALUE!</v>
      </c>
      <c r="IN136" t="e">
        <f>AND('UP133'!CS99,"AAAAAF+9d/c=")</f>
        <v>#VALUE!</v>
      </c>
      <c r="IO136" t="e">
        <f>AND('UP133'!CT99,"AAAAAF+9d/g=")</f>
        <v>#VALUE!</v>
      </c>
      <c r="IP136" t="e">
        <f>AND('UP133'!CU99,"AAAAAF+9d/k=")</f>
        <v>#VALUE!</v>
      </c>
      <c r="IQ136" t="e">
        <f>AND('UP133'!CV99,"AAAAAF+9d/o=")</f>
        <v>#VALUE!</v>
      </c>
      <c r="IR136" t="e">
        <f>AND('UP133'!CW99,"AAAAAF+9d/s=")</f>
        <v>#VALUE!</v>
      </c>
      <c r="IS136" t="e">
        <f>AND('UP133'!CX99,"AAAAAF+9d/w=")</f>
        <v>#VALUE!</v>
      </c>
      <c r="IT136" t="e">
        <f>AND('UP133'!CY99,"AAAAAF+9d/0=")</f>
        <v>#VALUE!</v>
      </c>
      <c r="IU136" t="e">
        <f>AND('UP133'!CZ99,"AAAAAF+9d/4=")</f>
        <v>#VALUE!</v>
      </c>
      <c r="IV136" t="e">
        <f>AND('UP133'!DA99,"AAAAAF+9d/8=")</f>
        <v>#VALUE!</v>
      </c>
    </row>
    <row r="137" spans="1:256">
      <c r="A137" t="e">
        <f>AND('UP133'!DB99,"AAAAAC9+/QA=")</f>
        <v>#VALUE!</v>
      </c>
      <c r="B137" t="e">
        <f>AND('UP133'!DC99,"AAAAAC9+/QE=")</f>
        <v>#VALUE!</v>
      </c>
      <c r="C137" t="e">
        <f>AND('UP133'!DD99,"AAAAAC9+/QI=")</f>
        <v>#VALUE!</v>
      </c>
      <c r="D137" t="e">
        <f>AND('UP133'!DE99,"AAAAAC9+/QM=")</f>
        <v>#VALUE!</v>
      </c>
      <c r="E137" t="e">
        <f>AND('UP133'!DF99,"AAAAAC9+/QQ=")</f>
        <v>#VALUE!</v>
      </c>
      <c r="F137" t="e">
        <f>AND('UP133'!DG99,"AAAAAC9+/QU=")</f>
        <v>#VALUE!</v>
      </c>
      <c r="G137" t="e">
        <f>AND('UP133'!DH99,"AAAAAC9+/QY=")</f>
        <v>#VALUE!</v>
      </c>
      <c r="H137" t="e">
        <f>AND('UP133'!DI99,"AAAAAC9+/Qc=")</f>
        <v>#VALUE!</v>
      </c>
      <c r="I137" t="e">
        <f>AND('UP133'!DJ99,"AAAAAC9+/Qg=")</f>
        <v>#VALUE!</v>
      </c>
      <c r="J137" t="e">
        <f>AND('UP133'!DK99,"AAAAAC9+/Qk=")</f>
        <v>#VALUE!</v>
      </c>
      <c r="K137" t="e">
        <f>AND('UP133'!DL99,"AAAAAC9+/Qo=")</f>
        <v>#VALUE!</v>
      </c>
      <c r="L137" t="e">
        <f>AND('UP133'!DM99,"AAAAAC9+/Qs=")</f>
        <v>#VALUE!</v>
      </c>
      <c r="M137" t="e">
        <f>AND('UP133'!DN99,"AAAAAC9+/Qw=")</f>
        <v>#VALUE!</v>
      </c>
      <c r="N137" t="e">
        <f>AND('UP133'!DO99,"AAAAAC9+/Q0=")</f>
        <v>#VALUE!</v>
      </c>
      <c r="O137" t="e">
        <f>AND('UP133'!DP99,"AAAAAC9+/Q4=")</f>
        <v>#VALUE!</v>
      </c>
      <c r="P137" t="e">
        <f>AND('UP133'!DQ99,"AAAAAC9+/Q8=")</f>
        <v>#VALUE!</v>
      </c>
      <c r="Q137" t="e">
        <f>AND('UP133'!DR99,"AAAAAC9+/RA=")</f>
        <v>#VALUE!</v>
      </c>
      <c r="R137" t="e">
        <f>AND('UP133'!DS99,"AAAAAC9+/RE=")</f>
        <v>#VALUE!</v>
      </c>
      <c r="S137" t="e">
        <f>AND('UP133'!DT99,"AAAAAC9+/RI=")</f>
        <v>#VALUE!</v>
      </c>
      <c r="T137" t="e">
        <f>AND('UP133'!DU99,"AAAAAC9+/RM=")</f>
        <v>#VALUE!</v>
      </c>
      <c r="U137" t="e">
        <f>AND('UP133'!DV99,"AAAAAC9+/RQ=")</f>
        <v>#VALUE!</v>
      </c>
      <c r="V137" t="e">
        <f>AND('UP133'!DW99,"AAAAAC9+/RU=")</f>
        <v>#VALUE!</v>
      </c>
      <c r="W137" t="e">
        <f>AND('UP133'!DX99,"AAAAAC9+/RY=")</f>
        <v>#VALUE!</v>
      </c>
      <c r="X137" t="e">
        <f>AND('UP133'!DY99,"AAAAAC9+/Rc=")</f>
        <v>#VALUE!</v>
      </c>
      <c r="Y137" t="e">
        <f>AND('UP133'!DZ99,"AAAAAC9+/Rg=")</f>
        <v>#VALUE!</v>
      </c>
      <c r="Z137" t="e">
        <f>AND('UP133'!EA99,"AAAAAC9+/Rk=")</f>
        <v>#VALUE!</v>
      </c>
      <c r="AA137" t="e">
        <f>AND('UP133'!EB99,"AAAAAC9+/Ro=")</f>
        <v>#VALUE!</v>
      </c>
      <c r="AB137" t="e">
        <f>AND('UP133'!EC99,"AAAAAC9+/Rs=")</f>
        <v>#VALUE!</v>
      </c>
      <c r="AC137" t="e">
        <f>AND('UP133'!ED99,"AAAAAC9+/Rw=")</f>
        <v>#VALUE!</v>
      </c>
      <c r="AD137" t="e">
        <f>AND('UP133'!EE99,"AAAAAC9+/R0=")</f>
        <v>#VALUE!</v>
      </c>
      <c r="AE137" t="e">
        <f>AND('UP133'!EF99,"AAAAAC9+/R4=")</f>
        <v>#VALUE!</v>
      </c>
      <c r="AF137" t="e">
        <f>AND('UP133'!EG99,"AAAAAC9+/R8=")</f>
        <v>#VALUE!</v>
      </c>
      <c r="AG137" t="e">
        <f>AND('UP133'!EH99,"AAAAAC9+/SA=")</f>
        <v>#VALUE!</v>
      </c>
      <c r="AH137" t="e">
        <f>AND('UP133'!EI99,"AAAAAC9+/SE=")</f>
        <v>#VALUE!</v>
      </c>
      <c r="AI137" t="e">
        <f>AND('UP133'!EJ99,"AAAAAC9+/SI=")</f>
        <v>#VALUE!</v>
      </c>
      <c r="AJ137" t="e">
        <f>AND('UP133'!EK99,"AAAAAC9+/SM=")</f>
        <v>#VALUE!</v>
      </c>
      <c r="AK137" t="e">
        <f>AND('UP133'!EL99,"AAAAAC9+/SQ=")</f>
        <v>#VALUE!</v>
      </c>
      <c r="AL137" t="e">
        <f>AND('UP133'!EM99,"AAAAAC9+/SU=")</f>
        <v>#VALUE!</v>
      </c>
      <c r="AM137" t="e">
        <f>AND('UP133'!EN99,"AAAAAC9+/SY=")</f>
        <v>#VALUE!</v>
      </c>
      <c r="AN137" t="e">
        <f>AND('UP133'!EO99,"AAAAAC9+/Sc=")</f>
        <v>#VALUE!</v>
      </c>
      <c r="AO137" t="e">
        <f>AND('UP133'!EP99,"AAAAAC9+/Sg=")</f>
        <v>#VALUE!</v>
      </c>
      <c r="AP137" t="e">
        <f>AND('UP133'!EQ99,"AAAAAC9+/Sk=")</f>
        <v>#VALUE!</v>
      </c>
      <c r="AQ137" t="e">
        <f>AND('UP133'!ER99,"AAAAAC9+/So=")</f>
        <v>#VALUE!</v>
      </c>
      <c r="AR137" t="e">
        <f>AND('UP133'!ES99,"AAAAAC9+/Ss=")</f>
        <v>#VALUE!</v>
      </c>
      <c r="AS137" t="e">
        <f>AND('UP133'!ET99,"AAAAAC9+/Sw=")</f>
        <v>#VALUE!</v>
      </c>
      <c r="AT137" t="e">
        <f>AND('UP133'!EU99,"AAAAAC9+/S0=")</f>
        <v>#VALUE!</v>
      </c>
      <c r="AU137" t="e">
        <f>AND('UP133'!EV99,"AAAAAC9+/S4=")</f>
        <v>#VALUE!</v>
      </c>
      <c r="AV137" t="e">
        <f>AND('UP133'!EW99,"AAAAAC9+/S8=")</f>
        <v>#VALUE!</v>
      </c>
      <c r="AW137" t="e">
        <f>AND('UP133'!EX99,"AAAAAC9+/TA=")</f>
        <v>#VALUE!</v>
      </c>
      <c r="AX137" t="e">
        <f>AND('UP133'!EY99,"AAAAAC9+/TE=")</f>
        <v>#VALUE!</v>
      </c>
      <c r="AY137" t="e">
        <f>AND('UP133'!EZ99,"AAAAAC9+/TI=")</f>
        <v>#VALUE!</v>
      </c>
      <c r="AZ137" t="e">
        <f>AND('UP133'!FA99,"AAAAAC9+/TM=")</f>
        <v>#VALUE!</v>
      </c>
      <c r="BA137" t="e">
        <f>AND('UP133'!FB99,"AAAAAC9+/TQ=")</f>
        <v>#VALUE!</v>
      </c>
      <c r="BB137" t="e">
        <f>AND('UP133'!FC99,"AAAAAC9+/TU=")</f>
        <v>#VALUE!</v>
      </c>
      <c r="BC137" t="e">
        <f>AND('UP133'!FD99,"AAAAAC9+/TY=")</f>
        <v>#VALUE!</v>
      </c>
      <c r="BD137" t="e">
        <f>AND('UP133'!FE99,"AAAAAC9+/Tc=")</f>
        <v>#VALUE!</v>
      </c>
      <c r="BE137" t="e">
        <f>AND('UP133'!FF99,"AAAAAC9+/Tg=")</f>
        <v>#VALUE!</v>
      </c>
      <c r="BF137" t="e">
        <f>AND('UP133'!FG99,"AAAAAC9+/Tk=")</f>
        <v>#VALUE!</v>
      </c>
      <c r="BG137" t="e">
        <f>AND('UP133'!FH99,"AAAAAC9+/To=")</f>
        <v>#VALUE!</v>
      </c>
      <c r="BH137" t="e">
        <f>AND('UP133'!FI99,"AAAAAC9+/Ts=")</f>
        <v>#VALUE!</v>
      </c>
      <c r="BI137" t="e">
        <f>AND('UP133'!FJ99,"AAAAAC9+/Tw=")</f>
        <v>#VALUE!</v>
      </c>
      <c r="BJ137" t="e">
        <f>AND('UP133'!FK99,"AAAAAC9+/T0=")</f>
        <v>#VALUE!</v>
      </c>
      <c r="BK137" t="e">
        <f>AND('UP133'!FL99,"AAAAAC9+/T4=")</f>
        <v>#VALUE!</v>
      </c>
      <c r="BL137" t="e">
        <f>AND('UP133'!FM99,"AAAAAC9+/T8=")</f>
        <v>#VALUE!</v>
      </c>
      <c r="BM137" t="e">
        <f>AND('UP133'!FN99,"AAAAAC9+/UA=")</f>
        <v>#VALUE!</v>
      </c>
      <c r="BN137" t="e">
        <f>AND('UP133'!FO99,"AAAAAC9+/UE=")</f>
        <v>#VALUE!</v>
      </c>
      <c r="BO137" t="e">
        <f>AND('UP133'!FP99,"AAAAAC9+/UI=")</f>
        <v>#VALUE!</v>
      </c>
      <c r="BP137" t="e">
        <f>AND('UP133'!FQ99,"AAAAAC9+/UM=")</f>
        <v>#VALUE!</v>
      </c>
      <c r="BQ137" t="e">
        <f>AND('UP133'!FR99,"AAAAAC9+/UQ=")</f>
        <v>#VALUE!</v>
      </c>
      <c r="BR137" t="e">
        <f>AND('UP133'!FS99,"AAAAAC9+/UU=")</f>
        <v>#VALUE!</v>
      </c>
      <c r="BS137" t="e">
        <f>AND('UP133'!FT99,"AAAAAC9+/UY=")</f>
        <v>#VALUE!</v>
      </c>
      <c r="BT137" t="e">
        <f>AND('UP133'!FU99,"AAAAAC9+/Uc=")</f>
        <v>#VALUE!</v>
      </c>
      <c r="BU137" t="e">
        <f>AND('UP133'!FV99,"AAAAAC9+/Ug=")</f>
        <v>#VALUE!</v>
      </c>
      <c r="BV137" t="e">
        <f>AND('UP133'!FW99,"AAAAAC9+/Uk=")</f>
        <v>#VALUE!</v>
      </c>
      <c r="BW137" t="e">
        <f>AND('UP133'!FX99,"AAAAAC9+/Uo=")</f>
        <v>#VALUE!</v>
      </c>
      <c r="BX137" t="e">
        <f>AND('UP133'!FY99,"AAAAAC9+/Us=")</f>
        <v>#VALUE!</v>
      </c>
      <c r="BY137" t="e">
        <f>AND('UP133'!FZ99,"AAAAAC9+/Uw=")</f>
        <v>#VALUE!</v>
      </c>
      <c r="BZ137" t="e">
        <f>AND('UP133'!GA99,"AAAAAC9+/U0=")</f>
        <v>#VALUE!</v>
      </c>
      <c r="CA137" t="e">
        <f>AND('UP133'!GB99,"AAAAAC9+/U4=")</f>
        <v>#VALUE!</v>
      </c>
      <c r="CB137" t="e">
        <f>AND('UP133'!GC99,"AAAAAC9+/U8=")</f>
        <v>#VALUE!</v>
      </c>
      <c r="CC137" t="e">
        <f>AND('UP133'!GD99,"AAAAAC9+/VA=")</f>
        <v>#VALUE!</v>
      </c>
      <c r="CD137" t="e">
        <f>AND('UP133'!GE99,"AAAAAC9+/VE=")</f>
        <v>#VALUE!</v>
      </c>
      <c r="CE137" t="e">
        <f>AND('UP133'!GF99,"AAAAAC9+/VI=")</f>
        <v>#VALUE!</v>
      </c>
      <c r="CF137" t="e">
        <f>AND('UP133'!GG99,"AAAAAC9+/VM=")</f>
        <v>#VALUE!</v>
      </c>
      <c r="CG137" t="e">
        <f>AND('UP133'!GH99,"AAAAAC9+/VQ=")</f>
        <v>#VALUE!</v>
      </c>
      <c r="CH137" t="e">
        <f>AND('UP133'!GI99,"AAAAAC9+/VU=")</f>
        <v>#VALUE!</v>
      </c>
      <c r="CI137" t="e">
        <f>AND('UP133'!GJ99,"AAAAAC9+/VY=")</f>
        <v>#VALUE!</v>
      </c>
      <c r="CJ137" t="e">
        <f>AND('UP133'!GK99,"AAAAAC9+/Vc=")</f>
        <v>#VALUE!</v>
      </c>
      <c r="CK137" t="e">
        <f>AND('UP133'!GL99,"AAAAAC9+/Vg=")</f>
        <v>#VALUE!</v>
      </c>
      <c r="CL137" t="e">
        <f>AND('UP133'!GM99,"AAAAAC9+/Vk=")</f>
        <v>#VALUE!</v>
      </c>
      <c r="CM137" t="e">
        <f>AND('UP133'!GN99,"AAAAAC9+/Vo=")</f>
        <v>#VALUE!</v>
      </c>
      <c r="CN137" t="e">
        <f>AND('UP133'!GO99,"AAAAAC9+/Vs=")</f>
        <v>#VALUE!</v>
      </c>
      <c r="CO137" t="e">
        <f>AND('UP133'!GP99,"AAAAAC9+/Vw=")</f>
        <v>#VALUE!</v>
      </c>
      <c r="CP137" t="e">
        <f>AND('UP133'!GQ99,"AAAAAC9+/V0=")</f>
        <v>#VALUE!</v>
      </c>
      <c r="CQ137" t="e">
        <f>AND('UP133'!GR99,"AAAAAC9+/V4=")</f>
        <v>#VALUE!</v>
      </c>
      <c r="CR137" t="e">
        <f>AND('UP133'!GS99,"AAAAAC9+/V8=")</f>
        <v>#VALUE!</v>
      </c>
      <c r="CS137" t="e">
        <f>AND('UP133'!GT99,"AAAAAC9+/WA=")</f>
        <v>#VALUE!</v>
      </c>
      <c r="CT137" t="e">
        <f>AND('UP133'!GU99,"AAAAAC9+/WE=")</f>
        <v>#VALUE!</v>
      </c>
      <c r="CU137" t="e">
        <f>AND('UP133'!GV99,"AAAAAC9+/WI=")</f>
        <v>#VALUE!</v>
      </c>
      <c r="CV137" t="e">
        <f>AND('UP133'!GW99,"AAAAAC9+/WM=")</f>
        <v>#VALUE!</v>
      </c>
      <c r="CW137" t="e">
        <f>AND('UP133'!GX99,"AAAAAC9+/WQ=")</f>
        <v>#VALUE!</v>
      </c>
      <c r="CX137" t="e">
        <f>AND('UP133'!GY99,"AAAAAC9+/WU=")</f>
        <v>#VALUE!</v>
      </c>
      <c r="CY137" t="e">
        <f>AND('UP133'!GZ99,"AAAAAC9+/WY=")</f>
        <v>#VALUE!</v>
      </c>
      <c r="CZ137" t="e">
        <f>AND('UP133'!HA99,"AAAAAC9+/Wc=")</f>
        <v>#VALUE!</v>
      </c>
      <c r="DA137" t="e">
        <f>AND('UP133'!HB99,"AAAAAC9+/Wg=")</f>
        <v>#VALUE!</v>
      </c>
      <c r="DB137" t="e">
        <f>AND('UP133'!HC99,"AAAAAC9+/Wk=")</f>
        <v>#VALUE!</v>
      </c>
      <c r="DC137" t="e">
        <f>AND('UP133'!HD99,"AAAAAC9+/Wo=")</f>
        <v>#VALUE!</v>
      </c>
      <c r="DD137" t="e">
        <f>AND('UP133'!HE99,"AAAAAC9+/Ws=")</f>
        <v>#VALUE!</v>
      </c>
      <c r="DE137" t="e">
        <f>AND('UP133'!HF99,"AAAAAC9+/Ww=")</f>
        <v>#VALUE!</v>
      </c>
      <c r="DF137" t="e">
        <f>AND('UP133'!HG99,"AAAAAC9+/W0=")</f>
        <v>#VALUE!</v>
      </c>
      <c r="DG137" t="e">
        <f>AND('UP133'!HH99,"AAAAAC9+/W4=")</f>
        <v>#VALUE!</v>
      </c>
      <c r="DH137" t="e">
        <f>AND('UP133'!HI99,"AAAAAC9+/W8=")</f>
        <v>#VALUE!</v>
      </c>
      <c r="DI137" t="e">
        <f>AND('UP133'!HJ99,"AAAAAC9+/XA=")</f>
        <v>#VALUE!</v>
      </c>
      <c r="DJ137" t="e">
        <f>AND('UP133'!HK99,"AAAAAC9+/XE=")</f>
        <v>#VALUE!</v>
      </c>
      <c r="DK137" t="e">
        <f>AND('UP133'!HL99,"AAAAAC9+/XI=")</f>
        <v>#VALUE!</v>
      </c>
      <c r="DL137" t="e">
        <f>AND('UP133'!HM99,"AAAAAC9+/XM=")</f>
        <v>#VALUE!</v>
      </c>
      <c r="DM137" t="e">
        <f>AND('UP133'!HN99,"AAAAAC9+/XQ=")</f>
        <v>#VALUE!</v>
      </c>
      <c r="DN137" t="e">
        <f>AND('UP133'!HO99,"AAAAAC9+/XU=")</f>
        <v>#VALUE!</v>
      </c>
      <c r="DO137" t="e">
        <f>AND('UP133'!HP99,"AAAAAC9+/XY=")</f>
        <v>#VALUE!</v>
      </c>
      <c r="DP137" t="e">
        <f>AND('UP133'!HQ99,"AAAAAC9+/Xc=")</f>
        <v>#VALUE!</v>
      </c>
      <c r="DQ137" t="e">
        <f>AND('UP133'!HR99,"AAAAAC9+/Xg=")</f>
        <v>#VALUE!</v>
      </c>
      <c r="DR137" t="e">
        <f>AND('UP133'!HS99,"AAAAAC9+/Xk=")</f>
        <v>#VALUE!</v>
      </c>
      <c r="DS137" t="e">
        <f>AND('UP133'!HT99,"AAAAAC9+/Xo=")</f>
        <v>#VALUE!</v>
      </c>
      <c r="DT137" t="e">
        <f>AND('UP133'!HU99,"AAAAAC9+/Xs=")</f>
        <v>#VALUE!</v>
      </c>
      <c r="DU137" t="e">
        <f>AND('UP133'!HV99,"AAAAAC9+/Xw=")</f>
        <v>#VALUE!</v>
      </c>
      <c r="DV137" t="e">
        <f>AND('UP133'!HW99,"AAAAAC9+/X0=")</f>
        <v>#VALUE!</v>
      </c>
      <c r="DW137" t="e">
        <f>AND('UP133'!HX99,"AAAAAC9+/X4=")</f>
        <v>#VALUE!</v>
      </c>
      <c r="DX137" t="e">
        <f>AND('UP133'!HY99,"AAAAAC9+/X8=")</f>
        <v>#VALUE!</v>
      </c>
      <c r="DY137" t="e">
        <f>AND('UP133'!HZ99,"AAAAAC9+/YA=")</f>
        <v>#VALUE!</v>
      </c>
      <c r="DZ137" t="e">
        <f>AND('UP133'!IA99,"AAAAAC9+/YE=")</f>
        <v>#VALUE!</v>
      </c>
      <c r="EA137" t="e">
        <f>AND('UP133'!IB99,"AAAAAC9+/YI=")</f>
        <v>#VALUE!</v>
      </c>
      <c r="EB137" t="e">
        <f>AND('UP133'!IC99,"AAAAAC9+/YM=")</f>
        <v>#VALUE!</v>
      </c>
      <c r="EC137" t="e">
        <f>AND('UP133'!ID99,"AAAAAC9+/YQ=")</f>
        <v>#VALUE!</v>
      </c>
      <c r="ED137" t="e">
        <f>AND('UP133'!IE99,"AAAAAC9+/YU=")</f>
        <v>#VALUE!</v>
      </c>
      <c r="EE137" t="e">
        <f>AND('UP133'!IF99,"AAAAAC9+/YY=")</f>
        <v>#VALUE!</v>
      </c>
      <c r="EF137" t="e">
        <f>AND('UP133'!IG99,"AAAAAC9+/Yc=")</f>
        <v>#VALUE!</v>
      </c>
      <c r="EG137" t="e">
        <f>AND('UP133'!IH99,"AAAAAC9+/Yg=")</f>
        <v>#VALUE!</v>
      </c>
      <c r="EH137" t="e">
        <f>AND('UP133'!II99,"AAAAAC9+/Yk=")</f>
        <v>#VALUE!</v>
      </c>
      <c r="EI137" t="e">
        <f>AND('UP133'!IJ99,"AAAAAC9+/Yo=")</f>
        <v>#VALUE!</v>
      </c>
      <c r="EJ137" t="e">
        <f>AND('UP133'!IK99,"AAAAAC9+/Ys=")</f>
        <v>#VALUE!</v>
      </c>
      <c r="EK137" t="e">
        <f>AND('UP133'!IL99,"AAAAAC9+/Yw=")</f>
        <v>#VALUE!</v>
      </c>
      <c r="EL137" t="e">
        <f>AND('UP133'!IM99,"AAAAAC9+/Y0=")</f>
        <v>#VALUE!</v>
      </c>
      <c r="EM137" t="e">
        <f>AND('UP133'!IN99,"AAAAAC9+/Y4=")</f>
        <v>#VALUE!</v>
      </c>
      <c r="EN137" t="e">
        <f>AND('UP133'!IO99,"AAAAAC9+/Y8=")</f>
        <v>#VALUE!</v>
      </c>
      <c r="EO137" t="e">
        <f>AND('UP133'!IP99,"AAAAAC9+/ZA=")</f>
        <v>#VALUE!</v>
      </c>
      <c r="EP137" t="e">
        <f>AND('UP133'!IQ99,"AAAAAC9+/ZE=")</f>
        <v>#VALUE!</v>
      </c>
      <c r="EQ137">
        <f>IF('UP133'!100:100,"AAAAAC9+/ZI=",0)</f>
        <v>0</v>
      </c>
      <c r="ER137" t="e">
        <f>AND('UP133'!A100,"AAAAAC9+/ZM=")</f>
        <v>#VALUE!</v>
      </c>
      <c r="ES137" t="e">
        <f>AND('UP133'!B100,"AAAAAC9+/ZQ=")</f>
        <v>#VALUE!</v>
      </c>
      <c r="ET137" t="e">
        <f>AND('UP133'!C100,"AAAAAC9+/ZU=")</f>
        <v>#VALUE!</v>
      </c>
      <c r="EU137" t="e">
        <f>AND('UP133'!D100,"AAAAAC9+/ZY=")</f>
        <v>#VALUE!</v>
      </c>
      <c r="EV137" t="e">
        <f>AND('UP133'!E100,"AAAAAC9+/Zc=")</f>
        <v>#VALUE!</v>
      </c>
      <c r="EW137" t="e">
        <f>AND('UP133'!F100,"AAAAAC9+/Zg=")</f>
        <v>#VALUE!</v>
      </c>
      <c r="EX137" t="e">
        <f>AND('UP133'!G100,"AAAAAC9+/Zk=")</f>
        <v>#VALUE!</v>
      </c>
      <c r="EY137" t="e">
        <f>AND('UP133'!H100,"AAAAAC9+/Zo=")</f>
        <v>#VALUE!</v>
      </c>
      <c r="EZ137" t="e">
        <f>AND('UP133'!I100,"AAAAAC9+/Zs=")</f>
        <v>#VALUE!</v>
      </c>
      <c r="FA137" t="e">
        <f>AND('UP133'!J100,"AAAAAC9+/Zw=")</f>
        <v>#VALUE!</v>
      </c>
      <c r="FB137" t="e">
        <f>AND('UP133'!K100,"AAAAAC9+/Z0=")</f>
        <v>#VALUE!</v>
      </c>
      <c r="FC137" t="e">
        <f>AND('UP133'!L100,"AAAAAC9+/Z4=")</f>
        <v>#VALUE!</v>
      </c>
      <c r="FD137" t="e">
        <f>AND('UP133'!M100,"AAAAAC9+/Z8=")</f>
        <v>#VALUE!</v>
      </c>
      <c r="FE137" t="e">
        <f>AND('UP133'!N100,"AAAAAC9+/aA=")</f>
        <v>#VALUE!</v>
      </c>
      <c r="FF137" t="e">
        <f>AND('UP133'!O100,"AAAAAC9+/aE=")</f>
        <v>#VALUE!</v>
      </c>
      <c r="FG137" t="e">
        <f>AND('UP133'!P100,"AAAAAC9+/aI=")</f>
        <v>#VALUE!</v>
      </c>
      <c r="FH137" t="e">
        <f>AND('UP133'!Q100,"AAAAAC9+/aM=")</f>
        <v>#VALUE!</v>
      </c>
      <c r="FI137" t="e">
        <f>AND('UP133'!R100,"AAAAAC9+/aQ=")</f>
        <v>#VALUE!</v>
      </c>
      <c r="FJ137" t="e">
        <f>AND('UP133'!S100,"AAAAAC9+/aU=")</f>
        <v>#VALUE!</v>
      </c>
      <c r="FK137" t="e">
        <f>AND('UP133'!T100,"AAAAAC9+/aY=")</f>
        <v>#VALUE!</v>
      </c>
      <c r="FL137" t="e">
        <f>AND('UP133'!U100,"AAAAAC9+/ac=")</f>
        <v>#VALUE!</v>
      </c>
      <c r="FM137" t="e">
        <f>AND('UP133'!V100,"AAAAAC9+/ag=")</f>
        <v>#VALUE!</v>
      </c>
      <c r="FN137" t="e">
        <f>AND('UP133'!W100,"AAAAAC9+/ak=")</f>
        <v>#VALUE!</v>
      </c>
      <c r="FO137" t="e">
        <f>AND('UP133'!X100,"AAAAAC9+/ao=")</f>
        <v>#VALUE!</v>
      </c>
      <c r="FP137" t="e">
        <f>AND('UP133'!Y100,"AAAAAC9+/as=")</f>
        <v>#VALUE!</v>
      </c>
      <c r="FQ137" t="e">
        <f>AND('UP133'!Z100,"AAAAAC9+/aw=")</f>
        <v>#VALUE!</v>
      </c>
      <c r="FR137" t="e">
        <f>AND('UP133'!AA100,"AAAAAC9+/a0=")</f>
        <v>#VALUE!</v>
      </c>
      <c r="FS137" t="e">
        <f>AND('UP133'!AB100,"AAAAAC9+/a4=")</f>
        <v>#VALUE!</v>
      </c>
      <c r="FT137" t="e">
        <f>AND('UP133'!AC100,"AAAAAC9+/a8=")</f>
        <v>#VALUE!</v>
      </c>
      <c r="FU137" t="e">
        <f>AND('UP133'!AD100,"AAAAAC9+/bA=")</f>
        <v>#VALUE!</v>
      </c>
      <c r="FV137" t="e">
        <f>AND('UP133'!AE100,"AAAAAC9+/bE=")</f>
        <v>#VALUE!</v>
      </c>
      <c r="FW137" t="e">
        <f>AND('UP133'!AF100,"AAAAAC9+/bI=")</f>
        <v>#VALUE!</v>
      </c>
      <c r="FX137" t="e">
        <f>AND('UP133'!AG100,"AAAAAC9+/bM=")</f>
        <v>#VALUE!</v>
      </c>
      <c r="FY137" t="e">
        <f>AND('UP133'!AH100,"AAAAAC9+/bQ=")</f>
        <v>#VALUE!</v>
      </c>
      <c r="FZ137" t="e">
        <f>AND('UP133'!AI100,"AAAAAC9+/bU=")</f>
        <v>#VALUE!</v>
      </c>
      <c r="GA137" t="e">
        <f>AND('UP133'!AJ100,"AAAAAC9+/bY=")</f>
        <v>#VALUE!</v>
      </c>
      <c r="GB137" t="e">
        <f>AND('UP133'!AK100,"AAAAAC9+/bc=")</f>
        <v>#VALUE!</v>
      </c>
      <c r="GC137" t="e">
        <f>AND('UP133'!AL100,"AAAAAC9+/bg=")</f>
        <v>#VALUE!</v>
      </c>
      <c r="GD137" t="e">
        <f>AND('UP133'!AM100,"AAAAAC9+/bk=")</f>
        <v>#VALUE!</v>
      </c>
      <c r="GE137" t="e">
        <f>AND('UP133'!AN100,"AAAAAC9+/bo=")</f>
        <v>#VALUE!</v>
      </c>
      <c r="GF137" t="e">
        <f>AND('UP133'!AO100,"AAAAAC9+/bs=")</f>
        <v>#VALUE!</v>
      </c>
      <c r="GG137" t="e">
        <f>AND('UP133'!AP100,"AAAAAC9+/bw=")</f>
        <v>#VALUE!</v>
      </c>
      <c r="GH137" t="e">
        <f>AND('UP133'!AQ100,"AAAAAC9+/b0=")</f>
        <v>#VALUE!</v>
      </c>
      <c r="GI137" t="e">
        <f>AND('UP133'!AR100,"AAAAAC9+/b4=")</f>
        <v>#VALUE!</v>
      </c>
      <c r="GJ137" t="e">
        <f>AND('UP133'!AS100,"AAAAAC9+/b8=")</f>
        <v>#VALUE!</v>
      </c>
      <c r="GK137" t="e">
        <f>AND('UP133'!AT100,"AAAAAC9+/cA=")</f>
        <v>#VALUE!</v>
      </c>
      <c r="GL137" t="e">
        <f>AND('UP133'!AU100,"AAAAAC9+/cE=")</f>
        <v>#VALUE!</v>
      </c>
      <c r="GM137" t="e">
        <f>AND('UP133'!AV100,"AAAAAC9+/cI=")</f>
        <v>#VALUE!</v>
      </c>
      <c r="GN137" t="e">
        <f>AND('UP133'!AW100,"AAAAAC9+/cM=")</f>
        <v>#VALUE!</v>
      </c>
      <c r="GO137" t="e">
        <f>AND('UP133'!AX100,"AAAAAC9+/cQ=")</f>
        <v>#VALUE!</v>
      </c>
      <c r="GP137" t="e">
        <f>AND('UP133'!AY100,"AAAAAC9+/cU=")</f>
        <v>#VALUE!</v>
      </c>
      <c r="GQ137" t="e">
        <f>AND('UP133'!AZ100,"AAAAAC9+/cY=")</f>
        <v>#VALUE!</v>
      </c>
      <c r="GR137" t="e">
        <f>AND('UP133'!BA100,"AAAAAC9+/cc=")</f>
        <v>#VALUE!</v>
      </c>
      <c r="GS137" t="e">
        <f>AND('UP133'!BB100,"AAAAAC9+/cg=")</f>
        <v>#VALUE!</v>
      </c>
      <c r="GT137" t="e">
        <f>AND('UP133'!BC100,"AAAAAC9+/ck=")</f>
        <v>#VALUE!</v>
      </c>
      <c r="GU137" t="e">
        <f>AND('UP133'!BD100,"AAAAAC9+/co=")</f>
        <v>#VALUE!</v>
      </c>
      <c r="GV137" t="e">
        <f>AND('UP133'!BE100,"AAAAAC9+/cs=")</f>
        <v>#VALUE!</v>
      </c>
      <c r="GW137" t="e">
        <f>AND('UP133'!BF100,"AAAAAC9+/cw=")</f>
        <v>#VALUE!</v>
      </c>
      <c r="GX137" t="e">
        <f>AND('UP133'!BG100,"AAAAAC9+/c0=")</f>
        <v>#VALUE!</v>
      </c>
      <c r="GY137" t="e">
        <f>AND('UP133'!BH100,"AAAAAC9+/c4=")</f>
        <v>#VALUE!</v>
      </c>
      <c r="GZ137" t="e">
        <f>AND('UP133'!BI100,"AAAAAC9+/c8=")</f>
        <v>#VALUE!</v>
      </c>
      <c r="HA137" t="e">
        <f>AND('UP133'!BJ100,"AAAAAC9+/dA=")</f>
        <v>#VALUE!</v>
      </c>
      <c r="HB137" t="e">
        <f>AND('UP133'!BK100,"AAAAAC9+/dE=")</f>
        <v>#VALUE!</v>
      </c>
      <c r="HC137" t="e">
        <f>AND('UP133'!BL100,"AAAAAC9+/dI=")</f>
        <v>#VALUE!</v>
      </c>
      <c r="HD137" t="e">
        <f>AND('UP133'!BM100,"AAAAAC9+/dM=")</f>
        <v>#VALUE!</v>
      </c>
      <c r="HE137" t="e">
        <f>AND('UP133'!BN100,"AAAAAC9+/dQ=")</f>
        <v>#VALUE!</v>
      </c>
      <c r="HF137" t="e">
        <f>AND('UP133'!BO100,"AAAAAC9+/dU=")</f>
        <v>#VALUE!</v>
      </c>
      <c r="HG137" t="e">
        <f>AND('UP133'!BP100,"AAAAAC9+/dY=")</f>
        <v>#VALUE!</v>
      </c>
      <c r="HH137" t="e">
        <f>AND('UP133'!BQ100,"AAAAAC9+/dc=")</f>
        <v>#VALUE!</v>
      </c>
      <c r="HI137" t="e">
        <f>AND('UP133'!BR100,"AAAAAC9+/dg=")</f>
        <v>#VALUE!</v>
      </c>
      <c r="HJ137" t="e">
        <f>AND('UP133'!BS100,"AAAAAC9+/dk=")</f>
        <v>#VALUE!</v>
      </c>
      <c r="HK137" t="e">
        <f>AND('UP133'!BT100,"AAAAAC9+/do=")</f>
        <v>#VALUE!</v>
      </c>
      <c r="HL137" t="e">
        <f>AND('UP133'!BU100,"AAAAAC9+/ds=")</f>
        <v>#VALUE!</v>
      </c>
      <c r="HM137" t="e">
        <f>AND('UP133'!BV100,"AAAAAC9+/dw=")</f>
        <v>#VALUE!</v>
      </c>
      <c r="HN137" t="e">
        <f>AND('UP133'!BW100,"AAAAAC9+/d0=")</f>
        <v>#VALUE!</v>
      </c>
      <c r="HO137" t="e">
        <f>AND('UP133'!BX100,"AAAAAC9+/d4=")</f>
        <v>#VALUE!</v>
      </c>
      <c r="HP137" t="e">
        <f>AND('UP133'!BY100,"AAAAAC9+/d8=")</f>
        <v>#VALUE!</v>
      </c>
      <c r="HQ137" t="e">
        <f>AND('UP133'!BZ100,"AAAAAC9+/eA=")</f>
        <v>#VALUE!</v>
      </c>
      <c r="HR137" t="e">
        <f>AND('UP133'!CA100,"AAAAAC9+/eE=")</f>
        <v>#VALUE!</v>
      </c>
      <c r="HS137" t="e">
        <f>AND('UP133'!CB100,"AAAAAC9+/eI=")</f>
        <v>#VALUE!</v>
      </c>
      <c r="HT137" t="e">
        <f>AND('UP133'!CC100,"AAAAAC9+/eM=")</f>
        <v>#VALUE!</v>
      </c>
      <c r="HU137" t="e">
        <f>AND('UP133'!CD100,"AAAAAC9+/eQ=")</f>
        <v>#VALUE!</v>
      </c>
      <c r="HV137" t="e">
        <f>AND('UP133'!CE100,"AAAAAC9+/eU=")</f>
        <v>#VALUE!</v>
      </c>
      <c r="HW137" t="e">
        <f>AND('UP133'!CF100,"AAAAAC9+/eY=")</f>
        <v>#VALUE!</v>
      </c>
      <c r="HX137" t="e">
        <f>AND('UP133'!CG100,"AAAAAC9+/ec=")</f>
        <v>#VALUE!</v>
      </c>
      <c r="HY137" t="e">
        <f>AND('UP133'!CH100,"AAAAAC9+/eg=")</f>
        <v>#VALUE!</v>
      </c>
      <c r="HZ137" t="e">
        <f>AND('UP133'!CI100,"AAAAAC9+/ek=")</f>
        <v>#VALUE!</v>
      </c>
      <c r="IA137" t="e">
        <f>AND('UP133'!CJ100,"AAAAAC9+/eo=")</f>
        <v>#VALUE!</v>
      </c>
      <c r="IB137" t="e">
        <f>AND('UP133'!CK100,"AAAAAC9+/es=")</f>
        <v>#VALUE!</v>
      </c>
      <c r="IC137" t="e">
        <f>AND('UP133'!CL100,"AAAAAC9+/ew=")</f>
        <v>#VALUE!</v>
      </c>
      <c r="ID137" t="e">
        <f>AND('UP133'!CM100,"AAAAAC9+/e0=")</f>
        <v>#VALUE!</v>
      </c>
      <c r="IE137" t="e">
        <f>AND('UP133'!CN100,"AAAAAC9+/e4=")</f>
        <v>#VALUE!</v>
      </c>
      <c r="IF137" t="e">
        <f>AND('UP133'!CO100,"AAAAAC9+/e8=")</f>
        <v>#VALUE!</v>
      </c>
      <c r="IG137" t="e">
        <f>AND('UP133'!CP100,"AAAAAC9+/fA=")</f>
        <v>#VALUE!</v>
      </c>
      <c r="IH137" t="e">
        <f>AND('UP133'!CQ100,"AAAAAC9+/fE=")</f>
        <v>#VALUE!</v>
      </c>
      <c r="II137" t="e">
        <f>AND('UP133'!CR100,"AAAAAC9+/fI=")</f>
        <v>#VALUE!</v>
      </c>
      <c r="IJ137" t="e">
        <f>AND('UP133'!CS100,"AAAAAC9+/fM=")</f>
        <v>#VALUE!</v>
      </c>
      <c r="IK137" t="e">
        <f>AND('UP133'!CT100,"AAAAAC9+/fQ=")</f>
        <v>#VALUE!</v>
      </c>
      <c r="IL137" t="e">
        <f>AND('UP133'!CU100,"AAAAAC9+/fU=")</f>
        <v>#VALUE!</v>
      </c>
      <c r="IM137" t="e">
        <f>AND('UP133'!CV100,"AAAAAC9+/fY=")</f>
        <v>#VALUE!</v>
      </c>
      <c r="IN137" t="e">
        <f>AND('UP133'!CW100,"AAAAAC9+/fc=")</f>
        <v>#VALUE!</v>
      </c>
      <c r="IO137" t="e">
        <f>AND('UP133'!CX100,"AAAAAC9+/fg=")</f>
        <v>#VALUE!</v>
      </c>
      <c r="IP137" t="e">
        <f>AND('UP133'!CY100,"AAAAAC9+/fk=")</f>
        <v>#VALUE!</v>
      </c>
      <c r="IQ137" t="e">
        <f>AND('UP133'!CZ100,"AAAAAC9+/fo=")</f>
        <v>#VALUE!</v>
      </c>
      <c r="IR137" t="e">
        <f>AND('UP133'!DA100,"AAAAAC9+/fs=")</f>
        <v>#VALUE!</v>
      </c>
      <c r="IS137" t="e">
        <f>AND('UP133'!DB100,"AAAAAC9+/fw=")</f>
        <v>#VALUE!</v>
      </c>
      <c r="IT137" t="e">
        <f>AND('UP133'!DC100,"AAAAAC9+/f0=")</f>
        <v>#VALUE!</v>
      </c>
      <c r="IU137" t="e">
        <f>AND('UP133'!DD100,"AAAAAC9+/f4=")</f>
        <v>#VALUE!</v>
      </c>
      <c r="IV137" t="e">
        <f>AND('UP133'!DE100,"AAAAAC9+/f8=")</f>
        <v>#VALUE!</v>
      </c>
    </row>
    <row r="138" spans="1:256">
      <c r="A138" t="e">
        <f>AND('UP133'!DF100,"AAAAAH//3QA=")</f>
        <v>#VALUE!</v>
      </c>
      <c r="B138" t="e">
        <f>AND('UP133'!DG100,"AAAAAH//3QE=")</f>
        <v>#VALUE!</v>
      </c>
      <c r="C138" t="e">
        <f>AND('UP133'!DH100,"AAAAAH//3QI=")</f>
        <v>#VALUE!</v>
      </c>
      <c r="D138" t="e">
        <f>AND('UP133'!DI100,"AAAAAH//3QM=")</f>
        <v>#VALUE!</v>
      </c>
      <c r="E138" t="e">
        <f>AND('UP133'!DJ100,"AAAAAH//3QQ=")</f>
        <v>#VALUE!</v>
      </c>
      <c r="F138" t="e">
        <f>AND('UP133'!DK100,"AAAAAH//3QU=")</f>
        <v>#VALUE!</v>
      </c>
      <c r="G138" t="e">
        <f>AND('UP133'!DL100,"AAAAAH//3QY=")</f>
        <v>#VALUE!</v>
      </c>
      <c r="H138" t="e">
        <f>AND('UP133'!DM100,"AAAAAH//3Qc=")</f>
        <v>#VALUE!</v>
      </c>
      <c r="I138" t="e">
        <f>AND('UP133'!DN100,"AAAAAH//3Qg=")</f>
        <v>#VALUE!</v>
      </c>
      <c r="J138" t="e">
        <f>AND('UP133'!DO100,"AAAAAH//3Qk=")</f>
        <v>#VALUE!</v>
      </c>
      <c r="K138" t="e">
        <f>AND('UP133'!DP100,"AAAAAH//3Qo=")</f>
        <v>#VALUE!</v>
      </c>
      <c r="L138" t="e">
        <f>AND('UP133'!DQ100,"AAAAAH//3Qs=")</f>
        <v>#VALUE!</v>
      </c>
      <c r="M138" t="e">
        <f>AND('UP133'!DR100,"AAAAAH//3Qw=")</f>
        <v>#VALUE!</v>
      </c>
      <c r="N138" t="e">
        <f>AND('UP133'!DS100,"AAAAAH//3Q0=")</f>
        <v>#VALUE!</v>
      </c>
      <c r="O138" t="e">
        <f>AND('UP133'!DT100,"AAAAAH//3Q4=")</f>
        <v>#VALUE!</v>
      </c>
      <c r="P138" t="e">
        <f>AND('UP133'!DU100,"AAAAAH//3Q8=")</f>
        <v>#VALUE!</v>
      </c>
      <c r="Q138" t="e">
        <f>AND('UP133'!DV100,"AAAAAH//3RA=")</f>
        <v>#VALUE!</v>
      </c>
      <c r="R138" t="e">
        <f>AND('UP133'!DW100,"AAAAAH//3RE=")</f>
        <v>#VALUE!</v>
      </c>
      <c r="S138" t="e">
        <f>AND('UP133'!DX100,"AAAAAH//3RI=")</f>
        <v>#VALUE!</v>
      </c>
      <c r="T138" t="e">
        <f>AND('UP133'!DY100,"AAAAAH//3RM=")</f>
        <v>#VALUE!</v>
      </c>
      <c r="U138" t="e">
        <f>AND('UP133'!DZ100,"AAAAAH//3RQ=")</f>
        <v>#VALUE!</v>
      </c>
      <c r="V138" t="e">
        <f>AND('UP133'!EA100,"AAAAAH//3RU=")</f>
        <v>#VALUE!</v>
      </c>
      <c r="W138" t="e">
        <f>AND('UP133'!EB100,"AAAAAH//3RY=")</f>
        <v>#VALUE!</v>
      </c>
      <c r="X138" t="e">
        <f>AND('UP133'!EC100,"AAAAAH//3Rc=")</f>
        <v>#VALUE!</v>
      </c>
      <c r="Y138" t="e">
        <f>AND('UP133'!ED100,"AAAAAH//3Rg=")</f>
        <v>#VALUE!</v>
      </c>
      <c r="Z138" t="e">
        <f>AND('UP133'!EE100,"AAAAAH//3Rk=")</f>
        <v>#VALUE!</v>
      </c>
      <c r="AA138" t="e">
        <f>AND('UP133'!EF100,"AAAAAH//3Ro=")</f>
        <v>#VALUE!</v>
      </c>
      <c r="AB138" t="e">
        <f>AND('UP133'!EG100,"AAAAAH//3Rs=")</f>
        <v>#VALUE!</v>
      </c>
      <c r="AC138" t="e">
        <f>AND('UP133'!EH100,"AAAAAH//3Rw=")</f>
        <v>#VALUE!</v>
      </c>
      <c r="AD138" t="e">
        <f>AND('UP133'!EI100,"AAAAAH//3R0=")</f>
        <v>#VALUE!</v>
      </c>
      <c r="AE138" t="e">
        <f>AND('UP133'!EJ100,"AAAAAH//3R4=")</f>
        <v>#VALUE!</v>
      </c>
      <c r="AF138" t="e">
        <f>AND('UP133'!EK100,"AAAAAH//3R8=")</f>
        <v>#VALUE!</v>
      </c>
      <c r="AG138" t="e">
        <f>AND('UP133'!EL100,"AAAAAH//3SA=")</f>
        <v>#VALUE!</v>
      </c>
      <c r="AH138" t="e">
        <f>AND('UP133'!EM100,"AAAAAH//3SE=")</f>
        <v>#VALUE!</v>
      </c>
      <c r="AI138" t="e">
        <f>AND('UP133'!EN100,"AAAAAH//3SI=")</f>
        <v>#VALUE!</v>
      </c>
      <c r="AJ138" t="e">
        <f>AND('UP133'!EO100,"AAAAAH//3SM=")</f>
        <v>#VALUE!</v>
      </c>
      <c r="AK138" t="e">
        <f>AND('UP133'!EP100,"AAAAAH//3SQ=")</f>
        <v>#VALUE!</v>
      </c>
      <c r="AL138" t="e">
        <f>AND('UP133'!EQ100,"AAAAAH//3SU=")</f>
        <v>#VALUE!</v>
      </c>
      <c r="AM138" t="e">
        <f>AND('UP133'!ER100,"AAAAAH//3SY=")</f>
        <v>#VALUE!</v>
      </c>
      <c r="AN138" t="e">
        <f>AND('UP133'!ES100,"AAAAAH//3Sc=")</f>
        <v>#VALUE!</v>
      </c>
      <c r="AO138" t="e">
        <f>AND('UP133'!ET100,"AAAAAH//3Sg=")</f>
        <v>#VALUE!</v>
      </c>
      <c r="AP138" t="e">
        <f>AND('UP133'!EU100,"AAAAAH//3Sk=")</f>
        <v>#VALUE!</v>
      </c>
      <c r="AQ138" t="e">
        <f>AND('UP133'!EV100,"AAAAAH//3So=")</f>
        <v>#VALUE!</v>
      </c>
      <c r="AR138" t="e">
        <f>AND('UP133'!EW100,"AAAAAH//3Ss=")</f>
        <v>#VALUE!</v>
      </c>
      <c r="AS138" t="e">
        <f>AND('UP133'!EX100,"AAAAAH//3Sw=")</f>
        <v>#VALUE!</v>
      </c>
      <c r="AT138" t="e">
        <f>AND('UP133'!EY100,"AAAAAH//3S0=")</f>
        <v>#VALUE!</v>
      </c>
      <c r="AU138" t="e">
        <f>AND('UP133'!EZ100,"AAAAAH//3S4=")</f>
        <v>#VALUE!</v>
      </c>
      <c r="AV138" t="e">
        <f>AND('UP133'!FA100,"AAAAAH//3S8=")</f>
        <v>#VALUE!</v>
      </c>
      <c r="AW138" t="e">
        <f>AND('UP133'!FB100,"AAAAAH//3TA=")</f>
        <v>#VALUE!</v>
      </c>
      <c r="AX138" t="e">
        <f>AND('UP133'!FC100,"AAAAAH//3TE=")</f>
        <v>#VALUE!</v>
      </c>
      <c r="AY138" t="e">
        <f>AND('UP133'!FD100,"AAAAAH//3TI=")</f>
        <v>#VALUE!</v>
      </c>
      <c r="AZ138" t="e">
        <f>AND('UP133'!FE100,"AAAAAH//3TM=")</f>
        <v>#VALUE!</v>
      </c>
      <c r="BA138" t="e">
        <f>AND('UP133'!FF100,"AAAAAH//3TQ=")</f>
        <v>#VALUE!</v>
      </c>
      <c r="BB138" t="e">
        <f>AND('UP133'!FG100,"AAAAAH//3TU=")</f>
        <v>#VALUE!</v>
      </c>
      <c r="BC138" t="e">
        <f>AND('UP133'!FH100,"AAAAAH//3TY=")</f>
        <v>#VALUE!</v>
      </c>
      <c r="BD138" t="e">
        <f>AND('UP133'!FI100,"AAAAAH//3Tc=")</f>
        <v>#VALUE!</v>
      </c>
      <c r="BE138" t="e">
        <f>AND('UP133'!FJ100,"AAAAAH//3Tg=")</f>
        <v>#VALUE!</v>
      </c>
      <c r="BF138" t="e">
        <f>AND('UP133'!FK100,"AAAAAH//3Tk=")</f>
        <v>#VALUE!</v>
      </c>
      <c r="BG138" t="e">
        <f>AND('UP133'!FL100,"AAAAAH//3To=")</f>
        <v>#VALUE!</v>
      </c>
      <c r="BH138" t="e">
        <f>AND('UP133'!FM100,"AAAAAH//3Ts=")</f>
        <v>#VALUE!</v>
      </c>
      <c r="BI138" t="e">
        <f>AND('UP133'!FN100,"AAAAAH//3Tw=")</f>
        <v>#VALUE!</v>
      </c>
      <c r="BJ138" t="e">
        <f>AND('UP133'!FO100,"AAAAAH//3T0=")</f>
        <v>#VALUE!</v>
      </c>
      <c r="BK138" t="e">
        <f>AND('UP133'!FP100,"AAAAAH//3T4=")</f>
        <v>#VALUE!</v>
      </c>
      <c r="BL138" t="e">
        <f>AND('UP133'!FQ100,"AAAAAH//3T8=")</f>
        <v>#VALUE!</v>
      </c>
      <c r="BM138" t="e">
        <f>AND('UP133'!FR100,"AAAAAH//3UA=")</f>
        <v>#VALUE!</v>
      </c>
      <c r="BN138" t="e">
        <f>AND('UP133'!FS100,"AAAAAH//3UE=")</f>
        <v>#VALUE!</v>
      </c>
      <c r="BO138" t="e">
        <f>AND('UP133'!FT100,"AAAAAH//3UI=")</f>
        <v>#VALUE!</v>
      </c>
      <c r="BP138" t="e">
        <f>AND('UP133'!FU100,"AAAAAH//3UM=")</f>
        <v>#VALUE!</v>
      </c>
      <c r="BQ138" t="e">
        <f>AND('UP133'!FV100,"AAAAAH//3UQ=")</f>
        <v>#VALUE!</v>
      </c>
      <c r="BR138" t="e">
        <f>AND('UP133'!FW100,"AAAAAH//3UU=")</f>
        <v>#VALUE!</v>
      </c>
      <c r="BS138" t="e">
        <f>AND('UP133'!FX100,"AAAAAH//3UY=")</f>
        <v>#VALUE!</v>
      </c>
      <c r="BT138" t="e">
        <f>AND('UP133'!FY100,"AAAAAH//3Uc=")</f>
        <v>#VALUE!</v>
      </c>
      <c r="BU138" t="e">
        <f>AND('UP133'!FZ100,"AAAAAH//3Ug=")</f>
        <v>#VALUE!</v>
      </c>
      <c r="BV138" t="e">
        <f>AND('UP133'!GA100,"AAAAAH//3Uk=")</f>
        <v>#VALUE!</v>
      </c>
      <c r="BW138" t="e">
        <f>AND('UP133'!GB100,"AAAAAH//3Uo=")</f>
        <v>#VALUE!</v>
      </c>
      <c r="BX138" t="e">
        <f>AND('UP133'!GC100,"AAAAAH//3Us=")</f>
        <v>#VALUE!</v>
      </c>
      <c r="BY138" t="e">
        <f>AND('UP133'!GD100,"AAAAAH//3Uw=")</f>
        <v>#VALUE!</v>
      </c>
      <c r="BZ138" t="e">
        <f>AND('UP133'!GE100,"AAAAAH//3U0=")</f>
        <v>#VALUE!</v>
      </c>
      <c r="CA138" t="e">
        <f>AND('UP133'!GF100,"AAAAAH//3U4=")</f>
        <v>#VALUE!</v>
      </c>
      <c r="CB138" t="e">
        <f>AND('UP133'!GG100,"AAAAAH//3U8=")</f>
        <v>#VALUE!</v>
      </c>
      <c r="CC138" t="e">
        <f>AND('UP133'!GH100,"AAAAAH//3VA=")</f>
        <v>#VALUE!</v>
      </c>
      <c r="CD138" t="e">
        <f>AND('UP133'!GI100,"AAAAAH//3VE=")</f>
        <v>#VALUE!</v>
      </c>
      <c r="CE138" t="e">
        <f>AND('UP133'!GJ100,"AAAAAH//3VI=")</f>
        <v>#VALUE!</v>
      </c>
      <c r="CF138" t="e">
        <f>AND('UP133'!GK100,"AAAAAH//3VM=")</f>
        <v>#VALUE!</v>
      </c>
      <c r="CG138" t="e">
        <f>AND('UP133'!GL100,"AAAAAH//3VQ=")</f>
        <v>#VALUE!</v>
      </c>
      <c r="CH138" t="e">
        <f>AND('UP133'!GM100,"AAAAAH//3VU=")</f>
        <v>#VALUE!</v>
      </c>
      <c r="CI138" t="e">
        <f>AND('UP133'!GN100,"AAAAAH//3VY=")</f>
        <v>#VALUE!</v>
      </c>
      <c r="CJ138" t="e">
        <f>AND('UP133'!GO100,"AAAAAH//3Vc=")</f>
        <v>#VALUE!</v>
      </c>
      <c r="CK138" t="e">
        <f>AND('UP133'!GP100,"AAAAAH//3Vg=")</f>
        <v>#VALUE!</v>
      </c>
      <c r="CL138" t="e">
        <f>AND('UP133'!GQ100,"AAAAAH//3Vk=")</f>
        <v>#VALUE!</v>
      </c>
      <c r="CM138" t="e">
        <f>AND('UP133'!GR100,"AAAAAH//3Vo=")</f>
        <v>#VALUE!</v>
      </c>
      <c r="CN138" t="e">
        <f>AND('UP133'!GS100,"AAAAAH//3Vs=")</f>
        <v>#VALUE!</v>
      </c>
      <c r="CO138" t="e">
        <f>AND('UP133'!GT100,"AAAAAH//3Vw=")</f>
        <v>#VALUE!</v>
      </c>
      <c r="CP138" t="e">
        <f>AND('UP133'!GU100,"AAAAAH//3V0=")</f>
        <v>#VALUE!</v>
      </c>
      <c r="CQ138" t="e">
        <f>AND('UP133'!GV100,"AAAAAH//3V4=")</f>
        <v>#VALUE!</v>
      </c>
      <c r="CR138" t="e">
        <f>AND('UP133'!GW100,"AAAAAH//3V8=")</f>
        <v>#VALUE!</v>
      </c>
      <c r="CS138" t="e">
        <f>AND('UP133'!GX100,"AAAAAH//3WA=")</f>
        <v>#VALUE!</v>
      </c>
      <c r="CT138" t="e">
        <f>AND('UP133'!GY100,"AAAAAH//3WE=")</f>
        <v>#VALUE!</v>
      </c>
      <c r="CU138" t="e">
        <f>AND('UP133'!GZ100,"AAAAAH//3WI=")</f>
        <v>#VALUE!</v>
      </c>
      <c r="CV138" t="e">
        <f>AND('UP133'!HA100,"AAAAAH//3WM=")</f>
        <v>#VALUE!</v>
      </c>
      <c r="CW138" t="e">
        <f>AND('UP133'!HB100,"AAAAAH//3WQ=")</f>
        <v>#VALUE!</v>
      </c>
      <c r="CX138" t="e">
        <f>AND('UP133'!HC100,"AAAAAH//3WU=")</f>
        <v>#VALUE!</v>
      </c>
      <c r="CY138" t="e">
        <f>AND('UP133'!HD100,"AAAAAH//3WY=")</f>
        <v>#VALUE!</v>
      </c>
      <c r="CZ138" t="e">
        <f>AND('UP133'!HE100,"AAAAAH//3Wc=")</f>
        <v>#VALUE!</v>
      </c>
      <c r="DA138" t="e">
        <f>AND('UP133'!HF100,"AAAAAH//3Wg=")</f>
        <v>#VALUE!</v>
      </c>
      <c r="DB138" t="e">
        <f>AND('UP133'!HG100,"AAAAAH//3Wk=")</f>
        <v>#VALUE!</v>
      </c>
      <c r="DC138" t="e">
        <f>AND('UP133'!HH100,"AAAAAH//3Wo=")</f>
        <v>#VALUE!</v>
      </c>
      <c r="DD138" t="e">
        <f>AND('UP133'!HI100,"AAAAAH//3Ws=")</f>
        <v>#VALUE!</v>
      </c>
      <c r="DE138" t="e">
        <f>AND('UP133'!HJ100,"AAAAAH//3Ww=")</f>
        <v>#VALUE!</v>
      </c>
      <c r="DF138" t="e">
        <f>AND('UP133'!HK100,"AAAAAH//3W0=")</f>
        <v>#VALUE!</v>
      </c>
      <c r="DG138" t="e">
        <f>AND('UP133'!HL100,"AAAAAH//3W4=")</f>
        <v>#VALUE!</v>
      </c>
      <c r="DH138" t="e">
        <f>AND('UP133'!HM100,"AAAAAH//3W8=")</f>
        <v>#VALUE!</v>
      </c>
      <c r="DI138" t="e">
        <f>AND('UP133'!HN100,"AAAAAH//3XA=")</f>
        <v>#VALUE!</v>
      </c>
      <c r="DJ138" t="e">
        <f>AND('UP133'!HO100,"AAAAAH//3XE=")</f>
        <v>#VALUE!</v>
      </c>
      <c r="DK138" t="e">
        <f>AND('UP133'!HP100,"AAAAAH//3XI=")</f>
        <v>#VALUE!</v>
      </c>
      <c r="DL138" t="e">
        <f>AND('UP133'!HQ100,"AAAAAH//3XM=")</f>
        <v>#VALUE!</v>
      </c>
      <c r="DM138" t="e">
        <f>AND('UP133'!HR100,"AAAAAH//3XQ=")</f>
        <v>#VALUE!</v>
      </c>
      <c r="DN138" t="e">
        <f>AND('UP133'!HS100,"AAAAAH//3XU=")</f>
        <v>#VALUE!</v>
      </c>
      <c r="DO138" t="e">
        <f>AND('UP133'!HT100,"AAAAAH//3XY=")</f>
        <v>#VALUE!</v>
      </c>
      <c r="DP138" t="e">
        <f>AND('UP133'!HU100,"AAAAAH//3Xc=")</f>
        <v>#VALUE!</v>
      </c>
      <c r="DQ138" t="e">
        <f>AND('UP133'!HV100,"AAAAAH//3Xg=")</f>
        <v>#VALUE!</v>
      </c>
      <c r="DR138" t="e">
        <f>AND('UP133'!HW100,"AAAAAH//3Xk=")</f>
        <v>#VALUE!</v>
      </c>
      <c r="DS138" t="e">
        <f>AND('UP133'!HX100,"AAAAAH//3Xo=")</f>
        <v>#VALUE!</v>
      </c>
      <c r="DT138" t="e">
        <f>AND('UP133'!HY100,"AAAAAH//3Xs=")</f>
        <v>#VALUE!</v>
      </c>
      <c r="DU138" t="e">
        <f>AND('UP133'!HZ100,"AAAAAH//3Xw=")</f>
        <v>#VALUE!</v>
      </c>
      <c r="DV138" t="e">
        <f>AND('UP133'!IA100,"AAAAAH//3X0=")</f>
        <v>#VALUE!</v>
      </c>
      <c r="DW138" t="e">
        <f>AND('UP133'!IB100,"AAAAAH//3X4=")</f>
        <v>#VALUE!</v>
      </c>
      <c r="DX138" t="e">
        <f>AND('UP133'!IC100,"AAAAAH//3X8=")</f>
        <v>#VALUE!</v>
      </c>
      <c r="DY138" t="e">
        <f>AND('UP133'!ID100,"AAAAAH//3YA=")</f>
        <v>#VALUE!</v>
      </c>
      <c r="DZ138" t="e">
        <f>AND('UP133'!IE100,"AAAAAH//3YE=")</f>
        <v>#VALUE!</v>
      </c>
      <c r="EA138" t="e">
        <f>AND('UP133'!IF100,"AAAAAH//3YI=")</f>
        <v>#VALUE!</v>
      </c>
      <c r="EB138" t="e">
        <f>AND('UP133'!IG100,"AAAAAH//3YM=")</f>
        <v>#VALUE!</v>
      </c>
      <c r="EC138" t="e">
        <f>AND('UP133'!IH100,"AAAAAH//3YQ=")</f>
        <v>#VALUE!</v>
      </c>
      <c r="ED138" t="e">
        <f>AND('UP133'!II100,"AAAAAH//3YU=")</f>
        <v>#VALUE!</v>
      </c>
      <c r="EE138" t="e">
        <f>AND('UP133'!IJ100,"AAAAAH//3YY=")</f>
        <v>#VALUE!</v>
      </c>
      <c r="EF138" t="e">
        <f>AND('UP133'!IK100,"AAAAAH//3Yc=")</f>
        <v>#VALUE!</v>
      </c>
      <c r="EG138" t="e">
        <f>AND('UP133'!IL100,"AAAAAH//3Yg=")</f>
        <v>#VALUE!</v>
      </c>
      <c r="EH138" t="e">
        <f>AND('UP133'!IM100,"AAAAAH//3Yk=")</f>
        <v>#VALUE!</v>
      </c>
      <c r="EI138" t="e">
        <f>AND('UP133'!IN100,"AAAAAH//3Yo=")</f>
        <v>#VALUE!</v>
      </c>
      <c r="EJ138" t="e">
        <f>AND('UP133'!IO100,"AAAAAH//3Ys=")</f>
        <v>#VALUE!</v>
      </c>
      <c r="EK138" t="e">
        <f>AND('UP133'!IP100,"AAAAAH//3Yw=")</f>
        <v>#VALUE!</v>
      </c>
      <c r="EL138" t="e">
        <f>AND('UP133'!IQ100,"AAAAAH//3Y0=")</f>
        <v>#VALUE!</v>
      </c>
      <c r="EM138">
        <f>IF('UP133'!101:101,"AAAAAH//3Y4=",0)</f>
        <v>0</v>
      </c>
      <c r="EN138" t="e">
        <f>AND('UP133'!A101,"AAAAAH//3Y8=")</f>
        <v>#VALUE!</v>
      </c>
      <c r="EO138" t="e">
        <f>AND('UP133'!B101,"AAAAAH//3ZA=")</f>
        <v>#VALUE!</v>
      </c>
      <c r="EP138" t="e">
        <f>AND('UP133'!C101,"AAAAAH//3ZE=")</f>
        <v>#VALUE!</v>
      </c>
      <c r="EQ138" t="e">
        <f>AND('UP133'!D101,"AAAAAH//3ZI=")</f>
        <v>#VALUE!</v>
      </c>
      <c r="ER138" t="e">
        <f>AND('UP133'!E101,"AAAAAH//3ZM=")</f>
        <v>#VALUE!</v>
      </c>
      <c r="ES138" t="e">
        <f>AND('UP133'!F101,"AAAAAH//3ZQ=")</f>
        <v>#VALUE!</v>
      </c>
      <c r="ET138" t="e">
        <f>AND('UP133'!G101,"AAAAAH//3ZU=")</f>
        <v>#VALUE!</v>
      </c>
      <c r="EU138" t="e">
        <f>AND('UP133'!H101,"AAAAAH//3ZY=")</f>
        <v>#VALUE!</v>
      </c>
      <c r="EV138" t="e">
        <f>AND('UP133'!I101,"AAAAAH//3Zc=")</f>
        <v>#VALUE!</v>
      </c>
      <c r="EW138" t="e">
        <f>AND('UP133'!J101,"AAAAAH//3Zg=")</f>
        <v>#VALUE!</v>
      </c>
      <c r="EX138" t="e">
        <f>AND('UP133'!K101,"AAAAAH//3Zk=")</f>
        <v>#VALUE!</v>
      </c>
      <c r="EY138" t="e">
        <f>AND('UP133'!L101,"AAAAAH//3Zo=")</f>
        <v>#VALUE!</v>
      </c>
      <c r="EZ138" t="e">
        <f>AND('UP133'!M101,"AAAAAH//3Zs=")</f>
        <v>#VALUE!</v>
      </c>
      <c r="FA138" t="e">
        <f>AND('UP133'!N101,"AAAAAH//3Zw=")</f>
        <v>#VALUE!</v>
      </c>
      <c r="FB138" t="e">
        <f>AND('UP133'!O101,"AAAAAH//3Z0=")</f>
        <v>#VALUE!</v>
      </c>
      <c r="FC138" t="e">
        <f>AND('UP133'!P101,"AAAAAH//3Z4=")</f>
        <v>#VALUE!</v>
      </c>
      <c r="FD138" t="e">
        <f>AND('UP133'!Q101,"AAAAAH//3Z8=")</f>
        <v>#VALUE!</v>
      </c>
      <c r="FE138" t="e">
        <f>AND('UP133'!R101,"AAAAAH//3aA=")</f>
        <v>#VALUE!</v>
      </c>
      <c r="FF138" t="e">
        <f>AND('UP133'!S101,"AAAAAH//3aE=")</f>
        <v>#VALUE!</v>
      </c>
      <c r="FG138" t="e">
        <f>AND('UP133'!T101,"AAAAAH//3aI=")</f>
        <v>#VALUE!</v>
      </c>
      <c r="FH138" t="e">
        <f>AND('UP133'!U101,"AAAAAH//3aM=")</f>
        <v>#VALUE!</v>
      </c>
      <c r="FI138" t="e">
        <f>AND('UP133'!V101,"AAAAAH//3aQ=")</f>
        <v>#VALUE!</v>
      </c>
      <c r="FJ138" t="e">
        <f>AND('UP133'!W101,"AAAAAH//3aU=")</f>
        <v>#VALUE!</v>
      </c>
      <c r="FK138" t="e">
        <f>AND('UP133'!X101,"AAAAAH//3aY=")</f>
        <v>#VALUE!</v>
      </c>
      <c r="FL138" t="e">
        <f>AND('UP133'!Y101,"AAAAAH//3ac=")</f>
        <v>#VALUE!</v>
      </c>
      <c r="FM138" t="e">
        <f>AND('UP133'!Z101,"AAAAAH//3ag=")</f>
        <v>#VALUE!</v>
      </c>
      <c r="FN138" t="e">
        <f>AND('UP133'!AA101,"AAAAAH//3ak=")</f>
        <v>#VALUE!</v>
      </c>
      <c r="FO138" t="e">
        <f>AND('UP133'!AB101,"AAAAAH//3ao=")</f>
        <v>#VALUE!</v>
      </c>
      <c r="FP138" t="e">
        <f>AND('UP133'!AC101,"AAAAAH//3as=")</f>
        <v>#VALUE!</v>
      </c>
      <c r="FQ138" t="e">
        <f>AND('UP133'!AD101,"AAAAAH//3aw=")</f>
        <v>#VALUE!</v>
      </c>
      <c r="FR138" t="e">
        <f>AND('UP133'!AE101,"AAAAAH//3a0=")</f>
        <v>#VALUE!</v>
      </c>
      <c r="FS138" t="e">
        <f>AND('UP133'!AF101,"AAAAAH//3a4=")</f>
        <v>#VALUE!</v>
      </c>
      <c r="FT138" t="e">
        <f>AND('UP133'!AG101,"AAAAAH//3a8=")</f>
        <v>#VALUE!</v>
      </c>
      <c r="FU138" t="e">
        <f>AND('UP133'!AH101,"AAAAAH//3bA=")</f>
        <v>#VALUE!</v>
      </c>
      <c r="FV138" t="e">
        <f>AND('UP133'!AI101,"AAAAAH//3bE=")</f>
        <v>#VALUE!</v>
      </c>
      <c r="FW138" t="e">
        <f>AND('UP133'!AJ101,"AAAAAH//3bI=")</f>
        <v>#VALUE!</v>
      </c>
      <c r="FX138" t="e">
        <f>AND('UP133'!AK101,"AAAAAH//3bM=")</f>
        <v>#VALUE!</v>
      </c>
      <c r="FY138" t="e">
        <f>AND('UP133'!AL101,"AAAAAH//3bQ=")</f>
        <v>#VALUE!</v>
      </c>
      <c r="FZ138" t="e">
        <f>AND('UP133'!AM101,"AAAAAH//3bU=")</f>
        <v>#VALUE!</v>
      </c>
      <c r="GA138" t="e">
        <f>AND('UP133'!AN101,"AAAAAH//3bY=")</f>
        <v>#VALUE!</v>
      </c>
      <c r="GB138" t="e">
        <f>AND('UP133'!AO101,"AAAAAH//3bc=")</f>
        <v>#VALUE!</v>
      </c>
      <c r="GC138" t="e">
        <f>AND('UP133'!AP101,"AAAAAH//3bg=")</f>
        <v>#VALUE!</v>
      </c>
      <c r="GD138" t="e">
        <f>AND('UP133'!AQ101,"AAAAAH//3bk=")</f>
        <v>#VALUE!</v>
      </c>
      <c r="GE138" t="e">
        <f>AND('UP133'!AR101,"AAAAAH//3bo=")</f>
        <v>#VALUE!</v>
      </c>
      <c r="GF138" t="e">
        <f>AND('UP133'!AS101,"AAAAAH//3bs=")</f>
        <v>#VALUE!</v>
      </c>
      <c r="GG138" t="e">
        <f>AND('UP133'!AT101,"AAAAAH//3bw=")</f>
        <v>#VALUE!</v>
      </c>
      <c r="GH138" t="e">
        <f>AND('UP133'!AU101,"AAAAAH//3b0=")</f>
        <v>#VALUE!</v>
      </c>
      <c r="GI138" t="e">
        <f>AND('UP133'!AV101,"AAAAAH//3b4=")</f>
        <v>#VALUE!</v>
      </c>
      <c r="GJ138" t="e">
        <f>AND('UP133'!AW101,"AAAAAH//3b8=")</f>
        <v>#VALUE!</v>
      </c>
      <c r="GK138" t="e">
        <f>AND('UP133'!AX101,"AAAAAH//3cA=")</f>
        <v>#VALUE!</v>
      </c>
      <c r="GL138" t="e">
        <f>AND('UP133'!AY101,"AAAAAH//3cE=")</f>
        <v>#VALUE!</v>
      </c>
      <c r="GM138" t="e">
        <f>AND('UP133'!AZ101,"AAAAAH//3cI=")</f>
        <v>#VALUE!</v>
      </c>
      <c r="GN138" t="e">
        <f>AND('UP133'!BA101,"AAAAAH//3cM=")</f>
        <v>#VALUE!</v>
      </c>
      <c r="GO138" t="e">
        <f>AND('UP133'!BB101,"AAAAAH//3cQ=")</f>
        <v>#VALUE!</v>
      </c>
      <c r="GP138" t="e">
        <f>AND('UP133'!BC101,"AAAAAH//3cU=")</f>
        <v>#VALUE!</v>
      </c>
      <c r="GQ138" t="e">
        <f>AND('UP133'!BD101,"AAAAAH//3cY=")</f>
        <v>#VALUE!</v>
      </c>
      <c r="GR138" t="e">
        <f>AND('UP133'!BE101,"AAAAAH//3cc=")</f>
        <v>#VALUE!</v>
      </c>
      <c r="GS138" t="e">
        <f>AND('UP133'!BF101,"AAAAAH//3cg=")</f>
        <v>#VALUE!</v>
      </c>
      <c r="GT138" t="e">
        <f>AND('UP133'!BG101,"AAAAAH//3ck=")</f>
        <v>#VALUE!</v>
      </c>
      <c r="GU138" t="e">
        <f>AND('UP133'!BH101,"AAAAAH//3co=")</f>
        <v>#VALUE!</v>
      </c>
      <c r="GV138" t="e">
        <f>AND('UP133'!BI101,"AAAAAH//3cs=")</f>
        <v>#VALUE!</v>
      </c>
      <c r="GW138" t="e">
        <f>AND('UP133'!BJ101,"AAAAAH//3cw=")</f>
        <v>#VALUE!</v>
      </c>
      <c r="GX138" t="e">
        <f>AND('UP133'!BK101,"AAAAAH//3c0=")</f>
        <v>#VALUE!</v>
      </c>
      <c r="GY138" t="e">
        <f>AND('UP133'!BL101,"AAAAAH//3c4=")</f>
        <v>#VALUE!</v>
      </c>
      <c r="GZ138" t="e">
        <f>AND('UP133'!BM101,"AAAAAH//3c8=")</f>
        <v>#VALUE!</v>
      </c>
      <c r="HA138" t="e">
        <f>AND('UP133'!BN101,"AAAAAH//3dA=")</f>
        <v>#VALUE!</v>
      </c>
      <c r="HB138" t="e">
        <f>AND('UP133'!BO101,"AAAAAH//3dE=")</f>
        <v>#VALUE!</v>
      </c>
      <c r="HC138" t="e">
        <f>AND('UP133'!BP101,"AAAAAH//3dI=")</f>
        <v>#VALUE!</v>
      </c>
      <c r="HD138" t="e">
        <f>AND('UP133'!BQ101,"AAAAAH//3dM=")</f>
        <v>#VALUE!</v>
      </c>
      <c r="HE138" t="e">
        <f>AND('UP133'!BR101,"AAAAAH//3dQ=")</f>
        <v>#VALUE!</v>
      </c>
      <c r="HF138" t="e">
        <f>AND('UP133'!BS101,"AAAAAH//3dU=")</f>
        <v>#VALUE!</v>
      </c>
      <c r="HG138" t="e">
        <f>AND('UP133'!BT101,"AAAAAH//3dY=")</f>
        <v>#VALUE!</v>
      </c>
      <c r="HH138" t="e">
        <f>AND('UP133'!BU101,"AAAAAH//3dc=")</f>
        <v>#VALUE!</v>
      </c>
      <c r="HI138" t="e">
        <f>AND('UP133'!BV101,"AAAAAH//3dg=")</f>
        <v>#VALUE!</v>
      </c>
      <c r="HJ138" t="e">
        <f>AND('UP133'!BW101,"AAAAAH//3dk=")</f>
        <v>#VALUE!</v>
      </c>
      <c r="HK138" t="e">
        <f>AND('UP133'!BX101,"AAAAAH//3do=")</f>
        <v>#VALUE!</v>
      </c>
      <c r="HL138" t="e">
        <f>AND('UP133'!BY101,"AAAAAH//3ds=")</f>
        <v>#VALUE!</v>
      </c>
      <c r="HM138" t="e">
        <f>AND('UP133'!BZ101,"AAAAAH//3dw=")</f>
        <v>#VALUE!</v>
      </c>
      <c r="HN138" t="e">
        <f>AND('UP133'!CA101,"AAAAAH//3d0=")</f>
        <v>#VALUE!</v>
      </c>
      <c r="HO138" t="e">
        <f>AND('UP133'!CB101,"AAAAAH//3d4=")</f>
        <v>#VALUE!</v>
      </c>
      <c r="HP138" t="e">
        <f>AND('UP133'!CC101,"AAAAAH//3d8=")</f>
        <v>#VALUE!</v>
      </c>
      <c r="HQ138" t="e">
        <f>AND('UP133'!CD101,"AAAAAH//3eA=")</f>
        <v>#VALUE!</v>
      </c>
      <c r="HR138" t="e">
        <f>AND('UP133'!CE101,"AAAAAH//3eE=")</f>
        <v>#VALUE!</v>
      </c>
      <c r="HS138" t="e">
        <f>AND('UP133'!CF101,"AAAAAH//3eI=")</f>
        <v>#VALUE!</v>
      </c>
      <c r="HT138" t="e">
        <f>AND('UP133'!CG101,"AAAAAH//3eM=")</f>
        <v>#VALUE!</v>
      </c>
      <c r="HU138" t="e">
        <f>AND('UP133'!CH101,"AAAAAH//3eQ=")</f>
        <v>#VALUE!</v>
      </c>
      <c r="HV138" t="e">
        <f>AND('UP133'!CI101,"AAAAAH//3eU=")</f>
        <v>#VALUE!</v>
      </c>
      <c r="HW138" t="e">
        <f>AND('UP133'!CJ101,"AAAAAH//3eY=")</f>
        <v>#VALUE!</v>
      </c>
      <c r="HX138" t="e">
        <f>AND('UP133'!CK101,"AAAAAH//3ec=")</f>
        <v>#VALUE!</v>
      </c>
      <c r="HY138" t="e">
        <f>AND('UP133'!CL101,"AAAAAH//3eg=")</f>
        <v>#VALUE!</v>
      </c>
      <c r="HZ138" t="e">
        <f>AND('UP133'!CM101,"AAAAAH//3ek=")</f>
        <v>#VALUE!</v>
      </c>
      <c r="IA138" t="e">
        <f>AND('UP133'!CN101,"AAAAAH//3eo=")</f>
        <v>#VALUE!</v>
      </c>
      <c r="IB138" t="e">
        <f>AND('UP133'!CO101,"AAAAAH//3es=")</f>
        <v>#VALUE!</v>
      </c>
      <c r="IC138" t="e">
        <f>AND('UP133'!CP101,"AAAAAH//3ew=")</f>
        <v>#VALUE!</v>
      </c>
      <c r="ID138" t="e">
        <f>AND('UP133'!CQ101,"AAAAAH//3e0=")</f>
        <v>#VALUE!</v>
      </c>
      <c r="IE138" t="e">
        <f>AND('UP133'!CR101,"AAAAAH//3e4=")</f>
        <v>#VALUE!</v>
      </c>
      <c r="IF138" t="e">
        <f>AND('UP133'!CS101,"AAAAAH//3e8=")</f>
        <v>#VALUE!</v>
      </c>
      <c r="IG138" t="e">
        <f>AND('UP133'!CT101,"AAAAAH//3fA=")</f>
        <v>#VALUE!</v>
      </c>
      <c r="IH138" t="e">
        <f>AND('UP133'!CU101,"AAAAAH//3fE=")</f>
        <v>#VALUE!</v>
      </c>
      <c r="II138" t="e">
        <f>AND('UP133'!CV101,"AAAAAH//3fI=")</f>
        <v>#VALUE!</v>
      </c>
      <c r="IJ138" t="e">
        <f>AND('UP133'!CW101,"AAAAAH//3fM=")</f>
        <v>#VALUE!</v>
      </c>
      <c r="IK138" t="e">
        <f>AND('UP133'!CX101,"AAAAAH//3fQ=")</f>
        <v>#VALUE!</v>
      </c>
      <c r="IL138" t="e">
        <f>AND('UP133'!CY101,"AAAAAH//3fU=")</f>
        <v>#VALUE!</v>
      </c>
      <c r="IM138" t="e">
        <f>AND('UP133'!CZ101,"AAAAAH//3fY=")</f>
        <v>#VALUE!</v>
      </c>
      <c r="IN138" t="e">
        <f>AND('UP133'!DA101,"AAAAAH//3fc=")</f>
        <v>#VALUE!</v>
      </c>
      <c r="IO138" t="e">
        <f>AND('UP133'!DB101,"AAAAAH//3fg=")</f>
        <v>#VALUE!</v>
      </c>
      <c r="IP138" t="e">
        <f>AND('UP133'!DC101,"AAAAAH//3fk=")</f>
        <v>#VALUE!</v>
      </c>
      <c r="IQ138" t="e">
        <f>AND('UP133'!DD101,"AAAAAH//3fo=")</f>
        <v>#VALUE!</v>
      </c>
      <c r="IR138" t="e">
        <f>AND('UP133'!DE101,"AAAAAH//3fs=")</f>
        <v>#VALUE!</v>
      </c>
      <c r="IS138" t="e">
        <f>AND('UP133'!DF101,"AAAAAH//3fw=")</f>
        <v>#VALUE!</v>
      </c>
      <c r="IT138" t="e">
        <f>AND('UP133'!DG101,"AAAAAH//3f0=")</f>
        <v>#VALUE!</v>
      </c>
      <c r="IU138" t="e">
        <f>AND('UP133'!DH101,"AAAAAH//3f4=")</f>
        <v>#VALUE!</v>
      </c>
      <c r="IV138" t="e">
        <f>AND('UP133'!DI101,"AAAAAH//3f8=")</f>
        <v>#VALUE!</v>
      </c>
    </row>
    <row r="139" spans="1:256">
      <c r="A139" t="e">
        <f>AND('UP133'!DJ101,"AAAAAH1tsgA=")</f>
        <v>#VALUE!</v>
      </c>
      <c r="B139" t="e">
        <f>AND('UP133'!DK101,"AAAAAH1tsgE=")</f>
        <v>#VALUE!</v>
      </c>
      <c r="C139" t="e">
        <f>AND('UP133'!DL101,"AAAAAH1tsgI=")</f>
        <v>#VALUE!</v>
      </c>
      <c r="D139" t="e">
        <f>AND('UP133'!DM101,"AAAAAH1tsgM=")</f>
        <v>#VALUE!</v>
      </c>
      <c r="E139" t="e">
        <f>AND('UP133'!DN101,"AAAAAH1tsgQ=")</f>
        <v>#VALUE!</v>
      </c>
      <c r="F139" t="e">
        <f>AND('UP133'!DO101,"AAAAAH1tsgU=")</f>
        <v>#VALUE!</v>
      </c>
      <c r="G139" t="e">
        <f>AND('UP133'!DP101,"AAAAAH1tsgY=")</f>
        <v>#VALUE!</v>
      </c>
      <c r="H139" t="e">
        <f>AND('UP133'!DQ101,"AAAAAH1tsgc=")</f>
        <v>#VALUE!</v>
      </c>
      <c r="I139" t="e">
        <f>AND('UP133'!DR101,"AAAAAH1tsgg=")</f>
        <v>#VALUE!</v>
      </c>
      <c r="J139" t="e">
        <f>AND('UP133'!DS101,"AAAAAH1tsgk=")</f>
        <v>#VALUE!</v>
      </c>
      <c r="K139" t="e">
        <f>AND('UP133'!DT101,"AAAAAH1tsgo=")</f>
        <v>#VALUE!</v>
      </c>
      <c r="L139" t="e">
        <f>AND('UP133'!DU101,"AAAAAH1tsgs=")</f>
        <v>#VALUE!</v>
      </c>
      <c r="M139" t="e">
        <f>AND('UP133'!DV101,"AAAAAH1tsgw=")</f>
        <v>#VALUE!</v>
      </c>
      <c r="N139" t="e">
        <f>AND('UP133'!DW101,"AAAAAH1tsg0=")</f>
        <v>#VALUE!</v>
      </c>
      <c r="O139" t="e">
        <f>AND('UP133'!DX101,"AAAAAH1tsg4=")</f>
        <v>#VALUE!</v>
      </c>
      <c r="P139" t="e">
        <f>AND('UP133'!DY101,"AAAAAH1tsg8=")</f>
        <v>#VALUE!</v>
      </c>
      <c r="Q139" t="e">
        <f>AND('UP133'!DZ101,"AAAAAH1tshA=")</f>
        <v>#VALUE!</v>
      </c>
      <c r="R139" t="e">
        <f>AND('UP133'!EA101,"AAAAAH1tshE=")</f>
        <v>#VALUE!</v>
      </c>
      <c r="S139" t="e">
        <f>AND('UP133'!EB101,"AAAAAH1tshI=")</f>
        <v>#VALUE!</v>
      </c>
      <c r="T139" t="e">
        <f>AND('UP133'!EC101,"AAAAAH1tshM=")</f>
        <v>#VALUE!</v>
      </c>
      <c r="U139" t="e">
        <f>AND('UP133'!ED101,"AAAAAH1tshQ=")</f>
        <v>#VALUE!</v>
      </c>
      <c r="V139" t="e">
        <f>AND('UP133'!EE101,"AAAAAH1tshU=")</f>
        <v>#VALUE!</v>
      </c>
      <c r="W139" t="e">
        <f>AND('UP133'!EF101,"AAAAAH1tshY=")</f>
        <v>#VALUE!</v>
      </c>
      <c r="X139" t="e">
        <f>AND('UP133'!EG101,"AAAAAH1tshc=")</f>
        <v>#VALUE!</v>
      </c>
      <c r="Y139" t="e">
        <f>AND('UP133'!EH101,"AAAAAH1tshg=")</f>
        <v>#VALUE!</v>
      </c>
      <c r="Z139" t="e">
        <f>AND('UP133'!EI101,"AAAAAH1tshk=")</f>
        <v>#VALUE!</v>
      </c>
      <c r="AA139" t="e">
        <f>AND('UP133'!EJ101,"AAAAAH1tsho=")</f>
        <v>#VALUE!</v>
      </c>
      <c r="AB139" t="e">
        <f>AND('UP133'!EK101,"AAAAAH1tshs=")</f>
        <v>#VALUE!</v>
      </c>
      <c r="AC139" t="e">
        <f>AND('UP133'!EL101,"AAAAAH1tshw=")</f>
        <v>#VALUE!</v>
      </c>
      <c r="AD139" t="e">
        <f>AND('UP133'!EM101,"AAAAAH1tsh0=")</f>
        <v>#VALUE!</v>
      </c>
      <c r="AE139" t="e">
        <f>AND('UP133'!EN101,"AAAAAH1tsh4=")</f>
        <v>#VALUE!</v>
      </c>
      <c r="AF139" t="e">
        <f>AND('UP133'!EO101,"AAAAAH1tsh8=")</f>
        <v>#VALUE!</v>
      </c>
      <c r="AG139" t="e">
        <f>AND('UP133'!EP101,"AAAAAH1tsiA=")</f>
        <v>#VALUE!</v>
      </c>
      <c r="AH139" t="e">
        <f>AND('UP133'!EQ101,"AAAAAH1tsiE=")</f>
        <v>#VALUE!</v>
      </c>
      <c r="AI139" t="e">
        <f>AND('UP133'!ER101,"AAAAAH1tsiI=")</f>
        <v>#VALUE!</v>
      </c>
      <c r="AJ139" t="e">
        <f>AND('UP133'!ES101,"AAAAAH1tsiM=")</f>
        <v>#VALUE!</v>
      </c>
      <c r="AK139" t="e">
        <f>AND('UP133'!ET101,"AAAAAH1tsiQ=")</f>
        <v>#VALUE!</v>
      </c>
      <c r="AL139" t="e">
        <f>AND('UP133'!EU101,"AAAAAH1tsiU=")</f>
        <v>#VALUE!</v>
      </c>
      <c r="AM139" t="e">
        <f>AND('UP133'!EV101,"AAAAAH1tsiY=")</f>
        <v>#VALUE!</v>
      </c>
      <c r="AN139" t="e">
        <f>AND('UP133'!EW101,"AAAAAH1tsic=")</f>
        <v>#VALUE!</v>
      </c>
      <c r="AO139" t="e">
        <f>AND('UP133'!EX101,"AAAAAH1tsig=")</f>
        <v>#VALUE!</v>
      </c>
      <c r="AP139" t="e">
        <f>AND('UP133'!EY101,"AAAAAH1tsik=")</f>
        <v>#VALUE!</v>
      </c>
      <c r="AQ139" t="e">
        <f>AND('UP133'!EZ101,"AAAAAH1tsio=")</f>
        <v>#VALUE!</v>
      </c>
      <c r="AR139" t="e">
        <f>AND('UP133'!FA101,"AAAAAH1tsis=")</f>
        <v>#VALUE!</v>
      </c>
      <c r="AS139" t="e">
        <f>AND('UP133'!FB101,"AAAAAH1tsiw=")</f>
        <v>#VALUE!</v>
      </c>
      <c r="AT139" t="e">
        <f>AND('UP133'!FC101,"AAAAAH1tsi0=")</f>
        <v>#VALUE!</v>
      </c>
      <c r="AU139" t="e">
        <f>AND('UP133'!FD101,"AAAAAH1tsi4=")</f>
        <v>#VALUE!</v>
      </c>
      <c r="AV139" t="e">
        <f>AND('UP133'!FE101,"AAAAAH1tsi8=")</f>
        <v>#VALUE!</v>
      </c>
      <c r="AW139" t="e">
        <f>AND('UP133'!FF101,"AAAAAH1tsjA=")</f>
        <v>#VALUE!</v>
      </c>
      <c r="AX139" t="e">
        <f>AND('UP133'!FG101,"AAAAAH1tsjE=")</f>
        <v>#VALUE!</v>
      </c>
      <c r="AY139" t="e">
        <f>AND('UP133'!FH101,"AAAAAH1tsjI=")</f>
        <v>#VALUE!</v>
      </c>
      <c r="AZ139" t="e">
        <f>AND('UP133'!FI101,"AAAAAH1tsjM=")</f>
        <v>#VALUE!</v>
      </c>
      <c r="BA139" t="e">
        <f>AND('UP133'!FJ101,"AAAAAH1tsjQ=")</f>
        <v>#VALUE!</v>
      </c>
      <c r="BB139" t="e">
        <f>AND('UP133'!FK101,"AAAAAH1tsjU=")</f>
        <v>#VALUE!</v>
      </c>
      <c r="BC139" t="e">
        <f>AND('UP133'!FL101,"AAAAAH1tsjY=")</f>
        <v>#VALUE!</v>
      </c>
      <c r="BD139" t="e">
        <f>AND('UP133'!FM101,"AAAAAH1tsjc=")</f>
        <v>#VALUE!</v>
      </c>
      <c r="BE139" t="e">
        <f>AND('UP133'!FN101,"AAAAAH1tsjg=")</f>
        <v>#VALUE!</v>
      </c>
      <c r="BF139" t="e">
        <f>AND('UP133'!FO101,"AAAAAH1tsjk=")</f>
        <v>#VALUE!</v>
      </c>
      <c r="BG139" t="e">
        <f>AND('UP133'!FP101,"AAAAAH1tsjo=")</f>
        <v>#VALUE!</v>
      </c>
      <c r="BH139" t="e">
        <f>AND('UP133'!FQ101,"AAAAAH1tsjs=")</f>
        <v>#VALUE!</v>
      </c>
      <c r="BI139" t="e">
        <f>AND('UP133'!FR101,"AAAAAH1tsjw=")</f>
        <v>#VALUE!</v>
      </c>
      <c r="BJ139" t="e">
        <f>AND('UP133'!FS101,"AAAAAH1tsj0=")</f>
        <v>#VALUE!</v>
      </c>
      <c r="BK139" t="e">
        <f>AND('UP133'!FT101,"AAAAAH1tsj4=")</f>
        <v>#VALUE!</v>
      </c>
      <c r="BL139" t="e">
        <f>AND('UP133'!FU101,"AAAAAH1tsj8=")</f>
        <v>#VALUE!</v>
      </c>
      <c r="BM139" t="e">
        <f>AND('UP133'!FV101,"AAAAAH1tskA=")</f>
        <v>#VALUE!</v>
      </c>
      <c r="BN139" t="e">
        <f>AND('UP133'!FW101,"AAAAAH1tskE=")</f>
        <v>#VALUE!</v>
      </c>
      <c r="BO139" t="e">
        <f>AND('UP133'!FX101,"AAAAAH1tskI=")</f>
        <v>#VALUE!</v>
      </c>
      <c r="BP139" t="e">
        <f>AND('UP133'!FY101,"AAAAAH1tskM=")</f>
        <v>#VALUE!</v>
      </c>
      <c r="BQ139" t="e">
        <f>AND('UP133'!FZ101,"AAAAAH1tskQ=")</f>
        <v>#VALUE!</v>
      </c>
      <c r="BR139" t="e">
        <f>AND('UP133'!GA101,"AAAAAH1tskU=")</f>
        <v>#VALUE!</v>
      </c>
      <c r="BS139" t="e">
        <f>AND('UP133'!GB101,"AAAAAH1tskY=")</f>
        <v>#VALUE!</v>
      </c>
      <c r="BT139" t="e">
        <f>AND('UP133'!GC101,"AAAAAH1tskc=")</f>
        <v>#VALUE!</v>
      </c>
      <c r="BU139" t="e">
        <f>AND('UP133'!GD101,"AAAAAH1tskg=")</f>
        <v>#VALUE!</v>
      </c>
      <c r="BV139" t="e">
        <f>AND('UP133'!GE101,"AAAAAH1tskk=")</f>
        <v>#VALUE!</v>
      </c>
      <c r="BW139" t="e">
        <f>AND('UP133'!GF101,"AAAAAH1tsko=")</f>
        <v>#VALUE!</v>
      </c>
      <c r="BX139" t="e">
        <f>AND('UP133'!GG101,"AAAAAH1tsks=")</f>
        <v>#VALUE!</v>
      </c>
      <c r="BY139" t="e">
        <f>AND('UP133'!GH101,"AAAAAH1tskw=")</f>
        <v>#VALUE!</v>
      </c>
      <c r="BZ139" t="e">
        <f>AND('UP133'!GI101,"AAAAAH1tsk0=")</f>
        <v>#VALUE!</v>
      </c>
      <c r="CA139" t="e">
        <f>AND('UP133'!GJ101,"AAAAAH1tsk4=")</f>
        <v>#VALUE!</v>
      </c>
      <c r="CB139" t="e">
        <f>AND('UP133'!GK101,"AAAAAH1tsk8=")</f>
        <v>#VALUE!</v>
      </c>
      <c r="CC139" t="e">
        <f>AND('UP133'!GL101,"AAAAAH1tslA=")</f>
        <v>#VALUE!</v>
      </c>
      <c r="CD139" t="e">
        <f>AND('UP133'!GM101,"AAAAAH1tslE=")</f>
        <v>#VALUE!</v>
      </c>
      <c r="CE139" t="e">
        <f>AND('UP133'!GN101,"AAAAAH1tslI=")</f>
        <v>#VALUE!</v>
      </c>
      <c r="CF139" t="e">
        <f>AND('UP133'!GO101,"AAAAAH1tslM=")</f>
        <v>#VALUE!</v>
      </c>
      <c r="CG139" t="e">
        <f>AND('UP133'!GP101,"AAAAAH1tslQ=")</f>
        <v>#VALUE!</v>
      </c>
      <c r="CH139" t="e">
        <f>AND('UP133'!GQ101,"AAAAAH1tslU=")</f>
        <v>#VALUE!</v>
      </c>
      <c r="CI139" t="e">
        <f>AND('UP133'!GR101,"AAAAAH1tslY=")</f>
        <v>#VALUE!</v>
      </c>
      <c r="CJ139" t="e">
        <f>AND('UP133'!GS101,"AAAAAH1tslc=")</f>
        <v>#VALUE!</v>
      </c>
      <c r="CK139" t="e">
        <f>AND('UP133'!GT101,"AAAAAH1tslg=")</f>
        <v>#VALUE!</v>
      </c>
      <c r="CL139" t="e">
        <f>AND('UP133'!GU101,"AAAAAH1tslk=")</f>
        <v>#VALUE!</v>
      </c>
      <c r="CM139" t="e">
        <f>AND('UP133'!GV101,"AAAAAH1tslo=")</f>
        <v>#VALUE!</v>
      </c>
      <c r="CN139" t="e">
        <f>AND('UP133'!GW101,"AAAAAH1tsls=")</f>
        <v>#VALUE!</v>
      </c>
      <c r="CO139" t="e">
        <f>AND('UP133'!GX101,"AAAAAH1tslw=")</f>
        <v>#VALUE!</v>
      </c>
      <c r="CP139" t="e">
        <f>AND('UP133'!GY101,"AAAAAH1tsl0=")</f>
        <v>#VALUE!</v>
      </c>
      <c r="CQ139" t="e">
        <f>AND('UP133'!GZ101,"AAAAAH1tsl4=")</f>
        <v>#VALUE!</v>
      </c>
      <c r="CR139" t="e">
        <f>AND('UP133'!HA101,"AAAAAH1tsl8=")</f>
        <v>#VALUE!</v>
      </c>
      <c r="CS139" t="e">
        <f>AND('UP133'!HB101,"AAAAAH1tsmA=")</f>
        <v>#VALUE!</v>
      </c>
      <c r="CT139" t="e">
        <f>AND('UP133'!HC101,"AAAAAH1tsmE=")</f>
        <v>#VALUE!</v>
      </c>
      <c r="CU139" t="e">
        <f>AND('UP133'!HD101,"AAAAAH1tsmI=")</f>
        <v>#VALUE!</v>
      </c>
      <c r="CV139" t="e">
        <f>AND('UP133'!HE101,"AAAAAH1tsmM=")</f>
        <v>#VALUE!</v>
      </c>
      <c r="CW139" t="e">
        <f>AND('UP133'!HF101,"AAAAAH1tsmQ=")</f>
        <v>#VALUE!</v>
      </c>
      <c r="CX139" t="e">
        <f>AND('UP133'!HG101,"AAAAAH1tsmU=")</f>
        <v>#VALUE!</v>
      </c>
      <c r="CY139" t="e">
        <f>AND('UP133'!HH101,"AAAAAH1tsmY=")</f>
        <v>#VALUE!</v>
      </c>
      <c r="CZ139" t="e">
        <f>AND('UP133'!HI101,"AAAAAH1tsmc=")</f>
        <v>#VALUE!</v>
      </c>
      <c r="DA139" t="e">
        <f>AND('UP133'!HJ101,"AAAAAH1tsmg=")</f>
        <v>#VALUE!</v>
      </c>
      <c r="DB139" t="e">
        <f>AND('UP133'!HK101,"AAAAAH1tsmk=")</f>
        <v>#VALUE!</v>
      </c>
      <c r="DC139" t="e">
        <f>AND('UP133'!HL101,"AAAAAH1tsmo=")</f>
        <v>#VALUE!</v>
      </c>
      <c r="DD139" t="e">
        <f>AND('UP133'!HM101,"AAAAAH1tsms=")</f>
        <v>#VALUE!</v>
      </c>
      <c r="DE139" t="e">
        <f>AND('UP133'!HN101,"AAAAAH1tsmw=")</f>
        <v>#VALUE!</v>
      </c>
      <c r="DF139" t="e">
        <f>AND('UP133'!HO101,"AAAAAH1tsm0=")</f>
        <v>#VALUE!</v>
      </c>
      <c r="DG139" t="e">
        <f>AND('UP133'!HP101,"AAAAAH1tsm4=")</f>
        <v>#VALUE!</v>
      </c>
      <c r="DH139" t="e">
        <f>AND('UP133'!HQ101,"AAAAAH1tsm8=")</f>
        <v>#VALUE!</v>
      </c>
      <c r="DI139" t="e">
        <f>AND('UP133'!HR101,"AAAAAH1tsnA=")</f>
        <v>#VALUE!</v>
      </c>
      <c r="DJ139" t="e">
        <f>AND('UP133'!HS101,"AAAAAH1tsnE=")</f>
        <v>#VALUE!</v>
      </c>
      <c r="DK139" t="e">
        <f>AND('UP133'!HT101,"AAAAAH1tsnI=")</f>
        <v>#VALUE!</v>
      </c>
      <c r="DL139" t="e">
        <f>AND('UP133'!HU101,"AAAAAH1tsnM=")</f>
        <v>#VALUE!</v>
      </c>
      <c r="DM139" t="e">
        <f>AND('UP133'!HV101,"AAAAAH1tsnQ=")</f>
        <v>#VALUE!</v>
      </c>
      <c r="DN139" t="e">
        <f>AND('UP133'!HW101,"AAAAAH1tsnU=")</f>
        <v>#VALUE!</v>
      </c>
      <c r="DO139" t="e">
        <f>AND('UP133'!HX101,"AAAAAH1tsnY=")</f>
        <v>#VALUE!</v>
      </c>
      <c r="DP139" t="e">
        <f>AND('UP133'!HY101,"AAAAAH1tsnc=")</f>
        <v>#VALUE!</v>
      </c>
      <c r="DQ139" t="e">
        <f>AND('UP133'!HZ101,"AAAAAH1tsng=")</f>
        <v>#VALUE!</v>
      </c>
      <c r="DR139" t="e">
        <f>AND('UP133'!IA101,"AAAAAH1tsnk=")</f>
        <v>#VALUE!</v>
      </c>
      <c r="DS139" t="e">
        <f>AND('UP133'!IB101,"AAAAAH1tsno=")</f>
        <v>#VALUE!</v>
      </c>
      <c r="DT139" t="e">
        <f>AND('UP133'!IC101,"AAAAAH1tsns=")</f>
        <v>#VALUE!</v>
      </c>
      <c r="DU139" t="e">
        <f>AND('UP133'!ID101,"AAAAAH1tsnw=")</f>
        <v>#VALUE!</v>
      </c>
      <c r="DV139" t="e">
        <f>AND('UP133'!IE101,"AAAAAH1tsn0=")</f>
        <v>#VALUE!</v>
      </c>
      <c r="DW139" t="e">
        <f>AND('UP133'!IF101,"AAAAAH1tsn4=")</f>
        <v>#VALUE!</v>
      </c>
      <c r="DX139" t="e">
        <f>AND('UP133'!IG101,"AAAAAH1tsn8=")</f>
        <v>#VALUE!</v>
      </c>
      <c r="DY139" t="e">
        <f>AND('UP133'!IH101,"AAAAAH1tsoA=")</f>
        <v>#VALUE!</v>
      </c>
      <c r="DZ139" t="e">
        <f>AND('UP133'!II101,"AAAAAH1tsoE=")</f>
        <v>#VALUE!</v>
      </c>
      <c r="EA139" t="e">
        <f>AND('UP133'!IJ101,"AAAAAH1tsoI=")</f>
        <v>#VALUE!</v>
      </c>
      <c r="EB139" t="e">
        <f>AND('UP133'!IK101,"AAAAAH1tsoM=")</f>
        <v>#VALUE!</v>
      </c>
      <c r="EC139" t="e">
        <f>AND('UP133'!IL101,"AAAAAH1tsoQ=")</f>
        <v>#VALUE!</v>
      </c>
      <c r="ED139" t="e">
        <f>AND('UP133'!IM101,"AAAAAH1tsoU=")</f>
        <v>#VALUE!</v>
      </c>
      <c r="EE139" t="e">
        <f>AND('UP133'!IN101,"AAAAAH1tsoY=")</f>
        <v>#VALUE!</v>
      </c>
      <c r="EF139" t="e">
        <f>AND('UP133'!IO101,"AAAAAH1tsoc=")</f>
        <v>#VALUE!</v>
      </c>
      <c r="EG139" t="e">
        <f>AND('UP133'!IP101,"AAAAAH1tsog=")</f>
        <v>#VALUE!</v>
      </c>
      <c r="EH139" t="e">
        <f>AND('UP133'!IQ101,"AAAAAH1tsok=")</f>
        <v>#VALUE!</v>
      </c>
      <c r="EI139">
        <f>IF('UP133'!102:102,"AAAAAH1tsoo=",0)</f>
        <v>0</v>
      </c>
      <c r="EJ139" t="e">
        <f>AND('UP133'!A102,"AAAAAH1tsos=")</f>
        <v>#VALUE!</v>
      </c>
      <c r="EK139" t="e">
        <f>AND('UP133'!B102,"AAAAAH1tsow=")</f>
        <v>#VALUE!</v>
      </c>
      <c r="EL139" t="e">
        <f>AND('UP133'!C102,"AAAAAH1tso0=")</f>
        <v>#VALUE!</v>
      </c>
      <c r="EM139" t="e">
        <f>AND('UP133'!D102,"AAAAAH1tso4=")</f>
        <v>#VALUE!</v>
      </c>
      <c r="EN139" t="e">
        <f>AND('UP133'!E102,"AAAAAH1tso8=")</f>
        <v>#VALUE!</v>
      </c>
      <c r="EO139" t="e">
        <f>AND('UP133'!F102,"AAAAAH1tspA=")</f>
        <v>#VALUE!</v>
      </c>
      <c r="EP139" t="e">
        <f>AND('UP133'!G102,"AAAAAH1tspE=")</f>
        <v>#VALUE!</v>
      </c>
      <c r="EQ139" t="e">
        <f>AND('UP133'!H102,"AAAAAH1tspI=")</f>
        <v>#VALUE!</v>
      </c>
      <c r="ER139" t="e">
        <f>AND('UP133'!I102,"AAAAAH1tspM=")</f>
        <v>#VALUE!</v>
      </c>
      <c r="ES139" t="e">
        <f>AND('UP133'!J102,"AAAAAH1tspQ=")</f>
        <v>#VALUE!</v>
      </c>
      <c r="ET139" t="e">
        <f>AND('UP133'!K102,"AAAAAH1tspU=")</f>
        <v>#VALUE!</v>
      </c>
      <c r="EU139" t="e">
        <f>AND('UP133'!L102,"AAAAAH1tspY=")</f>
        <v>#VALUE!</v>
      </c>
      <c r="EV139" t="e">
        <f>AND('UP133'!M102,"AAAAAH1tspc=")</f>
        <v>#VALUE!</v>
      </c>
      <c r="EW139" t="e">
        <f>AND('UP133'!N102,"AAAAAH1tspg=")</f>
        <v>#VALUE!</v>
      </c>
      <c r="EX139" t="e">
        <f>AND('UP133'!O102,"AAAAAH1tspk=")</f>
        <v>#VALUE!</v>
      </c>
      <c r="EY139" t="e">
        <f>AND('UP133'!P102,"AAAAAH1tspo=")</f>
        <v>#VALUE!</v>
      </c>
      <c r="EZ139" t="e">
        <f>AND('UP133'!Q102,"AAAAAH1tsps=")</f>
        <v>#VALUE!</v>
      </c>
      <c r="FA139" t="e">
        <f>AND('UP133'!R102,"AAAAAH1tspw=")</f>
        <v>#VALUE!</v>
      </c>
      <c r="FB139" t="e">
        <f>AND('UP133'!S102,"AAAAAH1tsp0=")</f>
        <v>#VALUE!</v>
      </c>
      <c r="FC139" t="e">
        <f>AND('UP133'!T102,"AAAAAH1tsp4=")</f>
        <v>#VALUE!</v>
      </c>
      <c r="FD139" t="e">
        <f>AND('UP133'!U102,"AAAAAH1tsp8=")</f>
        <v>#VALUE!</v>
      </c>
      <c r="FE139" t="e">
        <f>AND('UP133'!V102,"AAAAAH1tsqA=")</f>
        <v>#VALUE!</v>
      </c>
      <c r="FF139" t="e">
        <f>AND('UP133'!W102,"AAAAAH1tsqE=")</f>
        <v>#VALUE!</v>
      </c>
      <c r="FG139" t="e">
        <f>AND('UP133'!X102,"AAAAAH1tsqI=")</f>
        <v>#VALUE!</v>
      </c>
      <c r="FH139" t="e">
        <f>AND('UP133'!Y102,"AAAAAH1tsqM=")</f>
        <v>#VALUE!</v>
      </c>
      <c r="FI139" t="e">
        <f>AND('UP133'!Z102,"AAAAAH1tsqQ=")</f>
        <v>#VALUE!</v>
      </c>
      <c r="FJ139" t="e">
        <f>AND('UP133'!AA102,"AAAAAH1tsqU=")</f>
        <v>#VALUE!</v>
      </c>
      <c r="FK139" t="e">
        <f>AND('UP133'!AB102,"AAAAAH1tsqY=")</f>
        <v>#VALUE!</v>
      </c>
      <c r="FL139" t="e">
        <f>AND('UP133'!AC102,"AAAAAH1tsqc=")</f>
        <v>#VALUE!</v>
      </c>
      <c r="FM139" t="e">
        <f>AND('UP133'!AD102,"AAAAAH1tsqg=")</f>
        <v>#VALUE!</v>
      </c>
      <c r="FN139" t="e">
        <f>AND('UP133'!AE102,"AAAAAH1tsqk=")</f>
        <v>#VALUE!</v>
      </c>
      <c r="FO139" t="e">
        <f>AND('UP133'!AF102,"AAAAAH1tsqo=")</f>
        <v>#VALUE!</v>
      </c>
      <c r="FP139" t="e">
        <f>AND('UP133'!AG102,"AAAAAH1tsqs=")</f>
        <v>#VALUE!</v>
      </c>
      <c r="FQ139" t="e">
        <f>AND('UP133'!AH102,"AAAAAH1tsqw=")</f>
        <v>#VALUE!</v>
      </c>
      <c r="FR139" t="e">
        <f>AND('UP133'!AI102,"AAAAAH1tsq0=")</f>
        <v>#VALUE!</v>
      </c>
      <c r="FS139" t="e">
        <f>AND('UP133'!AJ102,"AAAAAH1tsq4=")</f>
        <v>#VALUE!</v>
      </c>
      <c r="FT139" t="e">
        <f>AND('UP133'!AK102,"AAAAAH1tsq8=")</f>
        <v>#VALUE!</v>
      </c>
      <c r="FU139" t="e">
        <f>AND('UP133'!AL102,"AAAAAH1tsrA=")</f>
        <v>#VALUE!</v>
      </c>
      <c r="FV139" t="e">
        <f>AND('UP133'!AM102,"AAAAAH1tsrE=")</f>
        <v>#VALUE!</v>
      </c>
      <c r="FW139" t="e">
        <f>AND('UP133'!AN102,"AAAAAH1tsrI=")</f>
        <v>#VALUE!</v>
      </c>
      <c r="FX139" t="e">
        <f>AND('UP133'!AO102,"AAAAAH1tsrM=")</f>
        <v>#VALUE!</v>
      </c>
      <c r="FY139" t="e">
        <f>AND('UP133'!AP102,"AAAAAH1tsrQ=")</f>
        <v>#VALUE!</v>
      </c>
      <c r="FZ139" t="e">
        <f>AND('UP133'!AQ102,"AAAAAH1tsrU=")</f>
        <v>#VALUE!</v>
      </c>
      <c r="GA139" t="e">
        <f>AND('UP133'!AR102,"AAAAAH1tsrY=")</f>
        <v>#VALUE!</v>
      </c>
      <c r="GB139" t="e">
        <f>AND('UP133'!AS102,"AAAAAH1tsrc=")</f>
        <v>#VALUE!</v>
      </c>
      <c r="GC139" t="e">
        <f>AND('UP133'!AT102,"AAAAAH1tsrg=")</f>
        <v>#VALUE!</v>
      </c>
      <c r="GD139" t="e">
        <f>AND('UP133'!AU102,"AAAAAH1tsrk=")</f>
        <v>#VALUE!</v>
      </c>
      <c r="GE139" t="e">
        <f>AND('UP133'!AV102,"AAAAAH1tsro=")</f>
        <v>#VALUE!</v>
      </c>
      <c r="GF139" t="e">
        <f>AND('UP133'!AW102,"AAAAAH1tsrs=")</f>
        <v>#VALUE!</v>
      </c>
      <c r="GG139" t="e">
        <f>AND('UP133'!AX102,"AAAAAH1tsrw=")</f>
        <v>#VALUE!</v>
      </c>
      <c r="GH139" t="e">
        <f>AND('UP133'!AY102,"AAAAAH1tsr0=")</f>
        <v>#VALUE!</v>
      </c>
      <c r="GI139" t="e">
        <f>AND('UP133'!AZ102,"AAAAAH1tsr4=")</f>
        <v>#VALUE!</v>
      </c>
      <c r="GJ139" t="e">
        <f>AND('UP133'!BA102,"AAAAAH1tsr8=")</f>
        <v>#VALUE!</v>
      </c>
      <c r="GK139" t="e">
        <f>AND('UP133'!BB102,"AAAAAH1tssA=")</f>
        <v>#VALUE!</v>
      </c>
      <c r="GL139" t="e">
        <f>AND('UP133'!BC102,"AAAAAH1tssE=")</f>
        <v>#VALUE!</v>
      </c>
      <c r="GM139" t="e">
        <f>AND('UP133'!BD102,"AAAAAH1tssI=")</f>
        <v>#VALUE!</v>
      </c>
      <c r="GN139" t="e">
        <f>AND('UP133'!BE102,"AAAAAH1tssM=")</f>
        <v>#VALUE!</v>
      </c>
      <c r="GO139" t="e">
        <f>AND('UP133'!BF102,"AAAAAH1tssQ=")</f>
        <v>#VALUE!</v>
      </c>
      <c r="GP139" t="e">
        <f>AND('UP133'!BG102,"AAAAAH1tssU=")</f>
        <v>#VALUE!</v>
      </c>
      <c r="GQ139" t="e">
        <f>AND('UP133'!BH102,"AAAAAH1tssY=")</f>
        <v>#VALUE!</v>
      </c>
      <c r="GR139" t="e">
        <f>AND('UP133'!BI102,"AAAAAH1tssc=")</f>
        <v>#VALUE!</v>
      </c>
      <c r="GS139" t="e">
        <f>AND('UP133'!BJ102,"AAAAAH1tssg=")</f>
        <v>#VALUE!</v>
      </c>
      <c r="GT139" t="e">
        <f>AND('UP133'!BK102,"AAAAAH1tssk=")</f>
        <v>#VALUE!</v>
      </c>
      <c r="GU139" t="e">
        <f>AND('UP133'!BL102,"AAAAAH1tsso=")</f>
        <v>#VALUE!</v>
      </c>
      <c r="GV139" t="e">
        <f>AND('UP133'!BM102,"AAAAAH1tsss=")</f>
        <v>#VALUE!</v>
      </c>
      <c r="GW139" t="e">
        <f>AND('UP133'!BN102,"AAAAAH1tssw=")</f>
        <v>#VALUE!</v>
      </c>
      <c r="GX139" t="e">
        <f>AND('UP133'!BO102,"AAAAAH1tss0=")</f>
        <v>#VALUE!</v>
      </c>
      <c r="GY139" t="e">
        <f>AND('UP133'!BP102,"AAAAAH1tss4=")</f>
        <v>#VALUE!</v>
      </c>
      <c r="GZ139" t="e">
        <f>AND('UP133'!BQ102,"AAAAAH1tss8=")</f>
        <v>#VALUE!</v>
      </c>
      <c r="HA139" t="e">
        <f>AND('UP133'!BR102,"AAAAAH1tstA=")</f>
        <v>#VALUE!</v>
      </c>
      <c r="HB139" t="e">
        <f>AND('UP133'!BS102,"AAAAAH1tstE=")</f>
        <v>#VALUE!</v>
      </c>
      <c r="HC139" t="e">
        <f>AND('UP133'!BT102,"AAAAAH1tstI=")</f>
        <v>#VALUE!</v>
      </c>
      <c r="HD139" t="e">
        <f>AND('UP133'!BU102,"AAAAAH1tstM=")</f>
        <v>#VALUE!</v>
      </c>
      <c r="HE139" t="e">
        <f>AND('UP133'!BV102,"AAAAAH1tstQ=")</f>
        <v>#VALUE!</v>
      </c>
      <c r="HF139" t="e">
        <f>AND('UP133'!BW102,"AAAAAH1tstU=")</f>
        <v>#VALUE!</v>
      </c>
      <c r="HG139" t="e">
        <f>AND('UP133'!BX102,"AAAAAH1tstY=")</f>
        <v>#VALUE!</v>
      </c>
      <c r="HH139" t="e">
        <f>AND('UP133'!BY102,"AAAAAH1tstc=")</f>
        <v>#VALUE!</v>
      </c>
      <c r="HI139" t="e">
        <f>AND('UP133'!BZ102,"AAAAAH1tstg=")</f>
        <v>#VALUE!</v>
      </c>
      <c r="HJ139" t="e">
        <f>AND('UP133'!CA102,"AAAAAH1tstk=")</f>
        <v>#VALUE!</v>
      </c>
      <c r="HK139" t="e">
        <f>AND('UP133'!CB102,"AAAAAH1tsto=")</f>
        <v>#VALUE!</v>
      </c>
      <c r="HL139" t="e">
        <f>AND('UP133'!CC102,"AAAAAH1tsts=")</f>
        <v>#VALUE!</v>
      </c>
      <c r="HM139" t="e">
        <f>AND('UP133'!CD102,"AAAAAH1tstw=")</f>
        <v>#VALUE!</v>
      </c>
      <c r="HN139" t="e">
        <f>AND('UP133'!CE102,"AAAAAH1tst0=")</f>
        <v>#VALUE!</v>
      </c>
      <c r="HO139" t="e">
        <f>AND('UP133'!CF102,"AAAAAH1tst4=")</f>
        <v>#VALUE!</v>
      </c>
      <c r="HP139" t="e">
        <f>AND('UP133'!CG102,"AAAAAH1tst8=")</f>
        <v>#VALUE!</v>
      </c>
      <c r="HQ139" t="e">
        <f>AND('UP133'!CH102,"AAAAAH1tsuA=")</f>
        <v>#VALUE!</v>
      </c>
      <c r="HR139" t="e">
        <f>AND('UP133'!CI102,"AAAAAH1tsuE=")</f>
        <v>#VALUE!</v>
      </c>
      <c r="HS139" t="e">
        <f>AND('UP133'!CJ102,"AAAAAH1tsuI=")</f>
        <v>#VALUE!</v>
      </c>
      <c r="HT139" t="e">
        <f>AND('UP133'!CK102,"AAAAAH1tsuM=")</f>
        <v>#VALUE!</v>
      </c>
      <c r="HU139" t="e">
        <f>AND('UP133'!CL102,"AAAAAH1tsuQ=")</f>
        <v>#VALUE!</v>
      </c>
      <c r="HV139" t="e">
        <f>AND('UP133'!CM102,"AAAAAH1tsuU=")</f>
        <v>#VALUE!</v>
      </c>
      <c r="HW139" t="e">
        <f>AND('UP133'!CN102,"AAAAAH1tsuY=")</f>
        <v>#VALUE!</v>
      </c>
      <c r="HX139" t="e">
        <f>AND('UP133'!CO102,"AAAAAH1tsuc=")</f>
        <v>#VALUE!</v>
      </c>
      <c r="HY139" t="e">
        <f>AND('UP133'!CP102,"AAAAAH1tsug=")</f>
        <v>#VALUE!</v>
      </c>
      <c r="HZ139" t="e">
        <f>AND('UP133'!CQ102,"AAAAAH1tsuk=")</f>
        <v>#VALUE!</v>
      </c>
      <c r="IA139" t="e">
        <f>AND('UP133'!CR102,"AAAAAH1tsuo=")</f>
        <v>#VALUE!</v>
      </c>
      <c r="IB139" t="e">
        <f>AND('UP133'!CS102,"AAAAAH1tsus=")</f>
        <v>#VALUE!</v>
      </c>
      <c r="IC139" t="e">
        <f>AND('UP133'!CT102,"AAAAAH1tsuw=")</f>
        <v>#VALUE!</v>
      </c>
      <c r="ID139" t="e">
        <f>AND('UP133'!CU102,"AAAAAH1tsu0=")</f>
        <v>#VALUE!</v>
      </c>
      <c r="IE139" t="e">
        <f>AND('UP133'!CV102,"AAAAAH1tsu4=")</f>
        <v>#VALUE!</v>
      </c>
      <c r="IF139" t="e">
        <f>AND('UP133'!CW102,"AAAAAH1tsu8=")</f>
        <v>#VALUE!</v>
      </c>
      <c r="IG139" t="e">
        <f>AND('UP133'!CX102,"AAAAAH1tsvA=")</f>
        <v>#VALUE!</v>
      </c>
      <c r="IH139" t="e">
        <f>AND('UP133'!CY102,"AAAAAH1tsvE=")</f>
        <v>#VALUE!</v>
      </c>
      <c r="II139" t="e">
        <f>AND('UP133'!CZ102,"AAAAAH1tsvI=")</f>
        <v>#VALUE!</v>
      </c>
      <c r="IJ139" t="e">
        <f>AND('UP133'!DA102,"AAAAAH1tsvM=")</f>
        <v>#VALUE!</v>
      </c>
      <c r="IK139" t="e">
        <f>AND('UP133'!DB102,"AAAAAH1tsvQ=")</f>
        <v>#VALUE!</v>
      </c>
      <c r="IL139" t="e">
        <f>AND('UP133'!DC102,"AAAAAH1tsvU=")</f>
        <v>#VALUE!</v>
      </c>
      <c r="IM139" t="e">
        <f>AND('UP133'!DD102,"AAAAAH1tsvY=")</f>
        <v>#VALUE!</v>
      </c>
      <c r="IN139" t="e">
        <f>AND('UP133'!DE102,"AAAAAH1tsvc=")</f>
        <v>#VALUE!</v>
      </c>
      <c r="IO139" t="e">
        <f>AND('UP133'!DF102,"AAAAAH1tsvg=")</f>
        <v>#VALUE!</v>
      </c>
      <c r="IP139" t="e">
        <f>AND('UP133'!DG102,"AAAAAH1tsvk=")</f>
        <v>#VALUE!</v>
      </c>
      <c r="IQ139" t="e">
        <f>AND('UP133'!DH102,"AAAAAH1tsvo=")</f>
        <v>#VALUE!</v>
      </c>
      <c r="IR139" t="e">
        <f>AND('UP133'!DI102,"AAAAAH1tsvs=")</f>
        <v>#VALUE!</v>
      </c>
      <c r="IS139" t="e">
        <f>AND('UP133'!DJ102,"AAAAAH1tsvw=")</f>
        <v>#VALUE!</v>
      </c>
      <c r="IT139" t="e">
        <f>AND('UP133'!DK102,"AAAAAH1tsv0=")</f>
        <v>#VALUE!</v>
      </c>
      <c r="IU139" t="e">
        <f>AND('UP133'!DL102,"AAAAAH1tsv4=")</f>
        <v>#VALUE!</v>
      </c>
      <c r="IV139" t="e">
        <f>AND('UP133'!DM102,"AAAAAH1tsv8=")</f>
        <v>#VALUE!</v>
      </c>
    </row>
    <row r="140" spans="1:256">
      <c r="A140" t="e">
        <f>AND('UP133'!DN102,"AAAAAHNfsgA=")</f>
        <v>#VALUE!</v>
      </c>
      <c r="B140" t="e">
        <f>AND('UP133'!DO102,"AAAAAHNfsgE=")</f>
        <v>#VALUE!</v>
      </c>
      <c r="C140" t="e">
        <f>AND('UP133'!DP102,"AAAAAHNfsgI=")</f>
        <v>#VALUE!</v>
      </c>
      <c r="D140" t="e">
        <f>AND('UP133'!DQ102,"AAAAAHNfsgM=")</f>
        <v>#VALUE!</v>
      </c>
      <c r="E140" t="e">
        <f>AND('UP133'!DR102,"AAAAAHNfsgQ=")</f>
        <v>#VALUE!</v>
      </c>
      <c r="F140" t="e">
        <f>AND('UP133'!DS102,"AAAAAHNfsgU=")</f>
        <v>#VALUE!</v>
      </c>
      <c r="G140" t="e">
        <f>AND('UP133'!DT102,"AAAAAHNfsgY=")</f>
        <v>#VALUE!</v>
      </c>
      <c r="H140" t="e">
        <f>AND('UP133'!DU102,"AAAAAHNfsgc=")</f>
        <v>#VALUE!</v>
      </c>
      <c r="I140" t="e">
        <f>AND('UP133'!DV102,"AAAAAHNfsgg=")</f>
        <v>#VALUE!</v>
      </c>
      <c r="J140" t="e">
        <f>AND('UP133'!DW102,"AAAAAHNfsgk=")</f>
        <v>#VALUE!</v>
      </c>
      <c r="K140" t="e">
        <f>AND('UP133'!DX102,"AAAAAHNfsgo=")</f>
        <v>#VALUE!</v>
      </c>
      <c r="L140" t="e">
        <f>AND('UP133'!DY102,"AAAAAHNfsgs=")</f>
        <v>#VALUE!</v>
      </c>
      <c r="M140" t="e">
        <f>AND('UP133'!DZ102,"AAAAAHNfsgw=")</f>
        <v>#VALUE!</v>
      </c>
      <c r="N140" t="e">
        <f>AND('UP133'!EA102,"AAAAAHNfsg0=")</f>
        <v>#VALUE!</v>
      </c>
      <c r="O140" t="e">
        <f>AND('UP133'!EB102,"AAAAAHNfsg4=")</f>
        <v>#VALUE!</v>
      </c>
      <c r="P140" t="e">
        <f>AND('UP133'!EC102,"AAAAAHNfsg8=")</f>
        <v>#VALUE!</v>
      </c>
      <c r="Q140" t="e">
        <f>AND('UP133'!ED102,"AAAAAHNfshA=")</f>
        <v>#VALUE!</v>
      </c>
      <c r="R140" t="e">
        <f>AND('UP133'!EE102,"AAAAAHNfshE=")</f>
        <v>#VALUE!</v>
      </c>
      <c r="S140" t="e">
        <f>AND('UP133'!EF102,"AAAAAHNfshI=")</f>
        <v>#VALUE!</v>
      </c>
      <c r="T140" t="e">
        <f>AND('UP133'!EG102,"AAAAAHNfshM=")</f>
        <v>#VALUE!</v>
      </c>
      <c r="U140" t="e">
        <f>AND('UP133'!EH102,"AAAAAHNfshQ=")</f>
        <v>#VALUE!</v>
      </c>
      <c r="V140" t="e">
        <f>AND('UP133'!EI102,"AAAAAHNfshU=")</f>
        <v>#VALUE!</v>
      </c>
      <c r="W140" t="e">
        <f>AND('UP133'!EJ102,"AAAAAHNfshY=")</f>
        <v>#VALUE!</v>
      </c>
      <c r="X140" t="e">
        <f>AND('UP133'!EK102,"AAAAAHNfshc=")</f>
        <v>#VALUE!</v>
      </c>
      <c r="Y140" t="e">
        <f>AND('UP133'!EL102,"AAAAAHNfshg=")</f>
        <v>#VALUE!</v>
      </c>
      <c r="Z140" t="e">
        <f>AND('UP133'!EM102,"AAAAAHNfshk=")</f>
        <v>#VALUE!</v>
      </c>
      <c r="AA140" t="e">
        <f>AND('UP133'!EN102,"AAAAAHNfsho=")</f>
        <v>#VALUE!</v>
      </c>
      <c r="AB140" t="e">
        <f>AND('UP133'!EO102,"AAAAAHNfshs=")</f>
        <v>#VALUE!</v>
      </c>
      <c r="AC140" t="e">
        <f>AND('UP133'!EP102,"AAAAAHNfshw=")</f>
        <v>#VALUE!</v>
      </c>
      <c r="AD140" t="e">
        <f>AND('UP133'!EQ102,"AAAAAHNfsh0=")</f>
        <v>#VALUE!</v>
      </c>
      <c r="AE140" t="e">
        <f>AND('UP133'!ER102,"AAAAAHNfsh4=")</f>
        <v>#VALUE!</v>
      </c>
      <c r="AF140" t="e">
        <f>AND('UP133'!ES102,"AAAAAHNfsh8=")</f>
        <v>#VALUE!</v>
      </c>
      <c r="AG140" t="e">
        <f>AND('UP133'!ET102,"AAAAAHNfsiA=")</f>
        <v>#VALUE!</v>
      </c>
      <c r="AH140" t="e">
        <f>AND('UP133'!EU102,"AAAAAHNfsiE=")</f>
        <v>#VALUE!</v>
      </c>
      <c r="AI140" t="e">
        <f>AND('UP133'!EV102,"AAAAAHNfsiI=")</f>
        <v>#VALUE!</v>
      </c>
      <c r="AJ140" t="e">
        <f>AND('UP133'!EW102,"AAAAAHNfsiM=")</f>
        <v>#VALUE!</v>
      </c>
      <c r="AK140" t="e">
        <f>AND('UP133'!EX102,"AAAAAHNfsiQ=")</f>
        <v>#VALUE!</v>
      </c>
      <c r="AL140" t="e">
        <f>AND('UP133'!EY102,"AAAAAHNfsiU=")</f>
        <v>#VALUE!</v>
      </c>
      <c r="AM140" t="e">
        <f>AND('UP133'!EZ102,"AAAAAHNfsiY=")</f>
        <v>#VALUE!</v>
      </c>
      <c r="AN140" t="e">
        <f>AND('UP133'!FA102,"AAAAAHNfsic=")</f>
        <v>#VALUE!</v>
      </c>
      <c r="AO140" t="e">
        <f>AND('UP133'!FB102,"AAAAAHNfsig=")</f>
        <v>#VALUE!</v>
      </c>
      <c r="AP140" t="e">
        <f>AND('UP133'!FC102,"AAAAAHNfsik=")</f>
        <v>#VALUE!</v>
      </c>
      <c r="AQ140" t="e">
        <f>AND('UP133'!FD102,"AAAAAHNfsio=")</f>
        <v>#VALUE!</v>
      </c>
      <c r="AR140" t="e">
        <f>AND('UP133'!FE102,"AAAAAHNfsis=")</f>
        <v>#VALUE!</v>
      </c>
      <c r="AS140" t="e">
        <f>AND('UP133'!FF102,"AAAAAHNfsiw=")</f>
        <v>#VALUE!</v>
      </c>
      <c r="AT140" t="e">
        <f>AND('UP133'!FG102,"AAAAAHNfsi0=")</f>
        <v>#VALUE!</v>
      </c>
      <c r="AU140" t="e">
        <f>AND('UP133'!FH102,"AAAAAHNfsi4=")</f>
        <v>#VALUE!</v>
      </c>
      <c r="AV140" t="e">
        <f>AND('UP133'!FI102,"AAAAAHNfsi8=")</f>
        <v>#VALUE!</v>
      </c>
      <c r="AW140" t="e">
        <f>AND('UP133'!FJ102,"AAAAAHNfsjA=")</f>
        <v>#VALUE!</v>
      </c>
      <c r="AX140" t="e">
        <f>AND('UP133'!FK102,"AAAAAHNfsjE=")</f>
        <v>#VALUE!</v>
      </c>
      <c r="AY140" t="e">
        <f>AND('UP133'!FL102,"AAAAAHNfsjI=")</f>
        <v>#VALUE!</v>
      </c>
      <c r="AZ140" t="e">
        <f>AND('UP133'!FM102,"AAAAAHNfsjM=")</f>
        <v>#VALUE!</v>
      </c>
      <c r="BA140" t="e">
        <f>AND('UP133'!FN102,"AAAAAHNfsjQ=")</f>
        <v>#VALUE!</v>
      </c>
      <c r="BB140" t="e">
        <f>AND('UP133'!FO102,"AAAAAHNfsjU=")</f>
        <v>#VALUE!</v>
      </c>
      <c r="BC140" t="e">
        <f>AND('UP133'!FP102,"AAAAAHNfsjY=")</f>
        <v>#VALUE!</v>
      </c>
      <c r="BD140" t="e">
        <f>AND('UP133'!FQ102,"AAAAAHNfsjc=")</f>
        <v>#VALUE!</v>
      </c>
      <c r="BE140" t="e">
        <f>AND('UP133'!FR102,"AAAAAHNfsjg=")</f>
        <v>#VALUE!</v>
      </c>
      <c r="BF140" t="e">
        <f>AND('UP133'!FS102,"AAAAAHNfsjk=")</f>
        <v>#VALUE!</v>
      </c>
      <c r="BG140" t="e">
        <f>AND('UP133'!FT102,"AAAAAHNfsjo=")</f>
        <v>#VALUE!</v>
      </c>
      <c r="BH140" t="e">
        <f>AND('UP133'!FU102,"AAAAAHNfsjs=")</f>
        <v>#VALUE!</v>
      </c>
      <c r="BI140" t="e">
        <f>AND('UP133'!FV102,"AAAAAHNfsjw=")</f>
        <v>#VALUE!</v>
      </c>
      <c r="BJ140" t="e">
        <f>AND('UP133'!FW102,"AAAAAHNfsj0=")</f>
        <v>#VALUE!</v>
      </c>
      <c r="BK140" t="e">
        <f>AND('UP133'!FX102,"AAAAAHNfsj4=")</f>
        <v>#VALUE!</v>
      </c>
      <c r="BL140" t="e">
        <f>AND('UP133'!FY102,"AAAAAHNfsj8=")</f>
        <v>#VALUE!</v>
      </c>
      <c r="BM140" t="e">
        <f>AND('UP133'!FZ102,"AAAAAHNfskA=")</f>
        <v>#VALUE!</v>
      </c>
      <c r="BN140" t="e">
        <f>AND('UP133'!GA102,"AAAAAHNfskE=")</f>
        <v>#VALUE!</v>
      </c>
      <c r="BO140" t="e">
        <f>AND('UP133'!GB102,"AAAAAHNfskI=")</f>
        <v>#VALUE!</v>
      </c>
      <c r="BP140" t="e">
        <f>AND('UP133'!GC102,"AAAAAHNfskM=")</f>
        <v>#VALUE!</v>
      </c>
      <c r="BQ140" t="e">
        <f>AND('UP133'!GD102,"AAAAAHNfskQ=")</f>
        <v>#VALUE!</v>
      </c>
      <c r="BR140" t="e">
        <f>AND('UP133'!GE102,"AAAAAHNfskU=")</f>
        <v>#VALUE!</v>
      </c>
      <c r="BS140" t="e">
        <f>AND('UP133'!GF102,"AAAAAHNfskY=")</f>
        <v>#VALUE!</v>
      </c>
      <c r="BT140" t="e">
        <f>AND('UP133'!GG102,"AAAAAHNfskc=")</f>
        <v>#VALUE!</v>
      </c>
      <c r="BU140" t="e">
        <f>AND('UP133'!GH102,"AAAAAHNfskg=")</f>
        <v>#VALUE!</v>
      </c>
      <c r="BV140" t="e">
        <f>AND('UP133'!GI102,"AAAAAHNfskk=")</f>
        <v>#VALUE!</v>
      </c>
      <c r="BW140" t="e">
        <f>AND('UP133'!GJ102,"AAAAAHNfsko=")</f>
        <v>#VALUE!</v>
      </c>
      <c r="BX140" t="e">
        <f>AND('UP133'!GK102,"AAAAAHNfsks=")</f>
        <v>#VALUE!</v>
      </c>
      <c r="BY140" t="e">
        <f>AND('UP133'!GL102,"AAAAAHNfskw=")</f>
        <v>#VALUE!</v>
      </c>
      <c r="BZ140" t="e">
        <f>AND('UP133'!GM102,"AAAAAHNfsk0=")</f>
        <v>#VALUE!</v>
      </c>
      <c r="CA140" t="e">
        <f>AND('UP133'!GN102,"AAAAAHNfsk4=")</f>
        <v>#VALUE!</v>
      </c>
      <c r="CB140" t="e">
        <f>AND('UP133'!GO102,"AAAAAHNfsk8=")</f>
        <v>#VALUE!</v>
      </c>
      <c r="CC140" t="e">
        <f>AND('UP133'!GP102,"AAAAAHNfslA=")</f>
        <v>#VALUE!</v>
      </c>
      <c r="CD140" t="e">
        <f>AND('UP133'!GQ102,"AAAAAHNfslE=")</f>
        <v>#VALUE!</v>
      </c>
      <c r="CE140" t="e">
        <f>AND('UP133'!GR102,"AAAAAHNfslI=")</f>
        <v>#VALUE!</v>
      </c>
      <c r="CF140" t="e">
        <f>AND('UP133'!GS102,"AAAAAHNfslM=")</f>
        <v>#VALUE!</v>
      </c>
      <c r="CG140" t="e">
        <f>AND('UP133'!GT102,"AAAAAHNfslQ=")</f>
        <v>#VALUE!</v>
      </c>
      <c r="CH140" t="e">
        <f>AND('UP133'!GU102,"AAAAAHNfslU=")</f>
        <v>#VALUE!</v>
      </c>
      <c r="CI140" t="e">
        <f>AND('UP133'!GV102,"AAAAAHNfslY=")</f>
        <v>#VALUE!</v>
      </c>
      <c r="CJ140" t="e">
        <f>AND('UP133'!GW102,"AAAAAHNfslc=")</f>
        <v>#VALUE!</v>
      </c>
      <c r="CK140" t="e">
        <f>AND('UP133'!GX102,"AAAAAHNfslg=")</f>
        <v>#VALUE!</v>
      </c>
      <c r="CL140" t="e">
        <f>AND('UP133'!GY102,"AAAAAHNfslk=")</f>
        <v>#VALUE!</v>
      </c>
      <c r="CM140" t="e">
        <f>AND('UP133'!GZ102,"AAAAAHNfslo=")</f>
        <v>#VALUE!</v>
      </c>
      <c r="CN140" t="e">
        <f>AND('UP133'!HA102,"AAAAAHNfsls=")</f>
        <v>#VALUE!</v>
      </c>
      <c r="CO140" t="e">
        <f>AND('UP133'!HB102,"AAAAAHNfslw=")</f>
        <v>#VALUE!</v>
      </c>
      <c r="CP140" t="e">
        <f>AND('UP133'!HC102,"AAAAAHNfsl0=")</f>
        <v>#VALUE!</v>
      </c>
      <c r="CQ140" t="e">
        <f>AND('UP133'!HD102,"AAAAAHNfsl4=")</f>
        <v>#VALUE!</v>
      </c>
      <c r="CR140" t="e">
        <f>AND('UP133'!HE102,"AAAAAHNfsl8=")</f>
        <v>#VALUE!</v>
      </c>
      <c r="CS140" t="e">
        <f>AND('UP133'!HF102,"AAAAAHNfsmA=")</f>
        <v>#VALUE!</v>
      </c>
      <c r="CT140" t="e">
        <f>AND('UP133'!HG102,"AAAAAHNfsmE=")</f>
        <v>#VALUE!</v>
      </c>
      <c r="CU140" t="e">
        <f>AND('UP133'!HH102,"AAAAAHNfsmI=")</f>
        <v>#VALUE!</v>
      </c>
      <c r="CV140" t="e">
        <f>AND('UP133'!HI102,"AAAAAHNfsmM=")</f>
        <v>#VALUE!</v>
      </c>
      <c r="CW140" t="e">
        <f>AND('UP133'!HJ102,"AAAAAHNfsmQ=")</f>
        <v>#VALUE!</v>
      </c>
      <c r="CX140" t="e">
        <f>AND('UP133'!HK102,"AAAAAHNfsmU=")</f>
        <v>#VALUE!</v>
      </c>
      <c r="CY140" t="e">
        <f>AND('UP133'!HL102,"AAAAAHNfsmY=")</f>
        <v>#VALUE!</v>
      </c>
      <c r="CZ140" t="e">
        <f>AND('UP133'!HM102,"AAAAAHNfsmc=")</f>
        <v>#VALUE!</v>
      </c>
      <c r="DA140" t="e">
        <f>AND('UP133'!HN102,"AAAAAHNfsmg=")</f>
        <v>#VALUE!</v>
      </c>
      <c r="DB140" t="e">
        <f>AND('UP133'!HO102,"AAAAAHNfsmk=")</f>
        <v>#VALUE!</v>
      </c>
      <c r="DC140" t="e">
        <f>AND('UP133'!HP102,"AAAAAHNfsmo=")</f>
        <v>#VALUE!</v>
      </c>
      <c r="DD140" t="e">
        <f>AND('UP133'!HQ102,"AAAAAHNfsms=")</f>
        <v>#VALUE!</v>
      </c>
      <c r="DE140" t="e">
        <f>AND('UP133'!HR102,"AAAAAHNfsmw=")</f>
        <v>#VALUE!</v>
      </c>
      <c r="DF140" t="e">
        <f>AND('UP133'!HS102,"AAAAAHNfsm0=")</f>
        <v>#VALUE!</v>
      </c>
      <c r="DG140" t="e">
        <f>AND('UP133'!HT102,"AAAAAHNfsm4=")</f>
        <v>#VALUE!</v>
      </c>
      <c r="DH140" t="e">
        <f>AND('UP133'!HU102,"AAAAAHNfsm8=")</f>
        <v>#VALUE!</v>
      </c>
      <c r="DI140" t="e">
        <f>AND('UP133'!HV102,"AAAAAHNfsnA=")</f>
        <v>#VALUE!</v>
      </c>
      <c r="DJ140" t="e">
        <f>AND('UP133'!HW102,"AAAAAHNfsnE=")</f>
        <v>#VALUE!</v>
      </c>
      <c r="DK140" t="e">
        <f>AND('UP133'!HX102,"AAAAAHNfsnI=")</f>
        <v>#VALUE!</v>
      </c>
      <c r="DL140" t="e">
        <f>AND('UP133'!HY102,"AAAAAHNfsnM=")</f>
        <v>#VALUE!</v>
      </c>
      <c r="DM140" t="e">
        <f>AND('UP133'!HZ102,"AAAAAHNfsnQ=")</f>
        <v>#VALUE!</v>
      </c>
      <c r="DN140" t="e">
        <f>AND('UP133'!IA102,"AAAAAHNfsnU=")</f>
        <v>#VALUE!</v>
      </c>
      <c r="DO140" t="e">
        <f>AND('UP133'!IB102,"AAAAAHNfsnY=")</f>
        <v>#VALUE!</v>
      </c>
      <c r="DP140" t="e">
        <f>AND('UP133'!IC102,"AAAAAHNfsnc=")</f>
        <v>#VALUE!</v>
      </c>
      <c r="DQ140" t="e">
        <f>AND('UP133'!ID102,"AAAAAHNfsng=")</f>
        <v>#VALUE!</v>
      </c>
      <c r="DR140" t="e">
        <f>AND('UP133'!IE102,"AAAAAHNfsnk=")</f>
        <v>#VALUE!</v>
      </c>
      <c r="DS140" t="e">
        <f>AND('UP133'!IF102,"AAAAAHNfsno=")</f>
        <v>#VALUE!</v>
      </c>
      <c r="DT140" t="e">
        <f>AND('UP133'!IG102,"AAAAAHNfsns=")</f>
        <v>#VALUE!</v>
      </c>
      <c r="DU140" t="e">
        <f>AND('UP133'!IH102,"AAAAAHNfsnw=")</f>
        <v>#VALUE!</v>
      </c>
      <c r="DV140" t="e">
        <f>AND('UP133'!II102,"AAAAAHNfsn0=")</f>
        <v>#VALUE!</v>
      </c>
      <c r="DW140" t="e">
        <f>AND('UP133'!IJ102,"AAAAAHNfsn4=")</f>
        <v>#VALUE!</v>
      </c>
      <c r="DX140" t="e">
        <f>AND('UP133'!IK102,"AAAAAHNfsn8=")</f>
        <v>#VALUE!</v>
      </c>
      <c r="DY140" t="e">
        <f>AND('UP133'!IL102,"AAAAAHNfsoA=")</f>
        <v>#VALUE!</v>
      </c>
      <c r="DZ140" t="e">
        <f>AND('UP133'!IM102,"AAAAAHNfsoE=")</f>
        <v>#VALUE!</v>
      </c>
      <c r="EA140" t="e">
        <f>AND('UP133'!IN102,"AAAAAHNfsoI=")</f>
        <v>#VALUE!</v>
      </c>
      <c r="EB140" t="e">
        <f>AND('UP133'!IO102,"AAAAAHNfsoM=")</f>
        <v>#VALUE!</v>
      </c>
      <c r="EC140" t="e">
        <f>AND('UP133'!IP102,"AAAAAHNfsoQ=")</f>
        <v>#VALUE!</v>
      </c>
      <c r="ED140" t="e">
        <f>AND('UP133'!IQ102,"AAAAAHNfsoU=")</f>
        <v>#VALUE!</v>
      </c>
      <c r="EE140">
        <f>IF('UP133'!103:103,"AAAAAHNfsoY=",0)</f>
        <v>0</v>
      </c>
      <c r="EF140" t="e">
        <f>AND('UP133'!A103,"AAAAAHNfsoc=")</f>
        <v>#VALUE!</v>
      </c>
      <c r="EG140" t="e">
        <f>AND('UP133'!B103,"AAAAAHNfsog=")</f>
        <v>#VALUE!</v>
      </c>
      <c r="EH140" t="e">
        <f>AND('UP133'!C103,"AAAAAHNfsok=")</f>
        <v>#VALUE!</v>
      </c>
      <c r="EI140" t="e">
        <f>AND('UP133'!D103,"AAAAAHNfsoo=")</f>
        <v>#VALUE!</v>
      </c>
      <c r="EJ140" t="e">
        <f>AND('UP133'!E103,"AAAAAHNfsos=")</f>
        <v>#VALUE!</v>
      </c>
      <c r="EK140" t="e">
        <f>AND('UP133'!F103,"AAAAAHNfsow=")</f>
        <v>#VALUE!</v>
      </c>
      <c r="EL140" t="e">
        <f>AND('UP133'!G103,"AAAAAHNfso0=")</f>
        <v>#VALUE!</v>
      </c>
      <c r="EM140" t="e">
        <f>AND('UP133'!H103,"AAAAAHNfso4=")</f>
        <v>#VALUE!</v>
      </c>
      <c r="EN140" t="e">
        <f>AND('UP133'!I103,"AAAAAHNfso8=")</f>
        <v>#VALUE!</v>
      </c>
      <c r="EO140" t="e">
        <f>AND('UP133'!J103,"AAAAAHNfspA=")</f>
        <v>#VALUE!</v>
      </c>
      <c r="EP140" t="e">
        <f>AND('UP133'!K103,"AAAAAHNfspE=")</f>
        <v>#VALUE!</v>
      </c>
      <c r="EQ140" t="e">
        <f>AND('UP133'!L103,"AAAAAHNfspI=")</f>
        <v>#VALUE!</v>
      </c>
      <c r="ER140" t="e">
        <f>AND('UP133'!M103,"AAAAAHNfspM=")</f>
        <v>#VALUE!</v>
      </c>
      <c r="ES140" t="e">
        <f>AND('UP133'!N103,"AAAAAHNfspQ=")</f>
        <v>#VALUE!</v>
      </c>
      <c r="ET140" t="e">
        <f>AND('UP133'!O103,"AAAAAHNfspU=")</f>
        <v>#VALUE!</v>
      </c>
      <c r="EU140" t="e">
        <f>AND('UP133'!P103,"AAAAAHNfspY=")</f>
        <v>#VALUE!</v>
      </c>
      <c r="EV140" t="e">
        <f>AND('UP133'!Q103,"AAAAAHNfspc=")</f>
        <v>#VALUE!</v>
      </c>
      <c r="EW140" t="e">
        <f>AND('UP133'!R103,"AAAAAHNfspg=")</f>
        <v>#VALUE!</v>
      </c>
      <c r="EX140" t="e">
        <f>AND('UP133'!S103,"AAAAAHNfspk=")</f>
        <v>#VALUE!</v>
      </c>
      <c r="EY140" t="e">
        <f>AND('UP133'!T103,"AAAAAHNfspo=")</f>
        <v>#VALUE!</v>
      </c>
      <c r="EZ140" t="e">
        <f>AND('UP133'!U103,"AAAAAHNfsps=")</f>
        <v>#VALUE!</v>
      </c>
      <c r="FA140" t="e">
        <f>AND('UP133'!V103,"AAAAAHNfspw=")</f>
        <v>#VALUE!</v>
      </c>
      <c r="FB140" t="e">
        <f>AND('UP133'!W103,"AAAAAHNfsp0=")</f>
        <v>#VALUE!</v>
      </c>
      <c r="FC140" t="e">
        <f>AND('UP133'!X103,"AAAAAHNfsp4=")</f>
        <v>#VALUE!</v>
      </c>
      <c r="FD140" t="e">
        <f>AND('UP133'!Y103,"AAAAAHNfsp8=")</f>
        <v>#VALUE!</v>
      </c>
      <c r="FE140" t="e">
        <f>AND('UP133'!Z103,"AAAAAHNfsqA=")</f>
        <v>#VALUE!</v>
      </c>
      <c r="FF140" t="e">
        <f>AND('UP133'!AA103,"AAAAAHNfsqE=")</f>
        <v>#VALUE!</v>
      </c>
      <c r="FG140" t="e">
        <f>AND('UP133'!AB103,"AAAAAHNfsqI=")</f>
        <v>#VALUE!</v>
      </c>
      <c r="FH140" t="e">
        <f>AND('UP133'!AC103,"AAAAAHNfsqM=")</f>
        <v>#VALUE!</v>
      </c>
      <c r="FI140" t="e">
        <f>AND('UP133'!AD103,"AAAAAHNfsqQ=")</f>
        <v>#VALUE!</v>
      </c>
      <c r="FJ140" t="e">
        <f>AND('UP133'!AE103,"AAAAAHNfsqU=")</f>
        <v>#VALUE!</v>
      </c>
      <c r="FK140" t="e">
        <f>AND('UP133'!AF103,"AAAAAHNfsqY=")</f>
        <v>#VALUE!</v>
      </c>
      <c r="FL140" t="e">
        <f>AND('UP133'!AG103,"AAAAAHNfsqc=")</f>
        <v>#VALUE!</v>
      </c>
      <c r="FM140" t="e">
        <f>AND('UP133'!AH103,"AAAAAHNfsqg=")</f>
        <v>#VALUE!</v>
      </c>
      <c r="FN140" t="e">
        <f>AND('UP133'!AI103,"AAAAAHNfsqk=")</f>
        <v>#VALUE!</v>
      </c>
      <c r="FO140" t="e">
        <f>AND('UP133'!AJ103,"AAAAAHNfsqo=")</f>
        <v>#VALUE!</v>
      </c>
      <c r="FP140" t="e">
        <f>AND('UP133'!AK103,"AAAAAHNfsqs=")</f>
        <v>#VALUE!</v>
      </c>
      <c r="FQ140" t="e">
        <f>AND('UP133'!AL103,"AAAAAHNfsqw=")</f>
        <v>#VALUE!</v>
      </c>
      <c r="FR140" t="e">
        <f>AND('UP133'!AM103,"AAAAAHNfsq0=")</f>
        <v>#VALUE!</v>
      </c>
      <c r="FS140" t="e">
        <f>AND('UP133'!AN103,"AAAAAHNfsq4=")</f>
        <v>#VALUE!</v>
      </c>
      <c r="FT140" t="e">
        <f>AND('UP133'!AO103,"AAAAAHNfsq8=")</f>
        <v>#VALUE!</v>
      </c>
      <c r="FU140" t="e">
        <f>AND('UP133'!AP103,"AAAAAHNfsrA=")</f>
        <v>#VALUE!</v>
      </c>
      <c r="FV140" t="e">
        <f>AND('UP133'!AQ103,"AAAAAHNfsrE=")</f>
        <v>#VALUE!</v>
      </c>
      <c r="FW140" t="e">
        <f>AND('UP133'!AR103,"AAAAAHNfsrI=")</f>
        <v>#VALUE!</v>
      </c>
      <c r="FX140" t="e">
        <f>AND('UP133'!AS103,"AAAAAHNfsrM=")</f>
        <v>#VALUE!</v>
      </c>
      <c r="FY140" t="e">
        <f>AND('UP133'!AT103,"AAAAAHNfsrQ=")</f>
        <v>#VALUE!</v>
      </c>
      <c r="FZ140" t="e">
        <f>AND('UP133'!AU103,"AAAAAHNfsrU=")</f>
        <v>#VALUE!</v>
      </c>
      <c r="GA140" t="e">
        <f>AND('UP133'!AV103,"AAAAAHNfsrY=")</f>
        <v>#VALUE!</v>
      </c>
      <c r="GB140" t="e">
        <f>AND('UP133'!AW103,"AAAAAHNfsrc=")</f>
        <v>#VALUE!</v>
      </c>
      <c r="GC140" t="e">
        <f>AND('UP133'!AX103,"AAAAAHNfsrg=")</f>
        <v>#VALUE!</v>
      </c>
      <c r="GD140" t="e">
        <f>AND('UP133'!AY103,"AAAAAHNfsrk=")</f>
        <v>#VALUE!</v>
      </c>
      <c r="GE140" t="e">
        <f>AND('UP133'!AZ103,"AAAAAHNfsro=")</f>
        <v>#VALUE!</v>
      </c>
      <c r="GF140" t="e">
        <f>AND('UP133'!BA103,"AAAAAHNfsrs=")</f>
        <v>#VALUE!</v>
      </c>
      <c r="GG140" t="e">
        <f>AND('UP133'!BB103,"AAAAAHNfsrw=")</f>
        <v>#VALUE!</v>
      </c>
      <c r="GH140" t="e">
        <f>AND('UP133'!BC103,"AAAAAHNfsr0=")</f>
        <v>#VALUE!</v>
      </c>
      <c r="GI140" t="e">
        <f>AND('UP133'!BD103,"AAAAAHNfsr4=")</f>
        <v>#VALUE!</v>
      </c>
      <c r="GJ140" t="e">
        <f>AND('UP133'!BE103,"AAAAAHNfsr8=")</f>
        <v>#VALUE!</v>
      </c>
      <c r="GK140" t="e">
        <f>AND('UP133'!BF103,"AAAAAHNfssA=")</f>
        <v>#VALUE!</v>
      </c>
      <c r="GL140" t="e">
        <f>AND('UP133'!BG103,"AAAAAHNfssE=")</f>
        <v>#VALUE!</v>
      </c>
      <c r="GM140" t="e">
        <f>AND('UP133'!BH103,"AAAAAHNfssI=")</f>
        <v>#VALUE!</v>
      </c>
      <c r="GN140" t="e">
        <f>AND('UP133'!BI103,"AAAAAHNfssM=")</f>
        <v>#VALUE!</v>
      </c>
      <c r="GO140" t="e">
        <f>AND('UP133'!BJ103,"AAAAAHNfssQ=")</f>
        <v>#VALUE!</v>
      </c>
      <c r="GP140" t="e">
        <f>AND('UP133'!BK103,"AAAAAHNfssU=")</f>
        <v>#VALUE!</v>
      </c>
      <c r="GQ140" t="e">
        <f>AND('UP133'!BL103,"AAAAAHNfssY=")</f>
        <v>#VALUE!</v>
      </c>
      <c r="GR140" t="e">
        <f>AND('UP133'!BM103,"AAAAAHNfssc=")</f>
        <v>#VALUE!</v>
      </c>
      <c r="GS140" t="e">
        <f>AND('UP133'!BN103,"AAAAAHNfssg=")</f>
        <v>#VALUE!</v>
      </c>
      <c r="GT140" t="e">
        <f>AND('UP133'!BO103,"AAAAAHNfssk=")</f>
        <v>#VALUE!</v>
      </c>
      <c r="GU140" t="e">
        <f>AND('UP133'!BP103,"AAAAAHNfsso=")</f>
        <v>#VALUE!</v>
      </c>
      <c r="GV140" t="e">
        <f>AND('UP133'!BQ103,"AAAAAHNfsss=")</f>
        <v>#VALUE!</v>
      </c>
      <c r="GW140" t="e">
        <f>AND('UP133'!BR103,"AAAAAHNfssw=")</f>
        <v>#VALUE!</v>
      </c>
      <c r="GX140" t="e">
        <f>AND('UP133'!BS103,"AAAAAHNfss0=")</f>
        <v>#VALUE!</v>
      </c>
      <c r="GY140" t="e">
        <f>AND('UP133'!BT103,"AAAAAHNfss4=")</f>
        <v>#VALUE!</v>
      </c>
      <c r="GZ140" t="e">
        <f>AND('UP133'!BU103,"AAAAAHNfss8=")</f>
        <v>#VALUE!</v>
      </c>
      <c r="HA140" t="e">
        <f>AND('UP133'!BV103,"AAAAAHNfstA=")</f>
        <v>#VALUE!</v>
      </c>
      <c r="HB140" t="e">
        <f>AND('UP133'!BW103,"AAAAAHNfstE=")</f>
        <v>#VALUE!</v>
      </c>
      <c r="HC140" t="e">
        <f>AND('UP133'!BX103,"AAAAAHNfstI=")</f>
        <v>#VALUE!</v>
      </c>
      <c r="HD140" t="e">
        <f>AND('UP133'!BY103,"AAAAAHNfstM=")</f>
        <v>#VALUE!</v>
      </c>
      <c r="HE140" t="e">
        <f>AND('UP133'!BZ103,"AAAAAHNfstQ=")</f>
        <v>#VALUE!</v>
      </c>
      <c r="HF140" t="e">
        <f>AND('UP133'!CA103,"AAAAAHNfstU=")</f>
        <v>#VALUE!</v>
      </c>
      <c r="HG140" t="e">
        <f>AND('UP133'!CB103,"AAAAAHNfstY=")</f>
        <v>#VALUE!</v>
      </c>
      <c r="HH140" t="e">
        <f>AND('UP133'!CC103,"AAAAAHNfstc=")</f>
        <v>#VALUE!</v>
      </c>
      <c r="HI140" t="e">
        <f>AND('UP133'!CD103,"AAAAAHNfstg=")</f>
        <v>#VALUE!</v>
      </c>
      <c r="HJ140" t="e">
        <f>AND('UP133'!CE103,"AAAAAHNfstk=")</f>
        <v>#VALUE!</v>
      </c>
      <c r="HK140" t="e">
        <f>AND('UP133'!CF103,"AAAAAHNfsto=")</f>
        <v>#VALUE!</v>
      </c>
      <c r="HL140" t="e">
        <f>AND('UP133'!CG103,"AAAAAHNfsts=")</f>
        <v>#VALUE!</v>
      </c>
      <c r="HM140" t="e">
        <f>AND('UP133'!CH103,"AAAAAHNfstw=")</f>
        <v>#VALUE!</v>
      </c>
      <c r="HN140" t="e">
        <f>AND('UP133'!CI103,"AAAAAHNfst0=")</f>
        <v>#VALUE!</v>
      </c>
      <c r="HO140" t="e">
        <f>AND('UP133'!CJ103,"AAAAAHNfst4=")</f>
        <v>#VALUE!</v>
      </c>
      <c r="HP140" t="e">
        <f>AND('UP133'!CK103,"AAAAAHNfst8=")</f>
        <v>#VALUE!</v>
      </c>
      <c r="HQ140" t="e">
        <f>AND('UP133'!CL103,"AAAAAHNfsuA=")</f>
        <v>#VALUE!</v>
      </c>
      <c r="HR140" t="e">
        <f>AND('UP133'!CM103,"AAAAAHNfsuE=")</f>
        <v>#VALUE!</v>
      </c>
      <c r="HS140" t="e">
        <f>AND('UP133'!CN103,"AAAAAHNfsuI=")</f>
        <v>#VALUE!</v>
      </c>
      <c r="HT140" t="e">
        <f>AND('UP133'!CO103,"AAAAAHNfsuM=")</f>
        <v>#VALUE!</v>
      </c>
      <c r="HU140" t="e">
        <f>AND('UP133'!CP103,"AAAAAHNfsuQ=")</f>
        <v>#VALUE!</v>
      </c>
      <c r="HV140" t="e">
        <f>AND('UP133'!CQ103,"AAAAAHNfsuU=")</f>
        <v>#VALUE!</v>
      </c>
      <c r="HW140" t="e">
        <f>AND('UP133'!CR103,"AAAAAHNfsuY=")</f>
        <v>#VALUE!</v>
      </c>
      <c r="HX140" t="e">
        <f>AND('UP133'!CS103,"AAAAAHNfsuc=")</f>
        <v>#VALUE!</v>
      </c>
      <c r="HY140" t="e">
        <f>AND('UP133'!CT103,"AAAAAHNfsug=")</f>
        <v>#VALUE!</v>
      </c>
      <c r="HZ140" t="e">
        <f>AND('UP133'!CU103,"AAAAAHNfsuk=")</f>
        <v>#VALUE!</v>
      </c>
      <c r="IA140" t="e">
        <f>AND('UP133'!CV103,"AAAAAHNfsuo=")</f>
        <v>#VALUE!</v>
      </c>
      <c r="IB140" t="e">
        <f>AND('UP133'!CW103,"AAAAAHNfsus=")</f>
        <v>#VALUE!</v>
      </c>
      <c r="IC140" t="e">
        <f>AND('UP133'!CX103,"AAAAAHNfsuw=")</f>
        <v>#VALUE!</v>
      </c>
      <c r="ID140" t="e">
        <f>AND('UP133'!CY103,"AAAAAHNfsu0=")</f>
        <v>#VALUE!</v>
      </c>
      <c r="IE140" t="e">
        <f>AND('UP133'!CZ103,"AAAAAHNfsu4=")</f>
        <v>#VALUE!</v>
      </c>
      <c r="IF140" t="e">
        <f>AND('UP133'!DA103,"AAAAAHNfsu8=")</f>
        <v>#VALUE!</v>
      </c>
      <c r="IG140" t="e">
        <f>AND('UP133'!DB103,"AAAAAHNfsvA=")</f>
        <v>#VALUE!</v>
      </c>
      <c r="IH140" t="e">
        <f>AND('UP133'!DC103,"AAAAAHNfsvE=")</f>
        <v>#VALUE!</v>
      </c>
      <c r="II140" t="e">
        <f>AND('UP133'!DD103,"AAAAAHNfsvI=")</f>
        <v>#VALUE!</v>
      </c>
      <c r="IJ140" t="e">
        <f>AND('UP133'!DE103,"AAAAAHNfsvM=")</f>
        <v>#VALUE!</v>
      </c>
      <c r="IK140" t="e">
        <f>AND('UP133'!DF103,"AAAAAHNfsvQ=")</f>
        <v>#VALUE!</v>
      </c>
      <c r="IL140" t="e">
        <f>AND('UP133'!DG103,"AAAAAHNfsvU=")</f>
        <v>#VALUE!</v>
      </c>
      <c r="IM140" t="e">
        <f>AND('UP133'!DH103,"AAAAAHNfsvY=")</f>
        <v>#VALUE!</v>
      </c>
      <c r="IN140" t="e">
        <f>AND('UP133'!DI103,"AAAAAHNfsvc=")</f>
        <v>#VALUE!</v>
      </c>
      <c r="IO140" t="e">
        <f>AND('UP133'!DJ103,"AAAAAHNfsvg=")</f>
        <v>#VALUE!</v>
      </c>
      <c r="IP140" t="e">
        <f>AND('UP133'!DK103,"AAAAAHNfsvk=")</f>
        <v>#VALUE!</v>
      </c>
      <c r="IQ140" t="e">
        <f>AND('UP133'!DL103,"AAAAAHNfsvo=")</f>
        <v>#VALUE!</v>
      </c>
      <c r="IR140" t="e">
        <f>AND('UP133'!DM103,"AAAAAHNfsvs=")</f>
        <v>#VALUE!</v>
      </c>
      <c r="IS140" t="e">
        <f>AND('UP133'!DN103,"AAAAAHNfsvw=")</f>
        <v>#VALUE!</v>
      </c>
      <c r="IT140" t="e">
        <f>AND('UP133'!DO103,"AAAAAHNfsv0=")</f>
        <v>#VALUE!</v>
      </c>
      <c r="IU140" t="e">
        <f>AND('UP133'!DP103,"AAAAAHNfsv4=")</f>
        <v>#VALUE!</v>
      </c>
      <c r="IV140" t="e">
        <f>AND('UP133'!DQ103,"AAAAAHNfsv8=")</f>
        <v>#VALUE!</v>
      </c>
    </row>
    <row r="141" spans="1:256">
      <c r="A141" t="e">
        <f>AND('UP133'!DR103,"AAAAAG/DcQA=")</f>
        <v>#VALUE!</v>
      </c>
      <c r="B141" t="e">
        <f>AND('UP133'!DS103,"AAAAAG/DcQE=")</f>
        <v>#VALUE!</v>
      </c>
      <c r="C141" t="e">
        <f>AND('UP133'!DT103,"AAAAAG/DcQI=")</f>
        <v>#VALUE!</v>
      </c>
      <c r="D141" t="e">
        <f>AND('UP133'!DU103,"AAAAAG/DcQM=")</f>
        <v>#VALUE!</v>
      </c>
      <c r="E141" t="e">
        <f>AND('UP133'!DV103,"AAAAAG/DcQQ=")</f>
        <v>#VALUE!</v>
      </c>
      <c r="F141" t="e">
        <f>AND('UP133'!DW103,"AAAAAG/DcQU=")</f>
        <v>#VALUE!</v>
      </c>
      <c r="G141" t="e">
        <f>AND('UP133'!DX103,"AAAAAG/DcQY=")</f>
        <v>#VALUE!</v>
      </c>
      <c r="H141" t="e">
        <f>AND('UP133'!DY103,"AAAAAG/DcQc=")</f>
        <v>#VALUE!</v>
      </c>
      <c r="I141" t="e">
        <f>AND('UP133'!DZ103,"AAAAAG/DcQg=")</f>
        <v>#VALUE!</v>
      </c>
      <c r="J141" t="e">
        <f>AND('UP133'!EA103,"AAAAAG/DcQk=")</f>
        <v>#VALUE!</v>
      </c>
      <c r="K141" t="e">
        <f>AND('UP133'!EB103,"AAAAAG/DcQo=")</f>
        <v>#VALUE!</v>
      </c>
      <c r="L141" t="e">
        <f>AND('UP133'!EC103,"AAAAAG/DcQs=")</f>
        <v>#VALUE!</v>
      </c>
      <c r="M141" t="e">
        <f>AND('UP133'!ED103,"AAAAAG/DcQw=")</f>
        <v>#VALUE!</v>
      </c>
      <c r="N141" t="e">
        <f>AND('UP133'!EE103,"AAAAAG/DcQ0=")</f>
        <v>#VALUE!</v>
      </c>
      <c r="O141" t="e">
        <f>AND('UP133'!EF103,"AAAAAG/DcQ4=")</f>
        <v>#VALUE!</v>
      </c>
      <c r="P141" t="e">
        <f>AND('UP133'!EG103,"AAAAAG/DcQ8=")</f>
        <v>#VALUE!</v>
      </c>
      <c r="Q141" t="e">
        <f>AND('UP133'!EH103,"AAAAAG/DcRA=")</f>
        <v>#VALUE!</v>
      </c>
      <c r="R141" t="e">
        <f>AND('UP133'!EI103,"AAAAAG/DcRE=")</f>
        <v>#VALUE!</v>
      </c>
      <c r="S141" t="e">
        <f>AND('UP133'!EJ103,"AAAAAG/DcRI=")</f>
        <v>#VALUE!</v>
      </c>
      <c r="T141" t="e">
        <f>AND('UP133'!EK103,"AAAAAG/DcRM=")</f>
        <v>#VALUE!</v>
      </c>
      <c r="U141" t="e">
        <f>AND('UP133'!EL103,"AAAAAG/DcRQ=")</f>
        <v>#VALUE!</v>
      </c>
      <c r="V141" t="e">
        <f>AND('UP133'!EM103,"AAAAAG/DcRU=")</f>
        <v>#VALUE!</v>
      </c>
      <c r="W141" t="e">
        <f>AND('UP133'!EN103,"AAAAAG/DcRY=")</f>
        <v>#VALUE!</v>
      </c>
      <c r="X141" t="e">
        <f>AND('UP133'!EO103,"AAAAAG/DcRc=")</f>
        <v>#VALUE!</v>
      </c>
      <c r="Y141" t="e">
        <f>AND('UP133'!EP103,"AAAAAG/DcRg=")</f>
        <v>#VALUE!</v>
      </c>
      <c r="Z141" t="e">
        <f>AND('UP133'!EQ103,"AAAAAG/DcRk=")</f>
        <v>#VALUE!</v>
      </c>
      <c r="AA141" t="e">
        <f>AND('UP133'!ER103,"AAAAAG/DcRo=")</f>
        <v>#VALUE!</v>
      </c>
      <c r="AB141" t="e">
        <f>AND('UP133'!ES103,"AAAAAG/DcRs=")</f>
        <v>#VALUE!</v>
      </c>
      <c r="AC141" t="e">
        <f>AND('UP133'!ET103,"AAAAAG/DcRw=")</f>
        <v>#VALUE!</v>
      </c>
      <c r="AD141" t="e">
        <f>AND('UP133'!EU103,"AAAAAG/DcR0=")</f>
        <v>#VALUE!</v>
      </c>
      <c r="AE141" t="e">
        <f>AND('UP133'!EV103,"AAAAAG/DcR4=")</f>
        <v>#VALUE!</v>
      </c>
      <c r="AF141" t="e">
        <f>AND('UP133'!EW103,"AAAAAG/DcR8=")</f>
        <v>#VALUE!</v>
      </c>
      <c r="AG141" t="e">
        <f>AND('UP133'!EX103,"AAAAAG/DcSA=")</f>
        <v>#VALUE!</v>
      </c>
      <c r="AH141" t="e">
        <f>AND('UP133'!EY103,"AAAAAG/DcSE=")</f>
        <v>#VALUE!</v>
      </c>
      <c r="AI141" t="e">
        <f>AND('UP133'!EZ103,"AAAAAG/DcSI=")</f>
        <v>#VALUE!</v>
      </c>
      <c r="AJ141" t="e">
        <f>AND('UP133'!FA103,"AAAAAG/DcSM=")</f>
        <v>#VALUE!</v>
      </c>
      <c r="AK141" t="e">
        <f>AND('UP133'!FB103,"AAAAAG/DcSQ=")</f>
        <v>#VALUE!</v>
      </c>
      <c r="AL141" t="e">
        <f>AND('UP133'!FC103,"AAAAAG/DcSU=")</f>
        <v>#VALUE!</v>
      </c>
      <c r="AM141" t="e">
        <f>AND('UP133'!FD103,"AAAAAG/DcSY=")</f>
        <v>#VALUE!</v>
      </c>
      <c r="AN141" t="e">
        <f>AND('UP133'!FE103,"AAAAAG/DcSc=")</f>
        <v>#VALUE!</v>
      </c>
      <c r="AO141" t="e">
        <f>AND('UP133'!FF103,"AAAAAG/DcSg=")</f>
        <v>#VALUE!</v>
      </c>
      <c r="AP141" t="e">
        <f>AND('UP133'!FG103,"AAAAAG/DcSk=")</f>
        <v>#VALUE!</v>
      </c>
      <c r="AQ141" t="e">
        <f>AND('UP133'!FH103,"AAAAAG/DcSo=")</f>
        <v>#VALUE!</v>
      </c>
      <c r="AR141" t="e">
        <f>AND('UP133'!FI103,"AAAAAG/DcSs=")</f>
        <v>#VALUE!</v>
      </c>
      <c r="AS141" t="e">
        <f>AND('UP133'!FJ103,"AAAAAG/DcSw=")</f>
        <v>#VALUE!</v>
      </c>
      <c r="AT141" t="e">
        <f>AND('UP133'!FK103,"AAAAAG/DcS0=")</f>
        <v>#VALUE!</v>
      </c>
      <c r="AU141" t="e">
        <f>AND('UP133'!FL103,"AAAAAG/DcS4=")</f>
        <v>#VALUE!</v>
      </c>
      <c r="AV141" t="e">
        <f>AND('UP133'!FM103,"AAAAAG/DcS8=")</f>
        <v>#VALUE!</v>
      </c>
      <c r="AW141" t="e">
        <f>AND('UP133'!FN103,"AAAAAG/DcTA=")</f>
        <v>#VALUE!</v>
      </c>
      <c r="AX141" t="e">
        <f>AND('UP133'!FO103,"AAAAAG/DcTE=")</f>
        <v>#VALUE!</v>
      </c>
      <c r="AY141" t="e">
        <f>AND('UP133'!FP103,"AAAAAG/DcTI=")</f>
        <v>#VALUE!</v>
      </c>
      <c r="AZ141" t="e">
        <f>AND('UP133'!FQ103,"AAAAAG/DcTM=")</f>
        <v>#VALUE!</v>
      </c>
      <c r="BA141" t="e">
        <f>AND('UP133'!FR103,"AAAAAG/DcTQ=")</f>
        <v>#VALUE!</v>
      </c>
      <c r="BB141" t="e">
        <f>AND('UP133'!FS103,"AAAAAG/DcTU=")</f>
        <v>#VALUE!</v>
      </c>
      <c r="BC141" t="e">
        <f>AND('UP133'!FT103,"AAAAAG/DcTY=")</f>
        <v>#VALUE!</v>
      </c>
      <c r="BD141" t="e">
        <f>AND('UP133'!FU103,"AAAAAG/DcTc=")</f>
        <v>#VALUE!</v>
      </c>
      <c r="BE141" t="e">
        <f>AND('UP133'!FV103,"AAAAAG/DcTg=")</f>
        <v>#VALUE!</v>
      </c>
      <c r="BF141" t="e">
        <f>AND('UP133'!FW103,"AAAAAG/DcTk=")</f>
        <v>#VALUE!</v>
      </c>
      <c r="BG141" t="e">
        <f>AND('UP133'!FX103,"AAAAAG/DcTo=")</f>
        <v>#VALUE!</v>
      </c>
      <c r="BH141" t="e">
        <f>AND('UP133'!FY103,"AAAAAG/DcTs=")</f>
        <v>#VALUE!</v>
      </c>
      <c r="BI141" t="e">
        <f>AND('UP133'!FZ103,"AAAAAG/DcTw=")</f>
        <v>#VALUE!</v>
      </c>
      <c r="BJ141" t="e">
        <f>AND('UP133'!GA103,"AAAAAG/DcT0=")</f>
        <v>#VALUE!</v>
      </c>
      <c r="BK141" t="e">
        <f>AND('UP133'!GB103,"AAAAAG/DcT4=")</f>
        <v>#VALUE!</v>
      </c>
      <c r="BL141" t="e">
        <f>AND('UP133'!GC103,"AAAAAG/DcT8=")</f>
        <v>#VALUE!</v>
      </c>
      <c r="BM141" t="e">
        <f>AND('UP133'!GD103,"AAAAAG/DcUA=")</f>
        <v>#VALUE!</v>
      </c>
      <c r="BN141" t="e">
        <f>AND('UP133'!GE103,"AAAAAG/DcUE=")</f>
        <v>#VALUE!</v>
      </c>
      <c r="BO141" t="e">
        <f>AND('UP133'!GF103,"AAAAAG/DcUI=")</f>
        <v>#VALUE!</v>
      </c>
      <c r="BP141" t="e">
        <f>AND('UP133'!GG103,"AAAAAG/DcUM=")</f>
        <v>#VALUE!</v>
      </c>
      <c r="BQ141" t="e">
        <f>AND('UP133'!GH103,"AAAAAG/DcUQ=")</f>
        <v>#VALUE!</v>
      </c>
      <c r="BR141" t="e">
        <f>AND('UP133'!GI103,"AAAAAG/DcUU=")</f>
        <v>#VALUE!</v>
      </c>
      <c r="BS141" t="e">
        <f>AND('UP133'!GJ103,"AAAAAG/DcUY=")</f>
        <v>#VALUE!</v>
      </c>
      <c r="BT141" t="e">
        <f>AND('UP133'!GK103,"AAAAAG/DcUc=")</f>
        <v>#VALUE!</v>
      </c>
      <c r="BU141" t="e">
        <f>AND('UP133'!GL103,"AAAAAG/DcUg=")</f>
        <v>#VALUE!</v>
      </c>
      <c r="BV141" t="e">
        <f>AND('UP133'!GM103,"AAAAAG/DcUk=")</f>
        <v>#VALUE!</v>
      </c>
      <c r="BW141" t="e">
        <f>AND('UP133'!GN103,"AAAAAG/DcUo=")</f>
        <v>#VALUE!</v>
      </c>
      <c r="BX141" t="e">
        <f>AND('UP133'!GO103,"AAAAAG/DcUs=")</f>
        <v>#VALUE!</v>
      </c>
      <c r="BY141" t="e">
        <f>AND('UP133'!GP103,"AAAAAG/DcUw=")</f>
        <v>#VALUE!</v>
      </c>
      <c r="BZ141" t="e">
        <f>AND('UP133'!GQ103,"AAAAAG/DcU0=")</f>
        <v>#VALUE!</v>
      </c>
      <c r="CA141" t="e">
        <f>AND('UP133'!GR103,"AAAAAG/DcU4=")</f>
        <v>#VALUE!</v>
      </c>
      <c r="CB141" t="e">
        <f>AND('UP133'!GS103,"AAAAAG/DcU8=")</f>
        <v>#VALUE!</v>
      </c>
      <c r="CC141" t="e">
        <f>AND('UP133'!GT103,"AAAAAG/DcVA=")</f>
        <v>#VALUE!</v>
      </c>
      <c r="CD141" t="e">
        <f>AND('UP133'!GU103,"AAAAAG/DcVE=")</f>
        <v>#VALUE!</v>
      </c>
      <c r="CE141" t="e">
        <f>AND('UP133'!GV103,"AAAAAG/DcVI=")</f>
        <v>#VALUE!</v>
      </c>
      <c r="CF141" t="e">
        <f>AND('UP133'!GW103,"AAAAAG/DcVM=")</f>
        <v>#VALUE!</v>
      </c>
      <c r="CG141" t="e">
        <f>AND('UP133'!GX103,"AAAAAG/DcVQ=")</f>
        <v>#VALUE!</v>
      </c>
      <c r="CH141" t="e">
        <f>AND('UP133'!GY103,"AAAAAG/DcVU=")</f>
        <v>#VALUE!</v>
      </c>
      <c r="CI141" t="e">
        <f>AND('UP133'!GZ103,"AAAAAG/DcVY=")</f>
        <v>#VALUE!</v>
      </c>
      <c r="CJ141" t="e">
        <f>AND('UP133'!HA103,"AAAAAG/DcVc=")</f>
        <v>#VALUE!</v>
      </c>
      <c r="CK141" t="e">
        <f>AND('UP133'!HB103,"AAAAAG/DcVg=")</f>
        <v>#VALUE!</v>
      </c>
      <c r="CL141" t="e">
        <f>AND('UP133'!HC103,"AAAAAG/DcVk=")</f>
        <v>#VALUE!</v>
      </c>
      <c r="CM141" t="e">
        <f>AND('UP133'!HD103,"AAAAAG/DcVo=")</f>
        <v>#VALUE!</v>
      </c>
      <c r="CN141" t="e">
        <f>AND('UP133'!HE103,"AAAAAG/DcVs=")</f>
        <v>#VALUE!</v>
      </c>
      <c r="CO141" t="e">
        <f>AND('UP133'!HF103,"AAAAAG/DcVw=")</f>
        <v>#VALUE!</v>
      </c>
      <c r="CP141" t="e">
        <f>AND('UP133'!HG103,"AAAAAG/DcV0=")</f>
        <v>#VALUE!</v>
      </c>
      <c r="CQ141" t="e">
        <f>AND('UP133'!HH103,"AAAAAG/DcV4=")</f>
        <v>#VALUE!</v>
      </c>
      <c r="CR141" t="e">
        <f>AND('UP133'!HI103,"AAAAAG/DcV8=")</f>
        <v>#VALUE!</v>
      </c>
      <c r="CS141" t="e">
        <f>AND('UP133'!HJ103,"AAAAAG/DcWA=")</f>
        <v>#VALUE!</v>
      </c>
      <c r="CT141" t="e">
        <f>AND('UP133'!HK103,"AAAAAG/DcWE=")</f>
        <v>#VALUE!</v>
      </c>
      <c r="CU141" t="e">
        <f>AND('UP133'!HL103,"AAAAAG/DcWI=")</f>
        <v>#VALUE!</v>
      </c>
      <c r="CV141" t="e">
        <f>AND('UP133'!HM103,"AAAAAG/DcWM=")</f>
        <v>#VALUE!</v>
      </c>
      <c r="CW141" t="e">
        <f>AND('UP133'!HN103,"AAAAAG/DcWQ=")</f>
        <v>#VALUE!</v>
      </c>
      <c r="CX141" t="e">
        <f>AND('UP133'!HO103,"AAAAAG/DcWU=")</f>
        <v>#VALUE!</v>
      </c>
      <c r="CY141" t="e">
        <f>AND('UP133'!HP103,"AAAAAG/DcWY=")</f>
        <v>#VALUE!</v>
      </c>
      <c r="CZ141" t="e">
        <f>AND('UP133'!HQ103,"AAAAAG/DcWc=")</f>
        <v>#VALUE!</v>
      </c>
      <c r="DA141" t="e">
        <f>AND('UP133'!HR103,"AAAAAG/DcWg=")</f>
        <v>#VALUE!</v>
      </c>
      <c r="DB141" t="e">
        <f>AND('UP133'!HS103,"AAAAAG/DcWk=")</f>
        <v>#VALUE!</v>
      </c>
      <c r="DC141" t="e">
        <f>AND('UP133'!HT103,"AAAAAG/DcWo=")</f>
        <v>#VALUE!</v>
      </c>
      <c r="DD141" t="e">
        <f>AND('UP133'!HU103,"AAAAAG/DcWs=")</f>
        <v>#VALUE!</v>
      </c>
      <c r="DE141" t="e">
        <f>AND('UP133'!HV103,"AAAAAG/DcWw=")</f>
        <v>#VALUE!</v>
      </c>
      <c r="DF141" t="e">
        <f>AND('UP133'!HW103,"AAAAAG/DcW0=")</f>
        <v>#VALUE!</v>
      </c>
      <c r="DG141" t="e">
        <f>AND('UP133'!HX103,"AAAAAG/DcW4=")</f>
        <v>#VALUE!</v>
      </c>
      <c r="DH141" t="e">
        <f>AND('UP133'!HY103,"AAAAAG/DcW8=")</f>
        <v>#VALUE!</v>
      </c>
      <c r="DI141" t="e">
        <f>AND('UP133'!HZ103,"AAAAAG/DcXA=")</f>
        <v>#VALUE!</v>
      </c>
      <c r="DJ141" t="e">
        <f>AND('UP133'!IA103,"AAAAAG/DcXE=")</f>
        <v>#VALUE!</v>
      </c>
      <c r="DK141" t="e">
        <f>AND('UP133'!IB103,"AAAAAG/DcXI=")</f>
        <v>#VALUE!</v>
      </c>
      <c r="DL141" t="e">
        <f>AND('UP133'!IC103,"AAAAAG/DcXM=")</f>
        <v>#VALUE!</v>
      </c>
      <c r="DM141" t="e">
        <f>AND('UP133'!ID103,"AAAAAG/DcXQ=")</f>
        <v>#VALUE!</v>
      </c>
      <c r="DN141" t="e">
        <f>AND('UP133'!IE103,"AAAAAG/DcXU=")</f>
        <v>#VALUE!</v>
      </c>
      <c r="DO141" t="e">
        <f>AND('UP133'!IF103,"AAAAAG/DcXY=")</f>
        <v>#VALUE!</v>
      </c>
      <c r="DP141" t="e">
        <f>AND('UP133'!IG103,"AAAAAG/DcXc=")</f>
        <v>#VALUE!</v>
      </c>
      <c r="DQ141" t="e">
        <f>AND('UP133'!IH103,"AAAAAG/DcXg=")</f>
        <v>#VALUE!</v>
      </c>
      <c r="DR141" t="e">
        <f>AND('UP133'!II103,"AAAAAG/DcXk=")</f>
        <v>#VALUE!</v>
      </c>
      <c r="DS141" t="e">
        <f>AND('UP133'!IJ103,"AAAAAG/DcXo=")</f>
        <v>#VALUE!</v>
      </c>
      <c r="DT141" t="e">
        <f>AND('UP133'!IK103,"AAAAAG/DcXs=")</f>
        <v>#VALUE!</v>
      </c>
      <c r="DU141" t="e">
        <f>AND('UP133'!IL103,"AAAAAG/DcXw=")</f>
        <v>#VALUE!</v>
      </c>
      <c r="DV141" t="e">
        <f>AND('UP133'!IM103,"AAAAAG/DcX0=")</f>
        <v>#VALUE!</v>
      </c>
      <c r="DW141" t="e">
        <f>AND('UP133'!IN103,"AAAAAG/DcX4=")</f>
        <v>#VALUE!</v>
      </c>
      <c r="DX141" t="e">
        <f>AND('UP133'!IO103,"AAAAAG/DcX8=")</f>
        <v>#VALUE!</v>
      </c>
      <c r="DY141" t="e">
        <f>AND('UP133'!IP103,"AAAAAG/DcYA=")</f>
        <v>#VALUE!</v>
      </c>
      <c r="DZ141" t="e">
        <f>AND('UP133'!IQ103,"AAAAAG/DcYE=")</f>
        <v>#VALUE!</v>
      </c>
      <c r="EA141">
        <f>IF('UP133'!104:104,"AAAAAG/DcYI=",0)</f>
        <v>0</v>
      </c>
      <c r="EB141" t="e">
        <f>AND('UP133'!A104,"AAAAAG/DcYM=")</f>
        <v>#VALUE!</v>
      </c>
      <c r="EC141" t="e">
        <f>AND('UP133'!B104,"AAAAAG/DcYQ=")</f>
        <v>#VALUE!</v>
      </c>
      <c r="ED141" t="e">
        <f>AND('UP133'!C104,"AAAAAG/DcYU=")</f>
        <v>#VALUE!</v>
      </c>
      <c r="EE141" t="e">
        <f>AND('UP133'!D104,"AAAAAG/DcYY=")</f>
        <v>#VALUE!</v>
      </c>
      <c r="EF141" t="e">
        <f>AND('UP133'!E104,"AAAAAG/DcYc=")</f>
        <v>#VALUE!</v>
      </c>
      <c r="EG141" t="e">
        <f>AND('UP133'!F104,"AAAAAG/DcYg=")</f>
        <v>#VALUE!</v>
      </c>
      <c r="EH141" t="e">
        <f>AND('UP133'!G104,"AAAAAG/DcYk=")</f>
        <v>#VALUE!</v>
      </c>
      <c r="EI141" t="e">
        <f>AND('UP133'!H104,"AAAAAG/DcYo=")</f>
        <v>#VALUE!</v>
      </c>
      <c r="EJ141" t="e">
        <f>AND('UP133'!I104,"AAAAAG/DcYs=")</f>
        <v>#VALUE!</v>
      </c>
      <c r="EK141" t="e">
        <f>AND('UP133'!J104,"AAAAAG/DcYw=")</f>
        <v>#VALUE!</v>
      </c>
      <c r="EL141" t="e">
        <f>AND('UP133'!K104,"AAAAAG/DcY0=")</f>
        <v>#VALUE!</v>
      </c>
      <c r="EM141" t="e">
        <f>AND('UP133'!L104,"AAAAAG/DcY4=")</f>
        <v>#VALUE!</v>
      </c>
      <c r="EN141" t="e">
        <f>AND('UP133'!M104,"AAAAAG/DcY8=")</f>
        <v>#VALUE!</v>
      </c>
      <c r="EO141" t="e">
        <f>AND('UP133'!N104,"AAAAAG/DcZA=")</f>
        <v>#VALUE!</v>
      </c>
      <c r="EP141" t="e">
        <f>AND('UP133'!O104,"AAAAAG/DcZE=")</f>
        <v>#VALUE!</v>
      </c>
      <c r="EQ141" t="e">
        <f>AND('UP133'!P104,"AAAAAG/DcZI=")</f>
        <v>#VALUE!</v>
      </c>
      <c r="ER141" t="e">
        <f>AND('UP133'!Q104,"AAAAAG/DcZM=")</f>
        <v>#VALUE!</v>
      </c>
      <c r="ES141" t="e">
        <f>AND('UP133'!R104,"AAAAAG/DcZQ=")</f>
        <v>#VALUE!</v>
      </c>
      <c r="ET141" t="e">
        <f>AND('UP133'!S104,"AAAAAG/DcZU=")</f>
        <v>#VALUE!</v>
      </c>
      <c r="EU141" t="e">
        <f>AND('UP133'!T104,"AAAAAG/DcZY=")</f>
        <v>#VALUE!</v>
      </c>
      <c r="EV141" t="e">
        <f>AND('UP133'!U104,"AAAAAG/DcZc=")</f>
        <v>#VALUE!</v>
      </c>
      <c r="EW141" t="e">
        <f>AND('UP133'!V104,"AAAAAG/DcZg=")</f>
        <v>#VALUE!</v>
      </c>
      <c r="EX141" t="e">
        <f>AND('UP133'!W104,"AAAAAG/DcZk=")</f>
        <v>#VALUE!</v>
      </c>
      <c r="EY141" t="e">
        <f>AND('UP133'!X104,"AAAAAG/DcZo=")</f>
        <v>#VALUE!</v>
      </c>
      <c r="EZ141" t="e">
        <f>AND('UP133'!Y104,"AAAAAG/DcZs=")</f>
        <v>#VALUE!</v>
      </c>
      <c r="FA141" t="e">
        <f>AND('UP133'!Z104,"AAAAAG/DcZw=")</f>
        <v>#VALUE!</v>
      </c>
      <c r="FB141" t="e">
        <f>AND('UP133'!AA104,"AAAAAG/DcZ0=")</f>
        <v>#VALUE!</v>
      </c>
      <c r="FC141" t="e">
        <f>AND('UP133'!AB104,"AAAAAG/DcZ4=")</f>
        <v>#VALUE!</v>
      </c>
      <c r="FD141" t="e">
        <f>AND('UP133'!AC104,"AAAAAG/DcZ8=")</f>
        <v>#VALUE!</v>
      </c>
      <c r="FE141" t="e">
        <f>AND('UP133'!AD104,"AAAAAG/DcaA=")</f>
        <v>#VALUE!</v>
      </c>
      <c r="FF141" t="e">
        <f>AND('UP133'!AE104,"AAAAAG/DcaE=")</f>
        <v>#VALUE!</v>
      </c>
      <c r="FG141" t="e">
        <f>AND('UP133'!AF104,"AAAAAG/DcaI=")</f>
        <v>#VALUE!</v>
      </c>
      <c r="FH141" t="e">
        <f>AND('UP133'!AG104,"AAAAAG/DcaM=")</f>
        <v>#VALUE!</v>
      </c>
      <c r="FI141" t="e">
        <f>AND('UP133'!AH104,"AAAAAG/DcaQ=")</f>
        <v>#VALUE!</v>
      </c>
      <c r="FJ141" t="e">
        <f>AND('UP133'!AI104,"AAAAAG/DcaU=")</f>
        <v>#VALUE!</v>
      </c>
      <c r="FK141" t="e">
        <f>AND('UP133'!AJ104,"AAAAAG/DcaY=")</f>
        <v>#VALUE!</v>
      </c>
      <c r="FL141" t="e">
        <f>AND('UP133'!AK104,"AAAAAG/Dcac=")</f>
        <v>#VALUE!</v>
      </c>
      <c r="FM141" t="e">
        <f>AND('UP133'!AL104,"AAAAAG/Dcag=")</f>
        <v>#VALUE!</v>
      </c>
      <c r="FN141" t="e">
        <f>AND('UP133'!AM104,"AAAAAG/Dcak=")</f>
        <v>#VALUE!</v>
      </c>
      <c r="FO141" t="e">
        <f>AND('UP133'!AN104,"AAAAAG/Dcao=")</f>
        <v>#VALUE!</v>
      </c>
      <c r="FP141" t="e">
        <f>AND('UP133'!AO104,"AAAAAG/Dcas=")</f>
        <v>#VALUE!</v>
      </c>
      <c r="FQ141" t="e">
        <f>AND('UP133'!AP104,"AAAAAG/Dcaw=")</f>
        <v>#VALUE!</v>
      </c>
      <c r="FR141" t="e">
        <f>AND('UP133'!AQ104,"AAAAAG/Dca0=")</f>
        <v>#VALUE!</v>
      </c>
      <c r="FS141" t="e">
        <f>AND('UP133'!AR104,"AAAAAG/Dca4=")</f>
        <v>#VALUE!</v>
      </c>
      <c r="FT141" t="e">
        <f>AND('UP133'!AS104,"AAAAAG/Dca8=")</f>
        <v>#VALUE!</v>
      </c>
      <c r="FU141" t="e">
        <f>AND('UP133'!AT104,"AAAAAG/DcbA=")</f>
        <v>#VALUE!</v>
      </c>
      <c r="FV141" t="e">
        <f>AND('UP133'!AU104,"AAAAAG/DcbE=")</f>
        <v>#VALUE!</v>
      </c>
      <c r="FW141" t="e">
        <f>AND('UP133'!AV104,"AAAAAG/DcbI=")</f>
        <v>#VALUE!</v>
      </c>
      <c r="FX141" t="e">
        <f>AND('UP133'!AW104,"AAAAAG/DcbM=")</f>
        <v>#VALUE!</v>
      </c>
      <c r="FY141" t="e">
        <f>AND('UP133'!AX104,"AAAAAG/DcbQ=")</f>
        <v>#VALUE!</v>
      </c>
      <c r="FZ141" t="e">
        <f>AND('UP133'!AY104,"AAAAAG/DcbU=")</f>
        <v>#VALUE!</v>
      </c>
      <c r="GA141" t="e">
        <f>AND('UP133'!AZ104,"AAAAAG/DcbY=")</f>
        <v>#VALUE!</v>
      </c>
      <c r="GB141" t="e">
        <f>AND('UP133'!BA104,"AAAAAG/Dcbc=")</f>
        <v>#VALUE!</v>
      </c>
      <c r="GC141" t="e">
        <f>AND('UP133'!BB104,"AAAAAG/Dcbg=")</f>
        <v>#VALUE!</v>
      </c>
      <c r="GD141" t="e">
        <f>AND('UP133'!BC104,"AAAAAG/Dcbk=")</f>
        <v>#VALUE!</v>
      </c>
      <c r="GE141" t="e">
        <f>AND('UP133'!BD104,"AAAAAG/Dcbo=")</f>
        <v>#VALUE!</v>
      </c>
      <c r="GF141" t="e">
        <f>AND('UP133'!BE104,"AAAAAG/Dcbs=")</f>
        <v>#VALUE!</v>
      </c>
      <c r="GG141" t="e">
        <f>AND('UP133'!BF104,"AAAAAG/Dcbw=")</f>
        <v>#VALUE!</v>
      </c>
      <c r="GH141" t="e">
        <f>AND('UP133'!BG104,"AAAAAG/Dcb0=")</f>
        <v>#VALUE!</v>
      </c>
      <c r="GI141" t="e">
        <f>AND('UP133'!BH104,"AAAAAG/Dcb4=")</f>
        <v>#VALUE!</v>
      </c>
      <c r="GJ141" t="e">
        <f>AND('UP133'!BI104,"AAAAAG/Dcb8=")</f>
        <v>#VALUE!</v>
      </c>
      <c r="GK141" t="e">
        <f>AND('UP133'!BJ104,"AAAAAG/DccA=")</f>
        <v>#VALUE!</v>
      </c>
      <c r="GL141" t="e">
        <f>AND('UP133'!BK104,"AAAAAG/DccE=")</f>
        <v>#VALUE!</v>
      </c>
      <c r="GM141" t="e">
        <f>AND('UP133'!BL104,"AAAAAG/DccI=")</f>
        <v>#VALUE!</v>
      </c>
      <c r="GN141" t="e">
        <f>AND('UP133'!BM104,"AAAAAG/DccM=")</f>
        <v>#VALUE!</v>
      </c>
      <c r="GO141" t="e">
        <f>AND('UP133'!BN104,"AAAAAG/DccQ=")</f>
        <v>#VALUE!</v>
      </c>
      <c r="GP141" t="e">
        <f>AND('UP133'!BO104,"AAAAAG/DccU=")</f>
        <v>#VALUE!</v>
      </c>
      <c r="GQ141" t="e">
        <f>AND('UP133'!BP104,"AAAAAG/DccY=")</f>
        <v>#VALUE!</v>
      </c>
      <c r="GR141" t="e">
        <f>AND('UP133'!BQ104,"AAAAAG/Dccc=")</f>
        <v>#VALUE!</v>
      </c>
      <c r="GS141" t="e">
        <f>AND('UP133'!BR104,"AAAAAG/Dccg=")</f>
        <v>#VALUE!</v>
      </c>
      <c r="GT141" t="e">
        <f>AND('UP133'!BS104,"AAAAAG/Dcck=")</f>
        <v>#VALUE!</v>
      </c>
      <c r="GU141" t="e">
        <f>AND('UP133'!BT104,"AAAAAG/Dcco=")</f>
        <v>#VALUE!</v>
      </c>
      <c r="GV141" t="e">
        <f>AND('UP133'!BU104,"AAAAAG/Dccs=")</f>
        <v>#VALUE!</v>
      </c>
      <c r="GW141" t="e">
        <f>AND('UP133'!BV104,"AAAAAG/Dccw=")</f>
        <v>#VALUE!</v>
      </c>
      <c r="GX141" t="e">
        <f>AND('UP133'!BW104,"AAAAAG/Dcc0=")</f>
        <v>#VALUE!</v>
      </c>
      <c r="GY141" t="e">
        <f>AND('UP133'!BX104,"AAAAAG/Dcc4=")</f>
        <v>#VALUE!</v>
      </c>
      <c r="GZ141" t="e">
        <f>AND('UP133'!BY104,"AAAAAG/Dcc8=")</f>
        <v>#VALUE!</v>
      </c>
      <c r="HA141" t="e">
        <f>AND('UP133'!BZ104,"AAAAAG/DcdA=")</f>
        <v>#VALUE!</v>
      </c>
      <c r="HB141" t="e">
        <f>AND('UP133'!CA104,"AAAAAG/DcdE=")</f>
        <v>#VALUE!</v>
      </c>
      <c r="HC141" t="e">
        <f>AND('UP133'!CB104,"AAAAAG/DcdI=")</f>
        <v>#VALUE!</v>
      </c>
      <c r="HD141" t="e">
        <f>AND('UP133'!CC104,"AAAAAG/DcdM=")</f>
        <v>#VALUE!</v>
      </c>
      <c r="HE141" t="e">
        <f>AND('UP133'!CD104,"AAAAAG/DcdQ=")</f>
        <v>#VALUE!</v>
      </c>
      <c r="HF141" t="e">
        <f>AND('UP133'!CE104,"AAAAAG/DcdU=")</f>
        <v>#VALUE!</v>
      </c>
      <c r="HG141" t="e">
        <f>AND('UP133'!CF104,"AAAAAG/DcdY=")</f>
        <v>#VALUE!</v>
      </c>
      <c r="HH141" t="e">
        <f>AND('UP133'!CG104,"AAAAAG/Dcdc=")</f>
        <v>#VALUE!</v>
      </c>
      <c r="HI141" t="e">
        <f>AND('UP133'!CH104,"AAAAAG/Dcdg=")</f>
        <v>#VALUE!</v>
      </c>
      <c r="HJ141" t="e">
        <f>AND('UP133'!CI104,"AAAAAG/Dcdk=")</f>
        <v>#VALUE!</v>
      </c>
      <c r="HK141" t="e">
        <f>AND('UP133'!CJ104,"AAAAAG/Dcdo=")</f>
        <v>#VALUE!</v>
      </c>
      <c r="HL141" t="e">
        <f>AND('UP133'!CK104,"AAAAAG/Dcds=")</f>
        <v>#VALUE!</v>
      </c>
      <c r="HM141" t="e">
        <f>AND('UP133'!CL104,"AAAAAG/Dcdw=")</f>
        <v>#VALUE!</v>
      </c>
      <c r="HN141" t="e">
        <f>AND('UP133'!CM104,"AAAAAG/Dcd0=")</f>
        <v>#VALUE!</v>
      </c>
      <c r="HO141" t="e">
        <f>AND('UP133'!CN104,"AAAAAG/Dcd4=")</f>
        <v>#VALUE!</v>
      </c>
      <c r="HP141" t="e">
        <f>AND('UP133'!CO104,"AAAAAG/Dcd8=")</f>
        <v>#VALUE!</v>
      </c>
      <c r="HQ141" t="e">
        <f>AND('UP133'!CP104,"AAAAAG/DceA=")</f>
        <v>#VALUE!</v>
      </c>
      <c r="HR141" t="e">
        <f>AND('UP133'!CQ104,"AAAAAG/DceE=")</f>
        <v>#VALUE!</v>
      </c>
      <c r="HS141" t="e">
        <f>AND('UP133'!CR104,"AAAAAG/DceI=")</f>
        <v>#VALUE!</v>
      </c>
      <c r="HT141" t="e">
        <f>AND('UP133'!CS104,"AAAAAG/DceM=")</f>
        <v>#VALUE!</v>
      </c>
      <c r="HU141" t="e">
        <f>AND('UP133'!CT104,"AAAAAG/DceQ=")</f>
        <v>#VALUE!</v>
      </c>
      <c r="HV141" t="e">
        <f>AND('UP133'!CU104,"AAAAAG/DceU=")</f>
        <v>#VALUE!</v>
      </c>
      <c r="HW141" t="e">
        <f>AND('UP133'!CV104,"AAAAAG/DceY=")</f>
        <v>#VALUE!</v>
      </c>
      <c r="HX141" t="e">
        <f>AND('UP133'!CW104,"AAAAAG/Dcec=")</f>
        <v>#VALUE!</v>
      </c>
      <c r="HY141" t="e">
        <f>AND('UP133'!CX104,"AAAAAG/Dceg=")</f>
        <v>#VALUE!</v>
      </c>
      <c r="HZ141" t="e">
        <f>AND('UP133'!CY104,"AAAAAG/Dcek=")</f>
        <v>#VALUE!</v>
      </c>
      <c r="IA141" t="e">
        <f>AND('UP133'!CZ104,"AAAAAG/Dceo=")</f>
        <v>#VALUE!</v>
      </c>
      <c r="IB141" t="e">
        <f>AND('UP133'!DA104,"AAAAAG/Dces=")</f>
        <v>#VALUE!</v>
      </c>
      <c r="IC141" t="e">
        <f>AND('UP133'!DB104,"AAAAAG/Dcew=")</f>
        <v>#VALUE!</v>
      </c>
      <c r="ID141" t="e">
        <f>AND('UP133'!DC104,"AAAAAG/Dce0=")</f>
        <v>#VALUE!</v>
      </c>
      <c r="IE141" t="e">
        <f>AND('UP133'!DD104,"AAAAAG/Dce4=")</f>
        <v>#VALUE!</v>
      </c>
      <c r="IF141" t="e">
        <f>AND('UP133'!DE104,"AAAAAG/Dce8=")</f>
        <v>#VALUE!</v>
      </c>
      <c r="IG141" t="e">
        <f>AND('UP133'!DF104,"AAAAAG/DcfA=")</f>
        <v>#VALUE!</v>
      </c>
      <c r="IH141" t="e">
        <f>AND('UP133'!DG104,"AAAAAG/DcfE=")</f>
        <v>#VALUE!</v>
      </c>
      <c r="II141" t="e">
        <f>AND('UP133'!DH104,"AAAAAG/DcfI=")</f>
        <v>#VALUE!</v>
      </c>
      <c r="IJ141" t="e">
        <f>AND('UP133'!DI104,"AAAAAG/DcfM=")</f>
        <v>#VALUE!</v>
      </c>
      <c r="IK141" t="e">
        <f>AND('UP133'!DJ104,"AAAAAG/DcfQ=")</f>
        <v>#VALUE!</v>
      </c>
      <c r="IL141" t="e">
        <f>AND('UP133'!DK104,"AAAAAG/DcfU=")</f>
        <v>#VALUE!</v>
      </c>
      <c r="IM141" t="e">
        <f>AND('UP133'!DL104,"AAAAAG/DcfY=")</f>
        <v>#VALUE!</v>
      </c>
      <c r="IN141" t="e">
        <f>AND('UP133'!DM104,"AAAAAG/Dcfc=")</f>
        <v>#VALUE!</v>
      </c>
      <c r="IO141" t="e">
        <f>AND('UP133'!DN104,"AAAAAG/Dcfg=")</f>
        <v>#VALUE!</v>
      </c>
      <c r="IP141" t="e">
        <f>AND('UP133'!DO104,"AAAAAG/Dcfk=")</f>
        <v>#VALUE!</v>
      </c>
      <c r="IQ141" t="e">
        <f>AND('UP133'!DP104,"AAAAAG/Dcfo=")</f>
        <v>#VALUE!</v>
      </c>
      <c r="IR141" t="e">
        <f>AND('UP133'!DQ104,"AAAAAG/Dcfs=")</f>
        <v>#VALUE!</v>
      </c>
      <c r="IS141" t="e">
        <f>AND('UP133'!DR104,"AAAAAG/Dcfw=")</f>
        <v>#VALUE!</v>
      </c>
      <c r="IT141" t="e">
        <f>AND('UP133'!DS104,"AAAAAG/Dcf0=")</f>
        <v>#VALUE!</v>
      </c>
      <c r="IU141" t="e">
        <f>AND('UP133'!DT104,"AAAAAG/Dcf4=")</f>
        <v>#VALUE!</v>
      </c>
      <c r="IV141" t="e">
        <f>AND('UP133'!DU104,"AAAAAG/Dcf8=")</f>
        <v>#VALUE!</v>
      </c>
    </row>
    <row r="142" spans="1:256">
      <c r="A142" t="e">
        <f>AND('UP133'!DV104,"AAAAAF++7gA=")</f>
        <v>#VALUE!</v>
      </c>
      <c r="B142" t="e">
        <f>AND('UP133'!DW104,"AAAAAF++7gE=")</f>
        <v>#VALUE!</v>
      </c>
      <c r="C142" t="e">
        <f>AND('UP133'!DX104,"AAAAAF++7gI=")</f>
        <v>#VALUE!</v>
      </c>
      <c r="D142" t="e">
        <f>AND('UP133'!DY104,"AAAAAF++7gM=")</f>
        <v>#VALUE!</v>
      </c>
      <c r="E142" t="e">
        <f>AND('UP133'!DZ104,"AAAAAF++7gQ=")</f>
        <v>#VALUE!</v>
      </c>
      <c r="F142" t="e">
        <f>AND('UP133'!EA104,"AAAAAF++7gU=")</f>
        <v>#VALUE!</v>
      </c>
      <c r="G142" t="e">
        <f>AND('UP133'!EB104,"AAAAAF++7gY=")</f>
        <v>#VALUE!</v>
      </c>
      <c r="H142" t="e">
        <f>AND('UP133'!EC104,"AAAAAF++7gc=")</f>
        <v>#VALUE!</v>
      </c>
      <c r="I142" t="e">
        <f>AND('UP133'!ED104,"AAAAAF++7gg=")</f>
        <v>#VALUE!</v>
      </c>
      <c r="J142" t="e">
        <f>AND('UP133'!EE104,"AAAAAF++7gk=")</f>
        <v>#VALUE!</v>
      </c>
      <c r="K142" t="e">
        <f>AND('UP133'!EF104,"AAAAAF++7go=")</f>
        <v>#VALUE!</v>
      </c>
      <c r="L142" t="e">
        <f>AND('UP133'!EG104,"AAAAAF++7gs=")</f>
        <v>#VALUE!</v>
      </c>
      <c r="M142" t="e">
        <f>AND('UP133'!EH104,"AAAAAF++7gw=")</f>
        <v>#VALUE!</v>
      </c>
      <c r="N142" t="e">
        <f>AND('UP133'!EI104,"AAAAAF++7g0=")</f>
        <v>#VALUE!</v>
      </c>
      <c r="O142" t="e">
        <f>AND('UP133'!EJ104,"AAAAAF++7g4=")</f>
        <v>#VALUE!</v>
      </c>
      <c r="P142" t="e">
        <f>AND('UP133'!EK104,"AAAAAF++7g8=")</f>
        <v>#VALUE!</v>
      </c>
      <c r="Q142" t="e">
        <f>AND('UP133'!EL104,"AAAAAF++7hA=")</f>
        <v>#VALUE!</v>
      </c>
      <c r="R142" t="e">
        <f>AND('UP133'!EM104,"AAAAAF++7hE=")</f>
        <v>#VALUE!</v>
      </c>
      <c r="S142" t="e">
        <f>AND('UP133'!EN104,"AAAAAF++7hI=")</f>
        <v>#VALUE!</v>
      </c>
      <c r="T142" t="e">
        <f>AND('UP133'!EO104,"AAAAAF++7hM=")</f>
        <v>#VALUE!</v>
      </c>
      <c r="U142" t="e">
        <f>AND('UP133'!EP104,"AAAAAF++7hQ=")</f>
        <v>#VALUE!</v>
      </c>
      <c r="V142" t="e">
        <f>AND('UP133'!EQ104,"AAAAAF++7hU=")</f>
        <v>#VALUE!</v>
      </c>
      <c r="W142" t="e">
        <f>AND('UP133'!ER104,"AAAAAF++7hY=")</f>
        <v>#VALUE!</v>
      </c>
      <c r="X142" t="e">
        <f>AND('UP133'!ES104,"AAAAAF++7hc=")</f>
        <v>#VALUE!</v>
      </c>
      <c r="Y142" t="e">
        <f>AND('UP133'!ET104,"AAAAAF++7hg=")</f>
        <v>#VALUE!</v>
      </c>
      <c r="Z142" t="e">
        <f>AND('UP133'!EU104,"AAAAAF++7hk=")</f>
        <v>#VALUE!</v>
      </c>
      <c r="AA142" t="e">
        <f>AND('UP133'!EV104,"AAAAAF++7ho=")</f>
        <v>#VALUE!</v>
      </c>
      <c r="AB142" t="e">
        <f>AND('UP133'!EW104,"AAAAAF++7hs=")</f>
        <v>#VALUE!</v>
      </c>
      <c r="AC142" t="e">
        <f>AND('UP133'!EX104,"AAAAAF++7hw=")</f>
        <v>#VALUE!</v>
      </c>
      <c r="AD142" t="e">
        <f>AND('UP133'!EY104,"AAAAAF++7h0=")</f>
        <v>#VALUE!</v>
      </c>
      <c r="AE142" t="e">
        <f>AND('UP133'!EZ104,"AAAAAF++7h4=")</f>
        <v>#VALUE!</v>
      </c>
      <c r="AF142" t="e">
        <f>AND('UP133'!FA104,"AAAAAF++7h8=")</f>
        <v>#VALUE!</v>
      </c>
      <c r="AG142" t="e">
        <f>AND('UP133'!FB104,"AAAAAF++7iA=")</f>
        <v>#VALUE!</v>
      </c>
      <c r="AH142" t="e">
        <f>AND('UP133'!FC104,"AAAAAF++7iE=")</f>
        <v>#VALUE!</v>
      </c>
      <c r="AI142" t="e">
        <f>AND('UP133'!FD104,"AAAAAF++7iI=")</f>
        <v>#VALUE!</v>
      </c>
      <c r="AJ142" t="e">
        <f>AND('UP133'!FE104,"AAAAAF++7iM=")</f>
        <v>#VALUE!</v>
      </c>
      <c r="AK142" t="e">
        <f>AND('UP133'!FF104,"AAAAAF++7iQ=")</f>
        <v>#VALUE!</v>
      </c>
      <c r="AL142" t="e">
        <f>AND('UP133'!FG104,"AAAAAF++7iU=")</f>
        <v>#VALUE!</v>
      </c>
      <c r="AM142" t="e">
        <f>AND('UP133'!FH104,"AAAAAF++7iY=")</f>
        <v>#VALUE!</v>
      </c>
      <c r="AN142" t="e">
        <f>AND('UP133'!FI104,"AAAAAF++7ic=")</f>
        <v>#VALUE!</v>
      </c>
      <c r="AO142" t="e">
        <f>AND('UP133'!FJ104,"AAAAAF++7ig=")</f>
        <v>#VALUE!</v>
      </c>
      <c r="AP142" t="e">
        <f>AND('UP133'!FK104,"AAAAAF++7ik=")</f>
        <v>#VALUE!</v>
      </c>
      <c r="AQ142" t="e">
        <f>AND('UP133'!FL104,"AAAAAF++7io=")</f>
        <v>#VALUE!</v>
      </c>
      <c r="AR142" t="e">
        <f>AND('UP133'!FM104,"AAAAAF++7is=")</f>
        <v>#VALUE!</v>
      </c>
      <c r="AS142" t="e">
        <f>AND('UP133'!FN104,"AAAAAF++7iw=")</f>
        <v>#VALUE!</v>
      </c>
      <c r="AT142" t="e">
        <f>AND('UP133'!FO104,"AAAAAF++7i0=")</f>
        <v>#VALUE!</v>
      </c>
      <c r="AU142" t="e">
        <f>AND('UP133'!FP104,"AAAAAF++7i4=")</f>
        <v>#VALUE!</v>
      </c>
      <c r="AV142" t="e">
        <f>AND('UP133'!FQ104,"AAAAAF++7i8=")</f>
        <v>#VALUE!</v>
      </c>
      <c r="AW142" t="e">
        <f>AND('UP133'!FR104,"AAAAAF++7jA=")</f>
        <v>#VALUE!</v>
      </c>
      <c r="AX142" t="e">
        <f>AND('UP133'!FS104,"AAAAAF++7jE=")</f>
        <v>#VALUE!</v>
      </c>
      <c r="AY142" t="e">
        <f>AND('UP133'!FT104,"AAAAAF++7jI=")</f>
        <v>#VALUE!</v>
      </c>
      <c r="AZ142" t="e">
        <f>AND('UP133'!FU104,"AAAAAF++7jM=")</f>
        <v>#VALUE!</v>
      </c>
      <c r="BA142" t="e">
        <f>AND('UP133'!FV104,"AAAAAF++7jQ=")</f>
        <v>#VALUE!</v>
      </c>
      <c r="BB142" t="e">
        <f>AND('UP133'!FW104,"AAAAAF++7jU=")</f>
        <v>#VALUE!</v>
      </c>
      <c r="BC142" t="e">
        <f>AND('UP133'!FX104,"AAAAAF++7jY=")</f>
        <v>#VALUE!</v>
      </c>
      <c r="BD142" t="e">
        <f>AND('UP133'!FY104,"AAAAAF++7jc=")</f>
        <v>#VALUE!</v>
      </c>
      <c r="BE142" t="e">
        <f>AND('UP133'!FZ104,"AAAAAF++7jg=")</f>
        <v>#VALUE!</v>
      </c>
      <c r="BF142" t="e">
        <f>AND('UP133'!GA104,"AAAAAF++7jk=")</f>
        <v>#VALUE!</v>
      </c>
      <c r="BG142" t="e">
        <f>AND('UP133'!GB104,"AAAAAF++7jo=")</f>
        <v>#VALUE!</v>
      </c>
      <c r="BH142" t="e">
        <f>AND('UP133'!GC104,"AAAAAF++7js=")</f>
        <v>#VALUE!</v>
      </c>
      <c r="BI142" t="e">
        <f>AND('UP133'!GD104,"AAAAAF++7jw=")</f>
        <v>#VALUE!</v>
      </c>
      <c r="BJ142" t="e">
        <f>AND('UP133'!GE104,"AAAAAF++7j0=")</f>
        <v>#VALUE!</v>
      </c>
      <c r="BK142" t="e">
        <f>AND('UP133'!GF104,"AAAAAF++7j4=")</f>
        <v>#VALUE!</v>
      </c>
      <c r="BL142" t="e">
        <f>AND('UP133'!GG104,"AAAAAF++7j8=")</f>
        <v>#VALUE!</v>
      </c>
      <c r="BM142" t="e">
        <f>AND('UP133'!GH104,"AAAAAF++7kA=")</f>
        <v>#VALUE!</v>
      </c>
      <c r="BN142" t="e">
        <f>AND('UP133'!GI104,"AAAAAF++7kE=")</f>
        <v>#VALUE!</v>
      </c>
      <c r="BO142" t="e">
        <f>AND('UP133'!GJ104,"AAAAAF++7kI=")</f>
        <v>#VALUE!</v>
      </c>
      <c r="BP142" t="e">
        <f>AND('UP133'!GK104,"AAAAAF++7kM=")</f>
        <v>#VALUE!</v>
      </c>
      <c r="BQ142" t="e">
        <f>AND('UP133'!GL104,"AAAAAF++7kQ=")</f>
        <v>#VALUE!</v>
      </c>
      <c r="BR142" t="e">
        <f>AND('UP133'!GM104,"AAAAAF++7kU=")</f>
        <v>#VALUE!</v>
      </c>
      <c r="BS142" t="e">
        <f>AND('UP133'!GN104,"AAAAAF++7kY=")</f>
        <v>#VALUE!</v>
      </c>
      <c r="BT142" t="e">
        <f>AND('UP133'!GO104,"AAAAAF++7kc=")</f>
        <v>#VALUE!</v>
      </c>
      <c r="BU142" t="e">
        <f>AND('UP133'!GP104,"AAAAAF++7kg=")</f>
        <v>#VALUE!</v>
      </c>
      <c r="BV142" t="e">
        <f>AND('UP133'!GQ104,"AAAAAF++7kk=")</f>
        <v>#VALUE!</v>
      </c>
      <c r="BW142" t="e">
        <f>AND('UP133'!GR104,"AAAAAF++7ko=")</f>
        <v>#VALUE!</v>
      </c>
      <c r="BX142" t="e">
        <f>AND('UP133'!GS104,"AAAAAF++7ks=")</f>
        <v>#VALUE!</v>
      </c>
      <c r="BY142" t="e">
        <f>AND('UP133'!GT104,"AAAAAF++7kw=")</f>
        <v>#VALUE!</v>
      </c>
      <c r="BZ142" t="e">
        <f>AND('UP133'!GU104,"AAAAAF++7k0=")</f>
        <v>#VALUE!</v>
      </c>
      <c r="CA142" t="e">
        <f>AND('UP133'!GV104,"AAAAAF++7k4=")</f>
        <v>#VALUE!</v>
      </c>
      <c r="CB142" t="e">
        <f>AND('UP133'!GW104,"AAAAAF++7k8=")</f>
        <v>#VALUE!</v>
      </c>
      <c r="CC142" t="e">
        <f>AND('UP133'!GX104,"AAAAAF++7lA=")</f>
        <v>#VALUE!</v>
      </c>
      <c r="CD142" t="e">
        <f>AND('UP133'!GY104,"AAAAAF++7lE=")</f>
        <v>#VALUE!</v>
      </c>
      <c r="CE142" t="e">
        <f>AND('UP133'!GZ104,"AAAAAF++7lI=")</f>
        <v>#VALUE!</v>
      </c>
      <c r="CF142" t="e">
        <f>AND('UP133'!HA104,"AAAAAF++7lM=")</f>
        <v>#VALUE!</v>
      </c>
      <c r="CG142" t="e">
        <f>AND('UP133'!HB104,"AAAAAF++7lQ=")</f>
        <v>#VALUE!</v>
      </c>
      <c r="CH142" t="e">
        <f>AND('UP133'!HC104,"AAAAAF++7lU=")</f>
        <v>#VALUE!</v>
      </c>
      <c r="CI142" t="e">
        <f>AND('UP133'!HD104,"AAAAAF++7lY=")</f>
        <v>#VALUE!</v>
      </c>
      <c r="CJ142" t="e">
        <f>AND('UP133'!HE104,"AAAAAF++7lc=")</f>
        <v>#VALUE!</v>
      </c>
      <c r="CK142" t="e">
        <f>AND('UP133'!HF104,"AAAAAF++7lg=")</f>
        <v>#VALUE!</v>
      </c>
      <c r="CL142" t="e">
        <f>AND('UP133'!HG104,"AAAAAF++7lk=")</f>
        <v>#VALUE!</v>
      </c>
      <c r="CM142" t="e">
        <f>AND('UP133'!HH104,"AAAAAF++7lo=")</f>
        <v>#VALUE!</v>
      </c>
      <c r="CN142" t="e">
        <f>AND('UP133'!HI104,"AAAAAF++7ls=")</f>
        <v>#VALUE!</v>
      </c>
      <c r="CO142" t="e">
        <f>AND('UP133'!HJ104,"AAAAAF++7lw=")</f>
        <v>#VALUE!</v>
      </c>
      <c r="CP142" t="e">
        <f>AND('UP133'!HK104,"AAAAAF++7l0=")</f>
        <v>#VALUE!</v>
      </c>
      <c r="CQ142" t="e">
        <f>AND('UP133'!HL104,"AAAAAF++7l4=")</f>
        <v>#VALUE!</v>
      </c>
      <c r="CR142" t="e">
        <f>AND('UP133'!HM104,"AAAAAF++7l8=")</f>
        <v>#VALUE!</v>
      </c>
      <c r="CS142" t="e">
        <f>AND('UP133'!HN104,"AAAAAF++7mA=")</f>
        <v>#VALUE!</v>
      </c>
      <c r="CT142" t="e">
        <f>AND('UP133'!HO104,"AAAAAF++7mE=")</f>
        <v>#VALUE!</v>
      </c>
      <c r="CU142" t="e">
        <f>AND('UP133'!HP104,"AAAAAF++7mI=")</f>
        <v>#VALUE!</v>
      </c>
      <c r="CV142" t="e">
        <f>AND('UP133'!HQ104,"AAAAAF++7mM=")</f>
        <v>#VALUE!</v>
      </c>
      <c r="CW142" t="e">
        <f>AND('UP133'!HR104,"AAAAAF++7mQ=")</f>
        <v>#VALUE!</v>
      </c>
      <c r="CX142" t="e">
        <f>AND('UP133'!HS104,"AAAAAF++7mU=")</f>
        <v>#VALUE!</v>
      </c>
      <c r="CY142" t="e">
        <f>AND('UP133'!HT104,"AAAAAF++7mY=")</f>
        <v>#VALUE!</v>
      </c>
      <c r="CZ142" t="e">
        <f>AND('UP133'!HU104,"AAAAAF++7mc=")</f>
        <v>#VALUE!</v>
      </c>
      <c r="DA142" t="e">
        <f>AND('UP133'!HV104,"AAAAAF++7mg=")</f>
        <v>#VALUE!</v>
      </c>
      <c r="DB142" t="e">
        <f>AND('UP133'!HW104,"AAAAAF++7mk=")</f>
        <v>#VALUE!</v>
      </c>
      <c r="DC142" t="e">
        <f>AND('UP133'!HX104,"AAAAAF++7mo=")</f>
        <v>#VALUE!</v>
      </c>
      <c r="DD142" t="e">
        <f>AND('UP133'!HY104,"AAAAAF++7ms=")</f>
        <v>#VALUE!</v>
      </c>
      <c r="DE142" t="e">
        <f>AND('UP133'!HZ104,"AAAAAF++7mw=")</f>
        <v>#VALUE!</v>
      </c>
      <c r="DF142" t="e">
        <f>AND('UP133'!IA104,"AAAAAF++7m0=")</f>
        <v>#VALUE!</v>
      </c>
      <c r="DG142" t="e">
        <f>AND('UP133'!IB104,"AAAAAF++7m4=")</f>
        <v>#VALUE!</v>
      </c>
      <c r="DH142" t="e">
        <f>AND('UP133'!IC104,"AAAAAF++7m8=")</f>
        <v>#VALUE!</v>
      </c>
      <c r="DI142" t="e">
        <f>AND('UP133'!ID104,"AAAAAF++7nA=")</f>
        <v>#VALUE!</v>
      </c>
      <c r="DJ142" t="e">
        <f>AND('UP133'!IE104,"AAAAAF++7nE=")</f>
        <v>#VALUE!</v>
      </c>
      <c r="DK142" t="e">
        <f>AND('UP133'!IF104,"AAAAAF++7nI=")</f>
        <v>#VALUE!</v>
      </c>
      <c r="DL142" t="e">
        <f>AND('UP133'!IG104,"AAAAAF++7nM=")</f>
        <v>#VALUE!</v>
      </c>
      <c r="DM142" t="e">
        <f>AND('UP133'!IH104,"AAAAAF++7nQ=")</f>
        <v>#VALUE!</v>
      </c>
      <c r="DN142" t="e">
        <f>AND('UP133'!II104,"AAAAAF++7nU=")</f>
        <v>#VALUE!</v>
      </c>
      <c r="DO142" t="e">
        <f>AND('UP133'!IJ104,"AAAAAF++7nY=")</f>
        <v>#VALUE!</v>
      </c>
      <c r="DP142" t="e">
        <f>AND('UP133'!IK104,"AAAAAF++7nc=")</f>
        <v>#VALUE!</v>
      </c>
      <c r="DQ142" t="e">
        <f>AND('UP133'!IL104,"AAAAAF++7ng=")</f>
        <v>#VALUE!</v>
      </c>
      <c r="DR142" t="e">
        <f>AND('UP133'!IM104,"AAAAAF++7nk=")</f>
        <v>#VALUE!</v>
      </c>
      <c r="DS142" t="e">
        <f>AND('UP133'!IN104,"AAAAAF++7no=")</f>
        <v>#VALUE!</v>
      </c>
      <c r="DT142" t="e">
        <f>AND('UP133'!IO104,"AAAAAF++7ns=")</f>
        <v>#VALUE!</v>
      </c>
      <c r="DU142" t="e">
        <f>AND('UP133'!IP104,"AAAAAF++7nw=")</f>
        <v>#VALUE!</v>
      </c>
      <c r="DV142" t="e">
        <f>AND('UP133'!IQ104,"AAAAAF++7n0=")</f>
        <v>#VALUE!</v>
      </c>
      <c r="DW142">
        <f>IF('UP133'!105:105,"AAAAAF++7n4=",0)</f>
        <v>0</v>
      </c>
      <c r="DX142" t="e">
        <f>AND('UP133'!A105,"AAAAAF++7n8=")</f>
        <v>#VALUE!</v>
      </c>
      <c r="DY142" t="e">
        <f>AND('UP133'!B105,"AAAAAF++7oA=")</f>
        <v>#VALUE!</v>
      </c>
      <c r="DZ142" t="e">
        <f>AND('UP133'!C105,"AAAAAF++7oE=")</f>
        <v>#VALUE!</v>
      </c>
      <c r="EA142" t="e">
        <f>AND('UP133'!D105,"AAAAAF++7oI=")</f>
        <v>#VALUE!</v>
      </c>
      <c r="EB142" t="e">
        <f>AND('UP133'!E105,"AAAAAF++7oM=")</f>
        <v>#VALUE!</v>
      </c>
      <c r="EC142" t="e">
        <f>AND('UP133'!F105,"AAAAAF++7oQ=")</f>
        <v>#VALUE!</v>
      </c>
      <c r="ED142" t="e">
        <f>AND('UP133'!G105,"AAAAAF++7oU=")</f>
        <v>#VALUE!</v>
      </c>
      <c r="EE142" t="e">
        <f>AND('UP133'!H105,"AAAAAF++7oY=")</f>
        <v>#VALUE!</v>
      </c>
      <c r="EF142" t="e">
        <f>AND('UP133'!I105,"AAAAAF++7oc=")</f>
        <v>#VALUE!</v>
      </c>
      <c r="EG142" t="e">
        <f>AND('UP133'!J105,"AAAAAF++7og=")</f>
        <v>#VALUE!</v>
      </c>
      <c r="EH142" t="e">
        <f>AND('UP133'!K105,"AAAAAF++7ok=")</f>
        <v>#VALUE!</v>
      </c>
      <c r="EI142" t="e">
        <f>AND('UP133'!L105,"AAAAAF++7oo=")</f>
        <v>#VALUE!</v>
      </c>
      <c r="EJ142" t="e">
        <f>AND('UP133'!M105,"AAAAAF++7os=")</f>
        <v>#VALUE!</v>
      </c>
      <c r="EK142" t="e">
        <f>AND('UP133'!N105,"AAAAAF++7ow=")</f>
        <v>#VALUE!</v>
      </c>
      <c r="EL142" t="e">
        <f>AND('UP133'!O105,"AAAAAF++7o0=")</f>
        <v>#VALUE!</v>
      </c>
      <c r="EM142" t="e">
        <f>AND('UP133'!P105,"AAAAAF++7o4=")</f>
        <v>#VALUE!</v>
      </c>
      <c r="EN142" t="e">
        <f>AND('UP133'!Q105,"AAAAAF++7o8=")</f>
        <v>#VALUE!</v>
      </c>
      <c r="EO142" t="e">
        <f>AND('UP133'!R105,"AAAAAF++7pA=")</f>
        <v>#VALUE!</v>
      </c>
      <c r="EP142" t="e">
        <f>AND('UP133'!S105,"AAAAAF++7pE=")</f>
        <v>#VALUE!</v>
      </c>
      <c r="EQ142" t="e">
        <f>AND('UP133'!T105,"AAAAAF++7pI=")</f>
        <v>#VALUE!</v>
      </c>
      <c r="ER142" t="e">
        <f>AND('UP133'!U105,"AAAAAF++7pM=")</f>
        <v>#VALUE!</v>
      </c>
      <c r="ES142" t="e">
        <f>AND('UP133'!V105,"AAAAAF++7pQ=")</f>
        <v>#VALUE!</v>
      </c>
      <c r="ET142" t="e">
        <f>AND('UP133'!W105,"AAAAAF++7pU=")</f>
        <v>#VALUE!</v>
      </c>
      <c r="EU142" t="e">
        <f>AND('UP133'!X105,"AAAAAF++7pY=")</f>
        <v>#VALUE!</v>
      </c>
      <c r="EV142" t="e">
        <f>AND('UP133'!Y105,"AAAAAF++7pc=")</f>
        <v>#VALUE!</v>
      </c>
      <c r="EW142" t="e">
        <f>AND('UP133'!Z105,"AAAAAF++7pg=")</f>
        <v>#VALUE!</v>
      </c>
      <c r="EX142" t="e">
        <f>AND('UP133'!AA105,"AAAAAF++7pk=")</f>
        <v>#VALUE!</v>
      </c>
      <c r="EY142" t="e">
        <f>AND('UP133'!AB105,"AAAAAF++7po=")</f>
        <v>#VALUE!</v>
      </c>
      <c r="EZ142" t="e">
        <f>AND('UP133'!AC105,"AAAAAF++7ps=")</f>
        <v>#VALUE!</v>
      </c>
      <c r="FA142" t="e">
        <f>AND('UP133'!AD105,"AAAAAF++7pw=")</f>
        <v>#VALUE!</v>
      </c>
      <c r="FB142" t="e">
        <f>AND('UP133'!AE105,"AAAAAF++7p0=")</f>
        <v>#VALUE!</v>
      </c>
      <c r="FC142" t="e">
        <f>AND('UP133'!AF105,"AAAAAF++7p4=")</f>
        <v>#VALUE!</v>
      </c>
      <c r="FD142" t="e">
        <f>AND('UP133'!AG105,"AAAAAF++7p8=")</f>
        <v>#VALUE!</v>
      </c>
      <c r="FE142" t="e">
        <f>AND('UP133'!AH105,"AAAAAF++7qA=")</f>
        <v>#VALUE!</v>
      </c>
      <c r="FF142" t="e">
        <f>AND('UP133'!AI105,"AAAAAF++7qE=")</f>
        <v>#VALUE!</v>
      </c>
      <c r="FG142" t="e">
        <f>AND('UP133'!AJ105,"AAAAAF++7qI=")</f>
        <v>#VALUE!</v>
      </c>
      <c r="FH142" t="e">
        <f>AND('UP133'!AK105,"AAAAAF++7qM=")</f>
        <v>#VALUE!</v>
      </c>
      <c r="FI142" t="e">
        <f>AND('UP133'!AL105,"AAAAAF++7qQ=")</f>
        <v>#VALUE!</v>
      </c>
      <c r="FJ142" t="e">
        <f>AND('UP133'!AM105,"AAAAAF++7qU=")</f>
        <v>#VALUE!</v>
      </c>
      <c r="FK142" t="e">
        <f>AND('UP133'!AN105,"AAAAAF++7qY=")</f>
        <v>#VALUE!</v>
      </c>
      <c r="FL142" t="e">
        <f>AND('UP133'!AO105,"AAAAAF++7qc=")</f>
        <v>#VALUE!</v>
      </c>
      <c r="FM142" t="e">
        <f>AND('UP133'!AP105,"AAAAAF++7qg=")</f>
        <v>#VALUE!</v>
      </c>
      <c r="FN142" t="e">
        <f>AND('UP133'!AQ105,"AAAAAF++7qk=")</f>
        <v>#VALUE!</v>
      </c>
      <c r="FO142" t="e">
        <f>AND('UP133'!AR105,"AAAAAF++7qo=")</f>
        <v>#VALUE!</v>
      </c>
      <c r="FP142" t="e">
        <f>AND('UP133'!AS105,"AAAAAF++7qs=")</f>
        <v>#VALUE!</v>
      </c>
      <c r="FQ142" t="e">
        <f>AND('UP133'!AT105,"AAAAAF++7qw=")</f>
        <v>#VALUE!</v>
      </c>
      <c r="FR142" t="e">
        <f>AND('UP133'!AU105,"AAAAAF++7q0=")</f>
        <v>#VALUE!</v>
      </c>
      <c r="FS142" t="e">
        <f>AND('UP133'!AV105,"AAAAAF++7q4=")</f>
        <v>#VALUE!</v>
      </c>
      <c r="FT142" t="e">
        <f>AND('UP133'!AW105,"AAAAAF++7q8=")</f>
        <v>#VALUE!</v>
      </c>
      <c r="FU142" t="e">
        <f>AND('UP133'!AX105,"AAAAAF++7rA=")</f>
        <v>#VALUE!</v>
      </c>
      <c r="FV142" t="e">
        <f>AND('UP133'!AY105,"AAAAAF++7rE=")</f>
        <v>#VALUE!</v>
      </c>
      <c r="FW142" t="e">
        <f>AND('UP133'!AZ105,"AAAAAF++7rI=")</f>
        <v>#VALUE!</v>
      </c>
      <c r="FX142" t="e">
        <f>AND('UP133'!BA105,"AAAAAF++7rM=")</f>
        <v>#VALUE!</v>
      </c>
      <c r="FY142" t="e">
        <f>AND('UP133'!BB105,"AAAAAF++7rQ=")</f>
        <v>#VALUE!</v>
      </c>
      <c r="FZ142" t="e">
        <f>AND('UP133'!BC105,"AAAAAF++7rU=")</f>
        <v>#VALUE!</v>
      </c>
      <c r="GA142" t="e">
        <f>AND('UP133'!BD105,"AAAAAF++7rY=")</f>
        <v>#VALUE!</v>
      </c>
      <c r="GB142" t="e">
        <f>AND('UP133'!BE105,"AAAAAF++7rc=")</f>
        <v>#VALUE!</v>
      </c>
      <c r="GC142" t="e">
        <f>AND('UP133'!BF105,"AAAAAF++7rg=")</f>
        <v>#VALUE!</v>
      </c>
      <c r="GD142" t="e">
        <f>AND('UP133'!BG105,"AAAAAF++7rk=")</f>
        <v>#VALUE!</v>
      </c>
      <c r="GE142" t="e">
        <f>AND('UP133'!BH105,"AAAAAF++7ro=")</f>
        <v>#VALUE!</v>
      </c>
      <c r="GF142" t="e">
        <f>AND('UP133'!BI105,"AAAAAF++7rs=")</f>
        <v>#VALUE!</v>
      </c>
      <c r="GG142" t="e">
        <f>AND('UP133'!BJ105,"AAAAAF++7rw=")</f>
        <v>#VALUE!</v>
      </c>
      <c r="GH142" t="e">
        <f>AND('UP133'!BK105,"AAAAAF++7r0=")</f>
        <v>#VALUE!</v>
      </c>
      <c r="GI142" t="e">
        <f>AND('UP133'!BL105,"AAAAAF++7r4=")</f>
        <v>#VALUE!</v>
      </c>
      <c r="GJ142" t="e">
        <f>AND('UP133'!BM105,"AAAAAF++7r8=")</f>
        <v>#VALUE!</v>
      </c>
      <c r="GK142" t="e">
        <f>AND('UP133'!BN105,"AAAAAF++7sA=")</f>
        <v>#VALUE!</v>
      </c>
      <c r="GL142" t="e">
        <f>AND('UP133'!BO105,"AAAAAF++7sE=")</f>
        <v>#VALUE!</v>
      </c>
      <c r="GM142" t="e">
        <f>AND('UP133'!BP105,"AAAAAF++7sI=")</f>
        <v>#VALUE!</v>
      </c>
      <c r="GN142" t="e">
        <f>AND('UP133'!BQ105,"AAAAAF++7sM=")</f>
        <v>#VALUE!</v>
      </c>
      <c r="GO142" t="e">
        <f>AND('UP133'!BR105,"AAAAAF++7sQ=")</f>
        <v>#VALUE!</v>
      </c>
      <c r="GP142" t="e">
        <f>AND('UP133'!BS105,"AAAAAF++7sU=")</f>
        <v>#VALUE!</v>
      </c>
      <c r="GQ142" t="e">
        <f>AND('UP133'!BT105,"AAAAAF++7sY=")</f>
        <v>#VALUE!</v>
      </c>
      <c r="GR142" t="e">
        <f>AND('UP133'!BU105,"AAAAAF++7sc=")</f>
        <v>#VALUE!</v>
      </c>
      <c r="GS142" t="e">
        <f>AND('UP133'!BV105,"AAAAAF++7sg=")</f>
        <v>#VALUE!</v>
      </c>
      <c r="GT142" t="e">
        <f>AND('UP133'!BW105,"AAAAAF++7sk=")</f>
        <v>#VALUE!</v>
      </c>
      <c r="GU142" t="e">
        <f>AND('UP133'!BX105,"AAAAAF++7so=")</f>
        <v>#VALUE!</v>
      </c>
      <c r="GV142" t="e">
        <f>AND('UP133'!BY105,"AAAAAF++7ss=")</f>
        <v>#VALUE!</v>
      </c>
      <c r="GW142" t="e">
        <f>AND('UP133'!BZ105,"AAAAAF++7sw=")</f>
        <v>#VALUE!</v>
      </c>
      <c r="GX142" t="e">
        <f>AND('UP133'!CA105,"AAAAAF++7s0=")</f>
        <v>#VALUE!</v>
      </c>
      <c r="GY142" t="e">
        <f>AND('UP133'!CB105,"AAAAAF++7s4=")</f>
        <v>#VALUE!</v>
      </c>
      <c r="GZ142" t="e">
        <f>AND('UP133'!CC105,"AAAAAF++7s8=")</f>
        <v>#VALUE!</v>
      </c>
      <c r="HA142" t="e">
        <f>AND('UP133'!CD105,"AAAAAF++7tA=")</f>
        <v>#VALUE!</v>
      </c>
      <c r="HB142" t="e">
        <f>AND('UP133'!CE105,"AAAAAF++7tE=")</f>
        <v>#VALUE!</v>
      </c>
      <c r="HC142" t="e">
        <f>AND('UP133'!CF105,"AAAAAF++7tI=")</f>
        <v>#VALUE!</v>
      </c>
      <c r="HD142" t="e">
        <f>AND('UP133'!CG105,"AAAAAF++7tM=")</f>
        <v>#VALUE!</v>
      </c>
      <c r="HE142" t="e">
        <f>AND('UP133'!CH105,"AAAAAF++7tQ=")</f>
        <v>#VALUE!</v>
      </c>
      <c r="HF142" t="e">
        <f>AND('UP133'!CI105,"AAAAAF++7tU=")</f>
        <v>#VALUE!</v>
      </c>
      <c r="HG142" t="e">
        <f>AND('UP133'!CJ105,"AAAAAF++7tY=")</f>
        <v>#VALUE!</v>
      </c>
      <c r="HH142" t="e">
        <f>AND('UP133'!CK105,"AAAAAF++7tc=")</f>
        <v>#VALUE!</v>
      </c>
      <c r="HI142" t="e">
        <f>AND('UP133'!CL105,"AAAAAF++7tg=")</f>
        <v>#VALUE!</v>
      </c>
      <c r="HJ142" t="e">
        <f>AND('UP133'!CM105,"AAAAAF++7tk=")</f>
        <v>#VALUE!</v>
      </c>
      <c r="HK142" t="e">
        <f>AND('UP133'!CN105,"AAAAAF++7to=")</f>
        <v>#VALUE!</v>
      </c>
      <c r="HL142" t="e">
        <f>AND('UP133'!CO105,"AAAAAF++7ts=")</f>
        <v>#VALUE!</v>
      </c>
      <c r="HM142" t="e">
        <f>AND('UP133'!CP105,"AAAAAF++7tw=")</f>
        <v>#VALUE!</v>
      </c>
      <c r="HN142" t="e">
        <f>AND('UP133'!CQ105,"AAAAAF++7t0=")</f>
        <v>#VALUE!</v>
      </c>
      <c r="HO142" t="e">
        <f>AND('UP133'!CR105,"AAAAAF++7t4=")</f>
        <v>#VALUE!</v>
      </c>
      <c r="HP142" t="e">
        <f>AND('UP133'!CS105,"AAAAAF++7t8=")</f>
        <v>#VALUE!</v>
      </c>
      <c r="HQ142" t="e">
        <f>AND('UP133'!CT105,"AAAAAF++7uA=")</f>
        <v>#VALUE!</v>
      </c>
      <c r="HR142" t="e">
        <f>AND('UP133'!CU105,"AAAAAF++7uE=")</f>
        <v>#VALUE!</v>
      </c>
      <c r="HS142" t="e">
        <f>AND('UP133'!CV105,"AAAAAF++7uI=")</f>
        <v>#VALUE!</v>
      </c>
      <c r="HT142" t="e">
        <f>AND('UP133'!CW105,"AAAAAF++7uM=")</f>
        <v>#VALUE!</v>
      </c>
      <c r="HU142" t="e">
        <f>AND('UP133'!CX105,"AAAAAF++7uQ=")</f>
        <v>#VALUE!</v>
      </c>
      <c r="HV142" t="e">
        <f>AND('UP133'!CY105,"AAAAAF++7uU=")</f>
        <v>#VALUE!</v>
      </c>
      <c r="HW142" t="e">
        <f>AND('UP133'!CZ105,"AAAAAF++7uY=")</f>
        <v>#VALUE!</v>
      </c>
      <c r="HX142" t="e">
        <f>AND('UP133'!DA105,"AAAAAF++7uc=")</f>
        <v>#VALUE!</v>
      </c>
      <c r="HY142" t="e">
        <f>AND('UP133'!DB105,"AAAAAF++7ug=")</f>
        <v>#VALUE!</v>
      </c>
      <c r="HZ142" t="e">
        <f>AND('UP133'!DC105,"AAAAAF++7uk=")</f>
        <v>#VALUE!</v>
      </c>
      <c r="IA142" t="e">
        <f>AND('UP133'!DD105,"AAAAAF++7uo=")</f>
        <v>#VALUE!</v>
      </c>
      <c r="IB142" t="e">
        <f>AND('UP133'!DE105,"AAAAAF++7us=")</f>
        <v>#VALUE!</v>
      </c>
      <c r="IC142" t="e">
        <f>AND('UP133'!DF105,"AAAAAF++7uw=")</f>
        <v>#VALUE!</v>
      </c>
      <c r="ID142" t="e">
        <f>AND('UP133'!DG105,"AAAAAF++7u0=")</f>
        <v>#VALUE!</v>
      </c>
      <c r="IE142" t="e">
        <f>AND('UP133'!DH105,"AAAAAF++7u4=")</f>
        <v>#VALUE!</v>
      </c>
      <c r="IF142" t="e">
        <f>AND('UP133'!DI105,"AAAAAF++7u8=")</f>
        <v>#VALUE!</v>
      </c>
      <c r="IG142" t="e">
        <f>AND('UP133'!DJ105,"AAAAAF++7vA=")</f>
        <v>#VALUE!</v>
      </c>
      <c r="IH142" t="e">
        <f>AND('UP133'!DK105,"AAAAAF++7vE=")</f>
        <v>#VALUE!</v>
      </c>
      <c r="II142" t="e">
        <f>AND('UP133'!DL105,"AAAAAF++7vI=")</f>
        <v>#VALUE!</v>
      </c>
      <c r="IJ142" t="e">
        <f>AND('UP133'!DM105,"AAAAAF++7vM=")</f>
        <v>#VALUE!</v>
      </c>
      <c r="IK142" t="e">
        <f>AND('UP133'!DN105,"AAAAAF++7vQ=")</f>
        <v>#VALUE!</v>
      </c>
      <c r="IL142" t="e">
        <f>AND('UP133'!DO105,"AAAAAF++7vU=")</f>
        <v>#VALUE!</v>
      </c>
      <c r="IM142" t="e">
        <f>AND('UP133'!DP105,"AAAAAF++7vY=")</f>
        <v>#VALUE!</v>
      </c>
      <c r="IN142" t="e">
        <f>AND('UP133'!DQ105,"AAAAAF++7vc=")</f>
        <v>#VALUE!</v>
      </c>
      <c r="IO142" t="e">
        <f>AND('UP133'!DR105,"AAAAAF++7vg=")</f>
        <v>#VALUE!</v>
      </c>
      <c r="IP142" t="e">
        <f>AND('UP133'!DS105,"AAAAAF++7vk=")</f>
        <v>#VALUE!</v>
      </c>
      <c r="IQ142" t="e">
        <f>AND('UP133'!DT105,"AAAAAF++7vo=")</f>
        <v>#VALUE!</v>
      </c>
      <c r="IR142" t="e">
        <f>AND('UP133'!DU105,"AAAAAF++7vs=")</f>
        <v>#VALUE!</v>
      </c>
      <c r="IS142" t="e">
        <f>AND('UP133'!DV105,"AAAAAF++7vw=")</f>
        <v>#VALUE!</v>
      </c>
      <c r="IT142" t="e">
        <f>AND('UP133'!DW105,"AAAAAF++7v0=")</f>
        <v>#VALUE!</v>
      </c>
      <c r="IU142" t="e">
        <f>AND('UP133'!DX105,"AAAAAF++7v4=")</f>
        <v>#VALUE!</v>
      </c>
      <c r="IV142" t="e">
        <f>AND('UP133'!DY105,"AAAAAF++7v8=")</f>
        <v>#VALUE!</v>
      </c>
    </row>
    <row r="143" spans="1:256">
      <c r="A143" t="e">
        <f>AND('UP133'!DZ105,"AAAAAHbL6wA=")</f>
        <v>#VALUE!</v>
      </c>
      <c r="B143" t="e">
        <f>AND('UP133'!EA105,"AAAAAHbL6wE=")</f>
        <v>#VALUE!</v>
      </c>
      <c r="C143" t="e">
        <f>AND('UP133'!EB105,"AAAAAHbL6wI=")</f>
        <v>#VALUE!</v>
      </c>
      <c r="D143" t="e">
        <f>AND('UP133'!EC105,"AAAAAHbL6wM=")</f>
        <v>#VALUE!</v>
      </c>
      <c r="E143" t="e">
        <f>AND('UP133'!ED105,"AAAAAHbL6wQ=")</f>
        <v>#VALUE!</v>
      </c>
      <c r="F143" t="e">
        <f>AND('UP133'!EE105,"AAAAAHbL6wU=")</f>
        <v>#VALUE!</v>
      </c>
      <c r="G143" t="e">
        <f>AND('UP133'!EF105,"AAAAAHbL6wY=")</f>
        <v>#VALUE!</v>
      </c>
      <c r="H143" t="e">
        <f>AND('UP133'!EG105,"AAAAAHbL6wc=")</f>
        <v>#VALUE!</v>
      </c>
      <c r="I143" t="e">
        <f>AND('UP133'!EH105,"AAAAAHbL6wg=")</f>
        <v>#VALUE!</v>
      </c>
      <c r="J143" t="e">
        <f>AND('UP133'!EI105,"AAAAAHbL6wk=")</f>
        <v>#VALUE!</v>
      </c>
      <c r="K143" t="e">
        <f>AND('UP133'!EJ105,"AAAAAHbL6wo=")</f>
        <v>#VALUE!</v>
      </c>
      <c r="L143" t="e">
        <f>AND('UP133'!EK105,"AAAAAHbL6ws=")</f>
        <v>#VALUE!</v>
      </c>
      <c r="M143" t="e">
        <f>AND('UP133'!EL105,"AAAAAHbL6ww=")</f>
        <v>#VALUE!</v>
      </c>
      <c r="N143" t="e">
        <f>AND('UP133'!EM105,"AAAAAHbL6w0=")</f>
        <v>#VALUE!</v>
      </c>
      <c r="O143" t="e">
        <f>AND('UP133'!EN105,"AAAAAHbL6w4=")</f>
        <v>#VALUE!</v>
      </c>
      <c r="P143" t="e">
        <f>AND('UP133'!EO105,"AAAAAHbL6w8=")</f>
        <v>#VALUE!</v>
      </c>
      <c r="Q143" t="e">
        <f>AND('UP133'!EP105,"AAAAAHbL6xA=")</f>
        <v>#VALUE!</v>
      </c>
      <c r="R143" t="e">
        <f>AND('UP133'!EQ105,"AAAAAHbL6xE=")</f>
        <v>#VALUE!</v>
      </c>
      <c r="S143" t="e">
        <f>AND('UP133'!ER105,"AAAAAHbL6xI=")</f>
        <v>#VALUE!</v>
      </c>
      <c r="T143" t="e">
        <f>AND('UP133'!ES105,"AAAAAHbL6xM=")</f>
        <v>#VALUE!</v>
      </c>
      <c r="U143" t="e">
        <f>AND('UP133'!ET105,"AAAAAHbL6xQ=")</f>
        <v>#VALUE!</v>
      </c>
      <c r="V143" t="e">
        <f>AND('UP133'!EU105,"AAAAAHbL6xU=")</f>
        <v>#VALUE!</v>
      </c>
      <c r="W143" t="e">
        <f>AND('UP133'!EV105,"AAAAAHbL6xY=")</f>
        <v>#VALUE!</v>
      </c>
      <c r="X143" t="e">
        <f>AND('UP133'!EW105,"AAAAAHbL6xc=")</f>
        <v>#VALUE!</v>
      </c>
      <c r="Y143" t="e">
        <f>AND('UP133'!EX105,"AAAAAHbL6xg=")</f>
        <v>#VALUE!</v>
      </c>
      <c r="Z143" t="e">
        <f>AND('UP133'!EY105,"AAAAAHbL6xk=")</f>
        <v>#VALUE!</v>
      </c>
      <c r="AA143" t="e">
        <f>AND('UP133'!EZ105,"AAAAAHbL6xo=")</f>
        <v>#VALUE!</v>
      </c>
      <c r="AB143" t="e">
        <f>AND('UP133'!FA105,"AAAAAHbL6xs=")</f>
        <v>#VALUE!</v>
      </c>
      <c r="AC143" t="e">
        <f>AND('UP133'!FB105,"AAAAAHbL6xw=")</f>
        <v>#VALUE!</v>
      </c>
      <c r="AD143" t="e">
        <f>AND('UP133'!FC105,"AAAAAHbL6x0=")</f>
        <v>#VALUE!</v>
      </c>
      <c r="AE143" t="e">
        <f>AND('UP133'!FD105,"AAAAAHbL6x4=")</f>
        <v>#VALUE!</v>
      </c>
      <c r="AF143" t="e">
        <f>AND('UP133'!FE105,"AAAAAHbL6x8=")</f>
        <v>#VALUE!</v>
      </c>
      <c r="AG143" t="e">
        <f>AND('UP133'!FF105,"AAAAAHbL6yA=")</f>
        <v>#VALUE!</v>
      </c>
      <c r="AH143" t="e">
        <f>AND('UP133'!FG105,"AAAAAHbL6yE=")</f>
        <v>#VALUE!</v>
      </c>
      <c r="AI143" t="e">
        <f>AND('UP133'!FH105,"AAAAAHbL6yI=")</f>
        <v>#VALUE!</v>
      </c>
      <c r="AJ143" t="e">
        <f>AND('UP133'!FI105,"AAAAAHbL6yM=")</f>
        <v>#VALUE!</v>
      </c>
      <c r="AK143" t="e">
        <f>AND('UP133'!FJ105,"AAAAAHbL6yQ=")</f>
        <v>#VALUE!</v>
      </c>
      <c r="AL143" t="e">
        <f>AND('UP133'!FK105,"AAAAAHbL6yU=")</f>
        <v>#VALUE!</v>
      </c>
      <c r="AM143" t="e">
        <f>AND('UP133'!FL105,"AAAAAHbL6yY=")</f>
        <v>#VALUE!</v>
      </c>
      <c r="AN143" t="e">
        <f>AND('UP133'!FM105,"AAAAAHbL6yc=")</f>
        <v>#VALUE!</v>
      </c>
      <c r="AO143" t="e">
        <f>AND('UP133'!FN105,"AAAAAHbL6yg=")</f>
        <v>#VALUE!</v>
      </c>
      <c r="AP143" t="e">
        <f>AND('UP133'!FO105,"AAAAAHbL6yk=")</f>
        <v>#VALUE!</v>
      </c>
      <c r="AQ143" t="e">
        <f>AND('UP133'!FP105,"AAAAAHbL6yo=")</f>
        <v>#VALUE!</v>
      </c>
      <c r="AR143" t="e">
        <f>AND('UP133'!FQ105,"AAAAAHbL6ys=")</f>
        <v>#VALUE!</v>
      </c>
      <c r="AS143" t="e">
        <f>AND('UP133'!FR105,"AAAAAHbL6yw=")</f>
        <v>#VALUE!</v>
      </c>
      <c r="AT143" t="e">
        <f>AND('UP133'!FS105,"AAAAAHbL6y0=")</f>
        <v>#VALUE!</v>
      </c>
      <c r="AU143" t="e">
        <f>AND('UP133'!FT105,"AAAAAHbL6y4=")</f>
        <v>#VALUE!</v>
      </c>
      <c r="AV143" t="e">
        <f>AND('UP133'!FU105,"AAAAAHbL6y8=")</f>
        <v>#VALUE!</v>
      </c>
      <c r="AW143" t="e">
        <f>AND('UP133'!FV105,"AAAAAHbL6zA=")</f>
        <v>#VALUE!</v>
      </c>
      <c r="AX143" t="e">
        <f>AND('UP133'!FW105,"AAAAAHbL6zE=")</f>
        <v>#VALUE!</v>
      </c>
      <c r="AY143" t="e">
        <f>AND('UP133'!FX105,"AAAAAHbL6zI=")</f>
        <v>#VALUE!</v>
      </c>
      <c r="AZ143" t="e">
        <f>AND('UP133'!FY105,"AAAAAHbL6zM=")</f>
        <v>#VALUE!</v>
      </c>
      <c r="BA143" t="e">
        <f>AND('UP133'!FZ105,"AAAAAHbL6zQ=")</f>
        <v>#VALUE!</v>
      </c>
      <c r="BB143" t="e">
        <f>AND('UP133'!GA105,"AAAAAHbL6zU=")</f>
        <v>#VALUE!</v>
      </c>
      <c r="BC143" t="e">
        <f>AND('UP133'!GB105,"AAAAAHbL6zY=")</f>
        <v>#VALUE!</v>
      </c>
      <c r="BD143" t="e">
        <f>AND('UP133'!GC105,"AAAAAHbL6zc=")</f>
        <v>#VALUE!</v>
      </c>
      <c r="BE143" t="e">
        <f>AND('UP133'!GD105,"AAAAAHbL6zg=")</f>
        <v>#VALUE!</v>
      </c>
      <c r="BF143" t="e">
        <f>AND('UP133'!GE105,"AAAAAHbL6zk=")</f>
        <v>#VALUE!</v>
      </c>
      <c r="BG143" t="e">
        <f>AND('UP133'!GF105,"AAAAAHbL6zo=")</f>
        <v>#VALUE!</v>
      </c>
      <c r="BH143" t="e">
        <f>AND('UP133'!GG105,"AAAAAHbL6zs=")</f>
        <v>#VALUE!</v>
      </c>
      <c r="BI143" t="e">
        <f>AND('UP133'!GH105,"AAAAAHbL6zw=")</f>
        <v>#VALUE!</v>
      </c>
      <c r="BJ143" t="e">
        <f>AND('UP133'!GI105,"AAAAAHbL6z0=")</f>
        <v>#VALUE!</v>
      </c>
      <c r="BK143" t="e">
        <f>AND('UP133'!GJ105,"AAAAAHbL6z4=")</f>
        <v>#VALUE!</v>
      </c>
      <c r="BL143" t="e">
        <f>AND('UP133'!GK105,"AAAAAHbL6z8=")</f>
        <v>#VALUE!</v>
      </c>
      <c r="BM143" t="e">
        <f>AND('UP133'!GL105,"AAAAAHbL60A=")</f>
        <v>#VALUE!</v>
      </c>
      <c r="BN143" t="e">
        <f>AND('UP133'!GM105,"AAAAAHbL60E=")</f>
        <v>#VALUE!</v>
      </c>
      <c r="BO143" t="e">
        <f>AND('UP133'!GN105,"AAAAAHbL60I=")</f>
        <v>#VALUE!</v>
      </c>
      <c r="BP143" t="e">
        <f>AND('UP133'!GO105,"AAAAAHbL60M=")</f>
        <v>#VALUE!</v>
      </c>
      <c r="BQ143" t="e">
        <f>AND('UP133'!GP105,"AAAAAHbL60Q=")</f>
        <v>#VALUE!</v>
      </c>
      <c r="BR143" t="e">
        <f>AND('UP133'!GQ105,"AAAAAHbL60U=")</f>
        <v>#VALUE!</v>
      </c>
      <c r="BS143" t="e">
        <f>AND('UP133'!GR105,"AAAAAHbL60Y=")</f>
        <v>#VALUE!</v>
      </c>
      <c r="BT143" t="e">
        <f>AND('UP133'!GS105,"AAAAAHbL60c=")</f>
        <v>#VALUE!</v>
      </c>
      <c r="BU143" t="e">
        <f>AND('UP133'!GT105,"AAAAAHbL60g=")</f>
        <v>#VALUE!</v>
      </c>
      <c r="BV143" t="e">
        <f>AND('UP133'!GU105,"AAAAAHbL60k=")</f>
        <v>#VALUE!</v>
      </c>
      <c r="BW143" t="e">
        <f>AND('UP133'!GV105,"AAAAAHbL60o=")</f>
        <v>#VALUE!</v>
      </c>
      <c r="BX143" t="e">
        <f>AND('UP133'!GW105,"AAAAAHbL60s=")</f>
        <v>#VALUE!</v>
      </c>
      <c r="BY143" t="e">
        <f>AND('UP133'!GX105,"AAAAAHbL60w=")</f>
        <v>#VALUE!</v>
      </c>
      <c r="BZ143" t="e">
        <f>AND('UP133'!GY105,"AAAAAHbL600=")</f>
        <v>#VALUE!</v>
      </c>
      <c r="CA143" t="e">
        <f>AND('UP133'!GZ105,"AAAAAHbL604=")</f>
        <v>#VALUE!</v>
      </c>
      <c r="CB143" t="e">
        <f>AND('UP133'!HA105,"AAAAAHbL608=")</f>
        <v>#VALUE!</v>
      </c>
      <c r="CC143" t="e">
        <f>AND('UP133'!HB105,"AAAAAHbL61A=")</f>
        <v>#VALUE!</v>
      </c>
      <c r="CD143" t="e">
        <f>AND('UP133'!HC105,"AAAAAHbL61E=")</f>
        <v>#VALUE!</v>
      </c>
      <c r="CE143" t="e">
        <f>AND('UP133'!HD105,"AAAAAHbL61I=")</f>
        <v>#VALUE!</v>
      </c>
      <c r="CF143" t="e">
        <f>AND('UP133'!HE105,"AAAAAHbL61M=")</f>
        <v>#VALUE!</v>
      </c>
      <c r="CG143" t="e">
        <f>AND('UP133'!HF105,"AAAAAHbL61Q=")</f>
        <v>#VALUE!</v>
      </c>
      <c r="CH143" t="e">
        <f>AND('UP133'!HG105,"AAAAAHbL61U=")</f>
        <v>#VALUE!</v>
      </c>
      <c r="CI143" t="e">
        <f>AND('UP133'!HH105,"AAAAAHbL61Y=")</f>
        <v>#VALUE!</v>
      </c>
      <c r="CJ143" t="e">
        <f>AND('UP133'!HI105,"AAAAAHbL61c=")</f>
        <v>#VALUE!</v>
      </c>
      <c r="CK143" t="e">
        <f>AND('UP133'!HJ105,"AAAAAHbL61g=")</f>
        <v>#VALUE!</v>
      </c>
      <c r="CL143" t="e">
        <f>AND('UP133'!HK105,"AAAAAHbL61k=")</f>
        <v>#VALUE!</v>
      </c>
      <c r="CM143" t="e">
        <f>AND('UP133'!HL105,"AAAAAHbL61o=")</f>
        <v>#VALUE!</v>
      </c>
      <c r="CN143" t="e">
        <f>AND('UP133'!HM105,"AAAAAHbL61s=")</f>
        <v>#VALUE!</v>
      </c>
      <c r="CO143" t="e">
        <f>AND('UP133'!HN105,"AAAAAHbL61w=")</f>
        <v>#VALUE!</v>
      </c>
      <c r="CP143" t="e">
        <f>AND('UP133'!HO105,"AAAAAHbL610=")</f>
        <v>#VALUE!</v>
      </c>
      <c r="CQ143" t="e">
        <f>AND('UP133'!HP105,"AAAAAHbL614=")</f>
        <v>#VALUE!</v>
      </c>
      <c r="CR143" t="e">
        <f>AND('UP133'!HQ105,"AAAAAHbL618=")</f>
        <v>#VALUE!</v>
      </c>
      <c r="CS143" t="e">
        <f>AND('UP133'!HR105,"AAAAAHbL62A=")</f>
        <v>#VALUE!</v>
      </c>
      <c r="CT143" t="e">
        <f>AND('UP133'!HS105,"AAAAAHbL62E=")</f>
        <v>#VALUE!</v>
      </c>
      <c r="CU143" t="e">
        <f>AND('UP133'!HT105,"AAAAAHbL62I=")</f>
        <v>#VALUE!</v>
      </c>
      <c r="CV143" t="e">
        <f>AND('UP133'!HU105,"AAAAAHbL62M=")</f>
        <v>#VALUE!</v>
      </c>
      <c r="CW143" t="e">
        <f>AND('UP133'!HV105,"AAAAAHbL62Q=")</f>
        <v>#VALUE!</v>
      </c>
      <c r="CX143" t="e">
        <f>AND('UP133'!HW105,"AAAAAHbL62U=")</f>
        <v>#VALUE!</v>
      </c>
      <c r="CY143" t="e">
        <f>AND('UP133'!HX105,"AAAAAHbL62Y=")</f>
        <v>#VALUE!</v>
      </c>
      <c r="CZ143" t="e">
        <f>AND('UP133'!HY105,"AAAAAHbL62c=")</f>
        <v>#VALUE!</v>
      </c>
      <c r="DA143" t="e">
        <f>AND('UP133'!HZ105,"AAAAAHbL62g=")</f>
        <v>#VALUE!</v>
      </c>
      <c r="DB143" t="e">
        <f>AND('UP133'!IA105,"AAAAAHbL62k=")</f>
        <v>#VALUE!</v>
      </c>
      <c r="DC143" t="e">
        <f>AND('UP133'!IB105,"AAAAAHbL62o=")</f>
        <v>#VALUE!</v>
      </c>
      <c r="DD143" t="e">
        <f>AND('UP133'!IC105,"AAAAAHbL62s=")</f>
        <v>#VALUE!</v>
      </c>
      <c r="DE143" t="e">
        <f>AND('UP133'!ID105,"AAAAAHbL62w=")</f>
        <v>#VALUE!</v>
      </c>
      <c r="DF143" t="e">
        <f>AND('UP133'!IE105,"AAAAAHbL620=")</f>
        <v>#VALUE!</v>
      </c>
      <c r="DG143" t="e">
        <f>AND('UP133'!IF105,"AAAAAHbL624=")</f>
        <v>#VALUE!</v>
      </c>
      <c r="DH143" t="e">
        <f>AND('UP133'!IG105,"AAAAAHbL628=")</f>
        <v>#VALUE!</v>
      </c>
      <c r="DI143" t="e">
        <f>AND('UP133'!IH105,"AAAAAHbL63A=")</f>
        <v>#VALUE!</v>
      </c>
      <c r="DJ143" t="e">
        <f>AND('UP133'!II105,"AAAAAHbL63E=")</f>
        <v>#VALUE!</v>
      </c>
      <c r="DK143" t="e">
        <f>AND('UP133'!IJ105,"AAAAAHbL63I=")</f>
        <v>#VALUE!</v>
      </c>
      <c r="DL143" t="e">
        <f>AND('UP133'!IK105,"AAAAAHbL63M=")</f>
        <v>#VALUE!</v>
      </c>
      <c r="DM143" t="e">
        <f>AND('UP133'!IL105,"AAAAAHbL63Q=")</f>
        <v>#VALUE!</v>
      </c>
      <c r="DN143" t="e">
        <f>AND('UP133'!IM105,"AAAAAHbL63U=")</f>
        <v>#VALUE!</v>
      </c>
      <c r="DO143" t="e">
        <f>AND('UP133'!IN105,"AAAAAHbL63Y=")</f>
        <v>#VALUE!</v>
      </c>
      <c r="DP143" t="e">
        <f>AND('UP133'!IO105,"AAAAAHbL63c=")</f>
        <v>#VALUE!</v>
      </c>
      <c r="DQ143" t="e">
        <f>AND('UP133'!IP105,"AAAAAHbL63g=")</f>
        <v>#VALUE!</v>
      </c>
      <c r="DR143" t="e">
        <f>AND('UP133'!IQ105,"AAAAAHbL63k=")</f>
        <v>#VALUE!</v>
      </c>
      <c r="DS143">
        <f>IF('UP133'!106:106,"AAAAAHbL63o=",0)</f>
        <v>0</v>
      </c>
      <c r="DT143" t="e">
        <f>AND('UP133'!A106,"AAAAAHbL63s=")</f>
        <v>#VALUE!</v>
      </c>
      <c r="DU143" t="e">
        <f>AND('UP133'!B106,"AAAAAHbL63w=")</f>
        <v>#VALUE!</v>
      </c>
      <c r="DV143" t="e">
        <f>AND('UP133'!C106,"AAAAAHbL630=")</f>
        <v>#VALUE!</v>
      </c>
      <c r="DW143" t="e">
        <f>AND('UP133'!D106,"AAAAAHbL634=")</f>
        <v>#VALUE!</v>
      </c>
      <c r="DX143" t="e">
        <f>AND('UP133'!E106,"AAAAAHbL638=")</f>
        <v>#VALUE!</v>
      </c>
      <c r="DY143" t="e">
        <f>AND('UP133'!F106,"AAAAAHbL64A=")</f>
        <v>#VALUE!</v>
      </c>
      <c r="DZ143" t="e">
        <f>AND('UP133'!G106,"AAAAAHbL64E=")</f>
        <v>#VALUE!</v>
      </c>
      <c r="EA143" t="e">
        <f>AND('UP133'!H106,"AAAAAHbL64I=")</f>
        <v>#VALUE!</v>
      </c>
      <c r="EB143" t="e">
        <f>AND('UP133'!I106,"AAAAAHbL64M=")</f>
        <v>#VALUE!</v>
      </c>
      <c r="EC143" t="e">
        <f>AND('UP133'!J106,"AAAAAHbL64Q=")</f>
        <v>#VALUE!</v>
      </c>
      <c r="ED143" t="e">
        <f>AND('UP133'!K106,"AAAAAHbL64U=")</f>
        <v>#VALUE!</v>
      </c>
      <c r="EE143" t="e">
        <f>AND('UP133'!L106,"AAAAAHbL64Y=")</f>
        <v>#VALUE!</v>
      </c>
      <c r="EF143" t="e">
        <f>AND('UP133'!M106,"AAAAAHbL64c=")</f>
        <v>#VALUE!</v>
      </c>
      <c r="EG143" t="e">
        <f>AND('UP133'!N106,"AAAAAHbL64g=")</f>
        <v>#VALUE!</v>
      </c>
      <c r="EH143" t="e">
        <f>AND('UP133'!O106,"AAAAAHbL64k=")</f>
        <v>#VALUE!</v>
      </c>
      <c r="EI143" t="e">
        <f>AND('UP133'!P106,"AAAAAHbL64o=")</f>
        <v>#VALUE!</v>
      </c>
      <c r="EJ143" t="e">
        <f>AND('UP133'!Q106,"AAAAAHbL64s=")</f>
        <v>#VALUE!</v>
      </c>
      <c r="EK143" t="e">
        <f>AND('UP133'!R106,"AAAAAHbL64w=")</f>
        <v>#VALUE!</v>
      </c>
      <c r="EL143" t="e">
        <f>AND('UP133'!S106,"AAAAAHbL640=")</f>
        <v>#VALUE!</v>
      </c>
      <c r="EM143" t="e">
        <f>AND('UP133'!T106,"AAAAAHbL644=")</f>
        <v>#VALUE!</v>
      </c>
      <c r="EN143" t="e">
        <f>AND('UP133'!U106,"AAAAAHbL648=")</f>
        <v>#VALUE!</v>
      </c>
      <c r="EO143" t="e">
        <f>AND('UP133'!V106,"AAAAAHbL65A=")</f>
        <v>#VALUE!</v>
      </c>
      <c r="EP143" t="e">
        <f>AND('UP133'!W106,"AAAAAHbL65E=")</f>
        <v>#VALUE!</v>
      </c>
      <c r="EQ143" t="e">
        <f>AND('UP133'!X106,"AAAAAHbL65I=")</f>
        <v>#VALUE!</v>
      </c>
      <c r="ER143" t="e">
        <f>AND('UP133'!Y106,"AAAAAHbL65M=")</f>
        <v>#VALUE!</v>
      </c>
      <c r="ES143" t="e">
        <f>AND('UP133'!Z106,"AAAAAHbL65Q=")</f>
        <v>#VALUE!</v>
      </c>
      <c r="ET143" t="e">
        <f>AND('UP133'!AA106,"AAAAAHbL65U=")</f>
        <v>#VALUE!</v>
      </c>
      <c r="EU143" t="e">
        <f>AND('UP133'!AB106,"AAAAAHbL65Y=")</f>
        <v>#VALUE!</v>
      </c>
      <c r="EV143" t="e">
        <f>AND('UP133'!AC106,"AAAAAHbL65c=")</f>
        <v>#VALUE!</v>
      </c>
      <c r="EW143" t="e">
        <f>AND('UP133'!AD106,"AAAAAHbL65g=")</f>
        <v>#VALUE!</v>
      </c>
      <c r="EX143" t="e">
        <f>AND('UP133'!AE106,"AAAAAHbL65k=")</f>
        <v>#VALUE!</v>
      </c>
      <c r="EY143" t="e">
        <f>AND('UP133'!AF106,"AAAAAHbL65o=")</f>
        <v>#VALUE!</v>
      </c>
      <c r="EZ143" t="e">
        <f>AND('UP133'!AG106,"AAAAAHbL65s=")</f>
        <v>#VALUE!</v>
      </c>
      <c r="FA143" t="e">
        <f>AND('UP133'!AH106,"AAAAAHbL65w=")</f>
        <v>#VALUE!</v>
      </c>
      <c r="FB143" t="e">
        <f>AND('UP133'!AI106,"AAAAAHbL650=")</f>
        <v>#VALUE!</v>
      </c>
      <c r="FC143" t="e">
        <f>AND('UP133'!AJ106,"AAAAAHbL654=")</f>
        <v>#VALUE!</v>
      </c>
      <c r="FD143" t="e">
        <f>AND('UP133'!AK106,"AAAAAHbL658=")</f>
        <v>#VALUE!</v>
      </c>
      <c r="FE143" t="e">
        <f>AND('UP133'!AL106,"AAAAAHbL66A=")</f>
        <v>#VALUE!</v>
      </c>
      <c r="FF143" t="e">
        <f>AND('UP133'!AM106,"AAAAAHbL66E=")</f>
        <v>#VALUE!</v>
      </c>
      <c r="FG143" t="e">
        <f>AND('UP133'!AN106,"AAAAAHbL66I=")</f>
        <v>#VALUE!</v>
      </c>
      <c r="FH143" t="e">
        <f>AND('UP133'!AO106,"AAAAAHbL66M=")</f>
        <v>#VALUE!</v>
      </c>
      <c r="FI143" t="e">
        <f>AND('UP133'!AP106,"AAAAAHbL66Q=")</f>
        <v>#VALUE!</v>
      </c>
      <c r="FJ143" t="e">
        <f>AND('UP133'!AQ106,"AAAAAHbL66U=")</f>
        <v>#VALUE!</v>
      </c>
      <c r="FK143" t="e">
        <f>AND('UP133'!AR106,"AAAAAHbL66Y=")</f>
        <v>#VALUE!</v>
      </c>
      <c r="FL143" t="e">
        <f>AND('UP133'!AS106,"AAAAAHbL66c=")</f>
        <v>#VALUE!</v>
      </c>
      <c r="FM143" t="e">
        <f>AND('UP133'!AT106,"AAAAAHbL66g=")</f>
        <v>#VALUE!</v>
      </c>
      <c r="FN143" t="e">
        <f>AND('UP133'!AU106,"AAAAAHbL66k=")</f>
        <v>#VALUE!</v>
      </c>
      <c r="FO143" t="e">
        <f>AND('UP133'!AV106,"AAAAAHbL66o=")</f>
        <v>#VALUE!</v>
      </c>
      <c r="FP143" t="e">
        <f>AND('UP133'!AW106,"AAAAAHbL66s=")</f>
        <v>#VALUE!</v>
      </c>
      <c r="FQ143" t="e">
        <f>AND('UP133'!AX106,"AAAAAHbL66w=")</f>
        <v>#VALUE!</v>
      </c>
      <c r="FR143" t="e">
        <f>AND('UP133'!AY106,"AAAAAHbL660=")</f>
        <v>#VALUE!</v>
      </c>
      <c r="FS143" t="e">
        <f>AND('UP133'!AZ106,"AAAAAHbL664=")</f>
        <v>#VALUE!</v>
      </c>
      <c r="FT143" t="e">
        <f>AND('UP133'!BA106,"AAAAAHbL668=")</f>
        <v>#VALUE!</v>
      </c>
      <c r="FU143" t="e">
        <f>AND('UP133'!BB106,"AAAAAHbL67A=")</f>
        <v>#VALUE!</v>
      </c>
      <c r="FV143" t="e">
        <f>AND('UP133'!BC106,"AAAAAHbL67E=")</f>
        <v>#VALUE!</v>
      </c>
      <c r="FW143" t="e">
        <f>AND('UP133'!BD106,"AAAAAHbL67I=")</f>
        <v>#VALUE!</v>
      </c>
      <c r="FX143" t="e">
        <f>AND('UP133'!BE106,"AAAAAHbL67M=")</f>
        <v>#VALUE!</v>
      </c>
      <c r="FY143" t="e">
        <f>AND('UP133'!BF106,"AAAAAHbL67Q=")</f>
        <v>#VALUE!</v>
      </c>
      <c r="FZ143" t="e">
        <f>AND('UP133'!BG106,"AAAAAHbL67U=")</f>
        <v>#VALUE!</v>
      </c>
      <c r="GA143" t="e">
        <f>AND('UP133'!BH106,"AAAAAHbL67Y=")</f>
        <v>#VALUE!</v>
      </c>
      <c r="GB143" t="e">
        <f>AND('UP133'!BI106,"AAAAAHbL67c=")</f>
        <v>#VALUE!</v>
      </c>
      <c r="GC143" t="e">
        <f>AND('UP133'!BJ106,"AAAAAHbL67g=")</f>
        <v>#VALUE!</v>
      </c>
      <c r="GD143" t="e">
        <f>AND('UP133'!BK106,"AAAAAHbL67k=")</f>
        <v>#VALUE!</v>
      </c>
      <c r="GE143" t="e">
        <f>AND('UP133'!BL106,"AAAAAHbL67o=")</f>
        <v>#VALUE!</v>
      </c>
      <c r="GF143" t="e">
        <f>AND('UP133'!BM106,"AAAAAHbL67s=")</f>
        <v>#VALUE!</v>
      </c>
      <c r="GG143" t="e">
        <f>AND('UP133'!BN106,"AAAAAHbL67w=")</f>
        <v>#VALUE!</v>
      </c>
      <c r="GH143" t="e">
        <f>AND('UP133'!BO106,"AAAAAHbL670=")</f>
        <v>#VALUE!</v>
      </c>
      <c r="GI143" t="e">
        <f>AND('UP133'!BP106,"AAAAAHbL674=")</f>
        <v>#VALUE!</v>
      </c>
      <c r="GJ143" t="e">
        <f>AND('UP133'!BQ106,"AAAAAHbL678=")</f>
        <v>#VALUE!</v>
      </c>
      <c r="GK143" t="e">
        <f>AND('UP133'!BR106,"AAAAAHbL68A=")</f>
        <v>#VALUE!</v>
      </c>
      <c r="GL143" t="e">
        <f>AND('UP133'!BS106,"AAAAAHbL68E=")</f>
        <v>#VALUE!</v>
      </c>
      <c r="GM143" t="e">
        <f>AND('UP133'!BT106,"AAAAAHbL68I=")</f>
        <v>#VALUE!</v>
      </c>
      <c r="GN143" t="e">
        <f>AND('UP133'!BU106,"AAAAAHbL68M=")</f>
        <v>#VALUE!</v>
      </c>
      <c r="GO143" t="e">
        <f>AND('UP133'!BV106,"AAAAAHbL68Q=")</f>
        <v>#VALUE!</v>
      </c>
      <c r="GP143" t="e">
        <f>AND('UP133'!BW106,"AAAAAHbL68U=")</f>
        <v>#VALUE!</v>
      </c>
      <c r="GQ143" t="e">
        <f>AND('UP133'!BX106,"AAAAAHbL68Y=")</f>
        <v>#VALUE!</v>
      </c>
      <c r="GR143" t="e">
        <f>AND('UP133'!BY106,"AAAAAHbL68c=")</f>
        <v>#VALUE!</v>
      </c>
      <c r="GS143" t="e">
        <f>AND('UP133'!BZ106,"AAAAAHbL68g=")</f>
        <v>#VALUE!</v>
      </c>
      <c r="GT143" t="e">
        <f>AND('UP133'!CA106,"AAAAAHbL68k=")</f>
        <v>#VALUE!</v>
      </c>
      <c r="GU143" t="e">
        <f>AND('UP133'!CB106,"AAAAAHbL68o=")</f>
        <v>#VALUE!</v>
      </c>
      <c r="GV143" t="e">
        <f>AND('UP133'!CC106,"AAAAAHbL68s=")</f>
        <v>#VALUE!</v>
      </c>
      <c r="GW143" t="e">
        <f>AND('UP133'!CD106,"AAAAAHbL68w=")</f>
        <v>#VALUE!</v>
      </c>
      <c r="GX143" t="e">
        <f>AND('UP133'!CE106,"AAAAAHbL680=")</f>
        <v>#VALUE!</v>
      </c>
      <c r="GY143" t="e">
        <f>AND('UP133'!CF106,"AAAAAHbL684=")</f>
        <v>#VALUE!</v>
      </c>
      <c r="GZ143" t="e">
        <f>AND('UP133'!CG106,"AAAAAHbL688=")</f>
        <v>#VALUE!</v>
      </c>
      <c r="HA143" t="e">
        <f>AND('UP133'!CH106,"AAAAAHbL69A=")</f>
        <v>#VALUE!</v>
      </c>
      <c r="HB143" t="e">
        <f>AND('UP133'!CI106,"AAAAAHbL69E=")</f>
        <v>#VALUE!</v>
      </c>
      <c r="HC143" t="e">
        <f>AND('UP133'!CJ106,"AAAAAHbL69I=")</f>
        <v>#VALUE!</v>
      </c>
      <c r="HD143" t="e">
        <f>AND('UP133'!CK106,"AAAAAHbL69M=")</f>
        <v>#VALUE!</v>
      </c>
      <c r="HE143" t="e">
        <f>AND('UP133'!CL106,"AAAAAHbL69Q=")</f>
        <v>#VALUE!</v>
      </c>
      <c r="HF143" t="e">
        <f>AND('UP133'!CM106,"AAAAAHbL69U=")</f>
        <v>#VALUE!</v>
      </c>
      <c r="HG143" t="e">
        <f>AND('UP133'!CN106,"AAAAAHbL69Y=")</f>
        <v>#VALUE!</v>
      </c>
      <c r="HH143" t="e">
        <f>AND('UP133'!CO106,"AAAAAHbL69c=")</f>
        <v>#VALUE!</v>
      </c>
      <c r="HI143" t="e">
        <f>AND('UP133'!CP106,"AAAAAHbL69g=")</f>
        <v>#VALUE!</v>
      </c>
      <c r="HJ143" t="e">
        <f>AND('UP133'!CQ106,"AAAAAHbL69k=")</f>
        <v>#VALUE!</v>
      </c>
      <c r="HK143" t="e">
        <f>AND('UP133'!CR106,"AAAAAHbL69o=")</f>
        <v>#VALUE!</v>
      </c>
      <c r="HL143" t="e">
        <f>AND('UP133'!CS106,"AAAAAHbL69s=")</f>
        <v>#VALUE!</v>
      </c>
      <c r="HM143" t="e">
        <f>AND('UP133'!CT106,"AAAAAHbL69w=")</f>
        <v>#VALUE!</v>
      </c>
      <c r="HN143" t="e">
        <f>AND('UP133'!CU106,"AAAAAHbL690=")</f>
        <v>#VALUE!</v>
      </c>
      <c r="HO143" t="e">
        <f>AND('UP133'!CV106,"AAAAAHbL694=")</f>
        <v>#VALUE!</v>
      </c>
      <c r="HP143" t="e">
        <f>AND('UP133'!CW106,"AAAAAHbL698=")</f>
        <v>#VALUE!</v>
      </c>
      <c r="HQ143" t="e">
        <f>AND('UP133'!CX106,"AAAAAHbL6+A=")</f>
        <v>#VALUE!</v>
      </c>
      <c r="HR143" t="e">
        <f>AND('UP133'!CY106,"AAAAAHbL6+E=")</f>
        <v>#VALUE!</v>
      </c>
      <c r="HS143" t="e">
        <f>AND('UP133'!CZ106,"AAAAAHbL6+I=")</f>
        <v>#VALUE!</v>
      </c>
      <c r="HT143" t="e">
        <f>AND('UP133'!DA106,"AAAAAHbL6+M=")</f>
        <v>#VALUE!</v>
      </c>
      <c r="HU143" t="e">
        <f>AND('UP133'!DB106,"AAAAAHbL6+Q=")</f>
        <v>#VALUE!</v>
      </c>
      <c r="HV143" t="e">
        <f>AND('UP133'!DC106,"AAAAAHbL6+U=")</f>
        <v>#VALUE!</v>
      </c>
      <c r="HW143" t="e">
        <f>AND('UP133'!DD106,"AAAAAHbL6+Y=")</f>
        <v>#VALUE!</v>
      </c>
      <c r="HX143" t="e">
        <f>AND('UP133'!DE106,"AAAAAHbL6+c=")</f>
        <v>#VALUE!</v>
      </c>
      <c r="HY143" t="e">
        <f>AND('UP133'!DF106,"AAAAAHbL6+g=")</f>
        <v>#VALUE!</v>
      </c>
      <c r="HZ143" t="e">
        <f>AND('UP133'!DG106,"AAAAAHbL6+k=")</f>
        <v>#VALUE!</v>
      </c>
      <c r="IA143" t="e">
        <f>AND('UP133'!DH106,"AAAAAHbL6+o=")</f>
        <v>#VALUE!</v>
      </c>
      <c r="IB143" t="e">
        <f>AND('UP133'!DI106,"AAAAAHbL6+s=")</f>
        <v>#VALUE!</v>
      </c>
      <c r="IC143" t="e">
        <f>AND('UP133'!DJ106,"AAAAAHbL6+w=")</f>
        <v>#VALUE!</v>
      </c>
      <c r="ID143" t="e">
        <f>AND('UP133'!DK106,"AAAAAHbL6+0=")</f>
        <v>#VALUE!</v>
      </c>
      <c r="IE143" t="e">
        <f>AND('UP133'!DL106,"AAAAAHbL6+4=")</f>
        <v>#VALUE!</v>
      </c>
      <c r="IF143" t="e">
        <f>AND('UP133'!DM106,"AAAAAHbL6+8=")</f>
        <v>#VALUE!</v>
      </c>
      <c r="IG143" t="e">
        <f>AND('UP133'!DN106,"AAAAAHbL6/A=")</f>
        <v>#VALUE!</v>
      </c>
      <c r="IH143" t="e">
        <f>AND('UP133'!DO106,"AAAAAHbL6/E=")</f>
        <v>#VALUE!</v>
      </c>
      <c r="II143" t="e">
        <f>AND('UP133'!DP106,"AAAAAHbL6/I=")</f>
        <v>#VALUE!</v>
      </c>
      <c r="IJ143" t="e">
        <f>AND('UP133'!DQ106,"AAAAAHbL6/M=")</f>
        <v>#VALUE!</v>
      </c>
      <c r="IK143" t="e">
        <f>AND('UP133'!DR106,"AAAAAHbL6/Q=")</f>
        <v>#VALUE!</v>
      </c>
      <c r="IL143" t="e">
        <f>AND('UP133'!DS106,"AAAAAHbL6/U=")</f>
        <v>#VALUE!</v>
      </c>
      <c r="IM143" t="e">
        <f>AND('UP133'!DT106,"AAAAAHbL6/Y=")</f>
        <v>#VALUE!</v>
      </c>
      <c r="IN143" t="e">
        <f>AND('UP133'!DU106,"AAAAAHbL6/c=")</f>
        <v>#VALUE!</v>
      </c>
      <c r="IO143" t="e">
        <f>AND('UP133'!DV106,"AAAAAHbL6/g=")</f>
        <v>#VALUE!</v>
      </c>
      <c r="IP143" t="e">
        <f>AND('UP133'!DW106,"AAAAAHbL6/k=")</f>
        <v>#VALUE!</v>
      </c>
      <c r="IQ143" t="e">
        <f>AND('UP133'!DX106,"AAAAAHbL6/o=")</f>
        <v>#VALUE!</v>
      </c>
      <c r="IR143" t="e">
        <f>AND('UP133'!DY106,"AAAAAHbL6/s=")</f>
        <v>#VALUE!</v>
      </c>
      <c r="IS143" t="e">
        <f>AND('UP133'!DZ106,"AAAAAHbL6/w=")</f>
        <v>#VALUE!</v>
      </c>
      <c r="IT143" t="e">
        <f>AND('UP133'!EA106,"AAAAAHbL6/0=")</f>
        <v>#VALUE!</v>
      </c>
      <c r="IU143" t="e">
        <f>AND('UP133'!EB106,"AAAAAHbL6/4=")</f>
        <v>#VALUE!</v>
      </c>
      <c r="IV143" t="e">
        <f>AND('UP133'!EC106,"AAAAAHbL6/8=")</f>
        <v>#VALUE!</v>
      </c>
    </row>
    <row r="144" spans="1:256">
      <c r="A144" t="e">
        <f>AND('UP133'!ED106,"AAAAAGe/fwA=")</f>
        <v>#VALUE!</v>
      </c>
      <c r="B144" t="e">
        <f>AND('UP133'!EE106,"AAAAAGe/fwE=")</f>
        <v>#VALUE!</v>
      </c>
      <c r="C144" t="e">
        <f>AND('UP133'!EF106,"AAAAAGe/fwI=")</f>
        <v>#VALUE!</v>
      </c>
      <c r="D144" t="e">
        <f>AND('UP133'!EG106,"AAAAAGe/fwM=")</f>
        <v>#VALUE!</v>
      </c>
      <c r="E144" t="e">
        <f>AND('UP133'!EH106,"AAAAAGe/fwQ=")</f>
        <v>#VALUE!</v>
      </c>
      <c r="F144" t="e">
        <f>AND('UP133'!EI106,"AAAAAGe/fwU=")</f>
        <v>#VALUE!</v>
      </c>
      <c r="G144" t="e">
        <f>AND('UP133'!EJ106,"AAAAAGe/fwY=")</f>
        <v>#VALUE!</v>
      </c>
      <c r="H144" t="e">
        <f>AND('UP133'!EK106,"AAAAAGe/fwc=")</f>
        <v>#VALUE!</v>
      </c>
      <c r="I144" t="e">
        <f>AND('UP133'!EL106,"AAAAAGe/fwg=")</f>
        <v>#VALUE!</v>
      </c>
      <c r="J144" t="e">
        <f>AND('UP133'!EM106,"AAAAAGe/fwk=")</f>
        <v>#VALUE!</v>
      </c>
      <c r="K144" t="e">
        <f>AND('UP133'!EN106,"AAAAAGe/fwo=")</f>
        <v>#VALUE!</v>
      </c>
      <c r="L144" t="e">
        <f>AND('UP133'!EO106,"AAAAAGe/fws=")</f>
        <v>#VALUE!</v>
      </c>
      <c r="M144" t="e">
        <f>AND('UP133'!EP106,"AAAAAGe/fww=")</f>
        <v>#VALUE!</v>
      </c>
      <c r="N144" t="e">
        <f>AND('UP133'!EQ106,"AAAAAGe/fw0=")</f>
        <v>#VALUE!</v>
      </c>
      <c r="O144" t="e">
        <f>AND('UP133'!ER106,"AAAAAGe/fw4=")</f>
        <v>#VALUE!</v>
      </c>
      <c r="P144" t="e">
        <f>AND('UP133'!ES106,"AAAAAGe/fw8=")</f>
        <v>#VALUE!</v>
      </c>
      <c r="Q144" t="e">
        <f>AND('UP133'!ET106,"AAAAAGe/fxA=")</f>
        <v>#VALUE!</v>
      </c>
      <c r="R144" t="e">
        <f>AND('UP133'!EU106,"AAAAAGe/fxE=")</f>
        <v>#VALUE!</v>
      </c>
      <c r="S144" t="e">
        <f>AND('UP133'!EV106,"AAAAAGe/fxI=")</f>
        <v>#VALUE!</v>
      </c>
      <c r="T144" t="e">
        <f>AND('UP133'!EW106,"AAAAAGe/fxM=")</f>
        <v>#VALUE!</v>
      </c>
      <c r="U144" t="e">
        <f>AND('UP133'!EX106,"AAAAAGe/fxQ=")</f>
        <v>#VALUE!</v>
      </c>
      <c r="V144" t="e">
        <f>AND('UP133'!EY106,"AAAAAGe/fxU=")</f>
        <v>#VALUE!</v>
      </c>
      <c r="W144" t="e">
        <f>AND('UP133'!EZ106,"AAAAAGe/fxY=")</f>
        <v>#VALUE!</v>
      </c>
      <c r="X144" t="e">
        <f>AND('UP133'!FA106,"AAAAAGe/fxc=")</f>
        <v>#VALUE!</v>
      </c>
      <c r="Y144" t="e">
        <f>AND('UP133'!FB106,"AAAAAGe/fxg=")</f>
        <v>#VALUE!</v>
      </c>
      <c r="Z144" t="e">
        <f>AND('UP133'!FC106,"AAAAAGe/fxk=")</f>
        <v>#VALUE!</v>
      </c>
      <c r="AA144" t="e">
        <f>AND('UP133'!FD106,"AAAAAGe/fxo=")</f>
        <v>#VALUE!</v>
      </c>
      <c r="AB144" t="e">
        <f>AND('UP133'!FE106,"AAAAAGe/fxs=")</f>
        <v>#VALUE!</v>
      </c>
      <c r="AC144" t="e">
        <f>AND('UP133'!FF106,"AAAAAGe/fxw=")</f>
        <v>#VALUE!</v>
      </c>
      <c r="AD144" t="e">
        <f>AND('UP133'!FG106,"AAAAAGe/fx0=")</f>
        <v>#VALUE!</v>
      </c>
      <c r="AE144" t="e">
        <f>AND('UP133'!FH106,"AAAAAGe/fx4=")</f>
        <v>#VALUE!</v>
      </c>
      <c r="AF144" t="e">
        <f>AND('UP133'!FI106,"AAAAAGe/fx8=")</f>
        <v>#VALUE!</v>
      </c>
      <c r="AG144" t="e">
        <f>AND('UP133'!FJ106,"AAAAAGe/fyA=")</f>
        <v>#VALUE!</v>
      </c>
      <c r="AH144" t="e">
        <f>AND('UP133'!FK106,"AAAAAGe/fyE=")</f>
        <v>#VALUE!</v>
      </c>
      <c r="AI144" t="e">
        <f>AND('UP133'!FL106,"AAAAAGe/fyI=")</f>
        <v>#VALUE!</v>
      </c>
      <c r="AJ144" t="e">
        <f>AND('UP133'!FM106,"AAAAAGe/fyM=")</f>
        <v>#VALUE!</v>
      </c>
      <c r="AK144" t="e">
        <f>AND('UP133'!FN106,"AAAAAGe/fyQ=")</f>
        <v>#VALUE!</v>
      </c>
      <c r="AL144" t="e">
        <f>AND('UP133'!FO106,"AAAAAGe/fyU=")</f>
        <v>#VALUE!</v>
      </c>
      <c r="AM144" t="e">
        <f>AND('UP133'!FP106,"AAAAAGe/fyY=")</f>
        <v>#VALUE!</v>
      </c>
      <c r="AN144" t="e">
        <f>AND('UP133'!FQ106,"AAAAAGe/fyc=")</f>
        <v>#VALUE!</v>
      </c>
      <c r="AO144" t="e">
        <f>AND('UP133'!FR106,"AAAAAGe/fyg=")</f>
        <v>#VALUE!</v>
      </c>
      <c r="AP144" t="e">
        <f>AND('UP133'!FS106,"AAAAAGe/fyk=")</f>
        <v>#VALUE!</v>
      </c>
      <c r="AQ144" t="e">
        <f>AND('UP133'!FT106,"AAAAAGe/fyo=")</f>
        <v>#VALUE!</v>
      </c>
      <c r="AR144" t="e">
        <f>AND('UP133'!FU106,"AAAAAGe/fys=")</f>
        <v>#VALUE!</v>
      </c>
      <c r="AS144" t="e">
        <f>AND('UP133'!FV106,"AAAAAGe/fyw=")</f>
        <v>#VALUE!</v>
      </c>
      <c r="AT144" t="e">
        <f>AND('UP133'!FW106,"AAAAAGe/fy0=")</f>
        <v>#VALUE!</v>
      </c>
      <c r="AU144" t="e">
        <f>AND('UP133'!FX106,"AAAAAGe/fy4=")</f>
        <v>#VALUE!</v>
      </c>
      <c r="AV144" t="e">
        <f>AND('UP133'!FY106,"AAAAAGe/fy8=")</f>
        <v>#VALUE!</v>
      </c>
      <c r="AW144" t="e">
        <f>AND('UP133'!FZ106,"AAAAAGe/fzA=")</f>
        <v>#VALUE!</v>
      </c>
      <c r="AX144" t="e">
        <f>AND('UP133'!GA106,"AAAAAGe/fzE=")</f>
        <v>#VALUE!</v>
      </c>
      <c r="AY144" t="e">
        <f>AND('UP133'!GB106,"AAAAAGe/fzI=")</f>
        <v>#VALUE!</v>
      </c>
      <c r="AZ144" t="e">
        <f>AND('UP133'!GC106,"AAAAAGe/fzM=")</f>
        <v>#VALUE!</v>
      </c>
      <c r="BA144" t="e">
        <f>AND('UP133'!GD106,"AAAAAGe/fzQ=")</f>
        <v>#VALUE!</v>
      </c>
      <c r="BB144" t="e">
        <f>AND('UP133'!GE106,"AAAAAGe/fzU=")</f>
        <v>#VALUE!</v>
      </c>
      <c r="BC144" t="e">
        <f>AND('UP133'!GF106,"AAAAAGe/fzY=")</f>
        <v>#VALUE!</v>
      </c>
      <c r="BD144" t="e">
        <f>AND('UP133'!GG106,"AAAAAGe/fzc=")</f>
        <v>#VALUE!</v>
      </c>
      <c r="BE144" t="e">
        <f>AND('UP133'!GH106,"AAAAAGe/fzg=")</f>
        <v>#VALUE!</v>
      </c>
      <c r="BF144" t="e">
        <f>AND('UP133'!GI106,"AAAAAGe/fzk=")</f>
        <v>#VALUE!</v>
      </c>
      <c r="BG144" t="e">
        <f>AND('UP133'!GJ106,"AAAAAGe/fzo=")</f>
        <v>#VALUE!</v>
      </c>
      <c r="BH144" t="e">
        <f>AND('UP133'!GK106,"AAAAAGe/fzs=")</f>
        <v>#VALUE!</v>
      </c>
      <c r="BI144" t="e">
        <f>AND('UP133'!GL106,"AAAAAGe/fzw=")</f>
        <v>#VALUE!</v>
      </c>
      <c r="BJ144" t="e">
        <f>AND('UP133'!GM106,"AAAAAGe/fz0=")</f>
        <v>#VALUE!</v>
      </c>
      <c r="BK144" t="e">
        <f>AND('UP133'!GN106,"AAAAAGe/fz4=")</f>
        <v>#VALUE!</v>
      </c>
      <c r="BL144" t="e">
        <f>AND('UP133'!GO106,"AAAAAGe/fz8=")</f>
        <v>#VALUE!</v>
      </c>
      <c r="BM144" t="e">
        <f>AND('UP133'!GP106,"AAAAAGe/f0A=")</f>
        <v>#VALUE!</v>
      </c>
      <c r="BN144" t="e">
        <f>AND('UP133'!GQ106,"AAAAAGe/f0E=")</f>
        <v>#VALUE!</v>
      </c>
      <c r="BO144" t="e">
        <f>AND('UP133'!GR106,"AAAAAGe/f0I=")</f>
        <v>#VALUE!</v>
      </c>
      <c r="BP144" t="e">
        <f>AND('UP133'!GS106,"AAAAAGe/f0M=")</f>
        <v>#VALUE!</v>
      </c>
      <c r="BQ144" t="e">
        <f>AND('UP133'!GT106,"AAAAAGe/f0Q=")</f>
        <v>#VALUE!</v>
      </c>
      <c r="BR144" t="e">
        <f>AND('UP133'!GU106,"AAAAAGe/f0U=")</f>
        <v>#VALUE!</v>
      </c>
      <c r="BS144" t="e">
        <f>AND('UP133'!GV106,"AAAAAGe/f0Y=")</f>
        <v>#VALUE!</v>
      </c>
      <c r="BT144" t="e">
        <f>AND('UP133'!GW106,"AAAAAGe/f0c=")</f>
        <v>#VALUE!</v>
      </c>
      <c r="BU144" t="e">
        <f>AND('UP133'!GX106,"AAAAAGe/f0g=")</f>
        <v>#VALUE!</v>
      </c>
      <c r="BV144" t="e">
        <f>AND('UP133'!GY106,"AAAAAGe/f0k=")</f>
        <v>#VALUE!</v>
      </c>
      <c r="BW144" t="e">
        <f>AND('UP133'!GZ106,"AAAAAGe/f0o=")</f>
        <v>#VALUE!</v>
      </c>
      <c r="BX144" t="e">
        <f>AND('UP133'!HA106,"AAAAAGe/f0s=")</f>
        <v>#VALUE!</v>
      </c>
      <c r="BY144" t="e">
        <f>AND('UP133'!HB106,"AAAAAGe/f0w=")</f>
        <v>#VALUE!</v>
      </c>
      <c r="BZ144" t="e">
        <f>AND('UP133'!HC106,"AAAAAGe/f00=")</f>
        <v>#VALUE!</v>
      </c>
      <c r="CA144" t="e">
        <f>AND('UP133'!HD106,"AAAAAGe/f04=")</f>
        <v>#VALUE!</v>
      </c>
      <c r="CB144" t="e">
        <f>AND('UP133'!HE106,"AAAAAGe/f08=")</f>
        <v>#VALUE!</v>
      </c>
      <c r="CC144" t="e">
        <f>AND('UP133'!HF106,"AAAAAGe/f1A=")</f>
        <v>#VALUE!</v>
      </c>
      <c r="CD144" t="e">
        <f>AND('UP133'!HG106,"AAAAAGe/f1E=")</f>
        <v>#VALUE!</v>
      </c>
      <c r="CE144" t="e">
        <f>AND('UP133'!HH106,"AAAAAGe/f1I=")</f>
        <v>#VALUE!</v>
      </c>
      <c r="CF144" t="e">
        <f>AND('UP133'!HI106,"AAAAAGe/f1M=")</f>
        <v>#VALUE!</v>
      </c>
      <c r="CG144" t="e">
        <f>AND('UP133'!HJ106,"AAAAAGe/f1Q=")</f>
        <v>#VALUE!</v>
      </c>
      <c r="CH144" t="e">
        <f>AND('UP133'!HK106,"AAAAAGe/f1U=")</f>
        <v>#VALUE!</v>
      </c>
      <c r="CI144" t="e">
        <f>AND('UP133'!HL106,"AAAAAGe/f1Y=")</f>
        <v>#VALUE!</v>
      </c>
      <c r="CJ144" t="e">
        <f>AND('UP133'!HM106,"AAAAAGe/f1c=")</f>
        <v>#VALUE!</v>
      </c>
      <c r="CK144" t="e">
        <f>AND('UP133'!HN106,"AAAAAGe/f1g=")</f>
        <v>#VALUE!</v>
      </c>
      <c r="CL144" t="e">
        <f>AND('UP133'!HO106,"AAAAAGe/f1k=")</f>
        <v>#VALUE!</v>
      </c>
      <c r="CM144" t="e">
        <f>AND('UP133'!HP106,"AAAAAGe/f1o=")</f>
        <v>#VALUE!</v>
      </c>
      <c r="CN144" t="e">
        <f>AND('UP133'!HQ106,"AAAAAGe/f1s=")</f>
        <v>#VALUE!</v>
      </c>
      <c r="CO144" t="e">
        <f>AND('UP133'!HR106,"AAAAAGe/f1w=")</f>
        <v>#VALUE!</v>
      </c>
      <c r="CP144" t="e">
        <f>AND('UP133'!HS106,"AAAAAGe/f10=")</f>
        <v>#VALUE!</v>
      </c>
      <c r="CQ144" t="e">
        <f>AND('UP133'!HT106,"AAAAAGe/f14=")</f>
        <v>#VALUE!</v>
      </c>
      <c r="CR144" t="e">
        <f>AND('UP133'!HU106,"AAAAAGe/f18=")</f>
        <v>#VALUE!</v>
      </c>
      <c r="CS144" t="e">
        <f>AND('UP133'!HV106,"AAAAAGe/f2A=")</f>
        <v>#VALUE!</v>
      </c>
      <c r="CT144" t="e">
        <f>AND('UP133'!HW106,"AAAAAGe/f2E=")</f>
        <v>#VALUE!</v>
      </c>
      <c r="CU144" t="e">
        <f>AND('UP133'!HX106,"AAAAAGe/f2I=")</f>
        <v>#VALUE!</v>
      </c>
      <c r="CV144" t="e">
        <f>AND('UP133'!HY106,"AAAAAGe/f2M=")</f>
        <v>#VALUE!</v>
      </c>
      <c r="CW144" t="e">
        <f>AND('UP133'!HZ106,"AAAAAGe/f2Q=")</f>
        <v>#VALUE!</v>
      </c>
      <c r="CX144" t="e">
        <f>AND('UP133'!IA106,"AAAAAGe/f2U=")</f>
        <v>#VALUE!</v>
      </c>
      <c r="CY144" t="e">
        <f>AND('UP133'!IB106,"AAAAAGe/f2Y=")</f>
        <v>#VALUE!</v>
      </c>
      <c r="CZ144" t="e">
        <f>AND('UP133'!IC106,"AAAAAGe/f2c=")</f>
        <v>#VALUE!</v>
      </c>
      <c r="DA144" t="e">
        <f>AND('UP133'!ID106,"AAAAAGe/f2g=")</f>
        <v>#VALUE!</v>
      </c>
      <c r="DB144" t="e">
        <f>AND('UP133'!IE106,"AAAAAGe/f2k=")</f>
        <v>#VALUE!</v>
      </c>
      <c r="DC144" t="e">
        <f>AND('UP133'!IF106,"AAAAAGe/f2o=")</f>
        <v>#VALUE!</v>
      </c>
      <c r="DD144" t="e">
        <f>AND('UP133'!IG106,"AAAAAGe/f2s=")</f>
        <v>#VALUE!</v>
      </c>
      <c r="DE144" t="e">
        <f>AND('UP133'!IH106,"AAAAAGe/f2w=")</f>
        <v>#VALUE!</v>
      </c>
      <c r="DF144" t="e">
        <f>AND('UP133'!II106,"AAAAAGe/f20=")</f>
        <v>#VALUE!</v>
      </c>
      <c r="DG144" t="e">
        <f>AND('UP133'!IJ106,"AAAAAGe/f24=")</f>
        <v>#VALUE!</v>
      </c>
      <c r="DH144" t="e">
        <f>AND('UP133'!IK106,"AAAAAGe/f28=")</f>
        <v>#VALUE!</v>
      </c>
      <c r="DI144" t="e">
        <f>AND('UP133'!IL106,"AAAAAGe/f3A=")</f>
        <v>#VALUE!</v>
      </c>
      <c r="DJ144" t="e">
        <f>AND('UP133'!IM106,"AAAAAGe/f3E=")</f>
        <v>#VALUE!</v>
      </c>
      <c r="DK144" t="e">
        <f>AND('UP133'!IN106,"AAAAAGe/f3I=")</f>
        <v>#VALUE!</v>
      </c>
      <c r="DL144" t="e">
        <f>AND('UP133'!IO106,"AAAAAGe/f3M=")</f>
        <v>#VALUE!</v>
      </c>
      <c r="DM144" t="e">
        <f>AND('UP133'!IP106,"AAAAAGe/f3Q=")</f>
        <v>#VALUE!</v>
      </c>
      <c r="DN144" t="e">
        <f>AND('UP133'!IQ106,"AAAAAGe/f3U=")</f>
        <v>#VALUE!</v>
      </c>
      <c r="DO144">
        <f>IF('UP133'!107:107,"AAAAAGe/f3Y=",0)</f>
        <v>0</v>
      </c>
      <c r="DP144" t="e">
        <f>AND('UP133'!A107,"AAAAAGe/f3c=")</f>
        <v>#VALUE!</v>
      </c>
      <c r="DQ144" t="e">
        <f>AND('UP133'!B107,"AAAAAGe/f3g=")</f>
        <v>#VALUE!</v>
      </c>
      <c r="DR144" t="e">
        <f>AND('UP133'!C107,"AAAAAGe/f3k=")</f>
        <v>#VALUE!</v>
      </c>
      <c r="DS144" t="e">
        <f>AND('UP133'!D107,"AAAAAGe/f3o=")</f>
        <v>#VALUE!</v>
      </c>
      <c r="DT144" t="e">
        <f>AND('UP133'!E107,"AAAAAGe/f3s=")</f>
        <v>#VALUE!</v>
      </c>
      <c r="DU144" t="e">
        <f>AND('UP133'!F107,"AAAAAGe/f3w=")</f>
        <v>#VALUE!</v>
      </c>
      <c r="DV144" t="e">
        <f>AND('UP133'!G107,"AAAAAGe/f30=")</f>
        <v>#VALUE!</v>
      </c>
      <c r="DW144" t="e">
        <f>AND('UP133'!H107,"AAAAAGe/f34=")</f>
        <v>#VALUE!</v>
      </c>
      <c r="DX144" t="e">
        <f>AND('UP133'!I107,"AAAAAGe/f38=")</f>
        <v>#VALUE!</v>
      </c>
      <c r="DY144" t="e">
        <f>AND('UP133'!J107,"AAAAAGe/f4A=")</f>
        <v>#VALUE!</v>
      </c>
      <c r="DZ144" t="e">
        <f>AND('UP133'!K107,"AAAAAGe/f4E=")</f>
        <v>#VALUE!</v>
      </c>
      <c r="EA144" t="e">
        <f>AND('UP133'!L107,"AAAAAGe/f4I=")</f>
        <v>#VALUE!</v>
      </c>
      <c r="EB144" t="e">
        <f>AND('UP133'!M107,"AAAAAGe/f4M=")</f>
        <v>#VALUE!</v>
      </c>
      <c r="EC144" t="e">
        <f>AND('UP133'!N107,"AAAAAGe/f4Q=")</f>
        <v>#VALUE!</v>
      </c>
      <c r="ED144" t="e">
        <f>AND('UP133'!O107,"AAAAAGe/f4U=")</f>
        <v>#VALUE!</v>
      </c>
      <c r="EE144" t="e">
        <f>AND('UP133'!P107,"AAAAAGe/f4Y=")</f>
        <v>#VALUE!</v>
      </c>
      <c r="EF144" t="e">
        <f>AND('UP133'!Q107,"AAAAAGe/f4c=")</f>
        <v>#VALUE!</v>
      </c>
      <c r="EG144" t="e">
        <f>AND('UP133'!R107,"AAAAAGe/f4g=")</f>
        <v>#VALUE!</v>
      </c>
      <c r="EH144" t="e">
        <f>AND('UP133'!S107,"AAAAAGe/f4k=")</f>
        <v>#VALUE!</v>
      </c>
      <c r="EI144" t="e">
        <f>AND('UP133'!T107,"AAAAAGe/f4o=")</f>
        <v>#VALUE!</v>
      </c>
      <c r="EJ144" t="e">
        <f>AND('UP133'!U107,"AAAAAGe/f4s=")</f>
        <v>#VALUE!</v>
      </c>
      <c r="EK144" t="e">
        <f>AND('UP133'!V107,"AAAAAGe/f4w=")</f>
        <v>#VALUE!</v>
      </c>
      <c r="EL144" t="e">
        <f>AND('UP133'!W107,"AAAAAGe/f40=")</f>
        <v>#VALUE!</v>
      </c>
      <c r="EM144" t="e">
        <f>AND('UP133'!X107,"AAAAAGe/f44=")</f>
        <v>#VALUE!</v>
      </c>
      <c r="EN144" t="e">
        <f>AND('UP133'!Y107,"AAAAAGe/f48=")</f>
        <v>#VALUE!</v>
      </c>
      <c r="EO144" t="e">
        <f>AND('UP133'!Z107,"AAAAAGe/f5A=")</f>
        <v>#VALUE!</v>
      </c>
      <c r="EP144" t="e">
        <f>AND('UP133'!AA107,"AAAAAGe/f5E=")</f>
        <v>#VALUE!</v>
      </c>
      <c r="EQ144" t="e">
        <f>AND('UP133'!AB107,"AAAAAGe/f5I=")</f>
        <v>#VALUE!</v>
      </c>
      <c r="ER144" t="e">
        <f>AND('UP133'!AC107,"AAAAAGe/f5M=")</f>
        <v>#VALUE!</v>
      </c>
      <c r="ES144" t="e">
        <f>AND('UP133'!AD107,"AAAAAGe/f5Q=")</f>
        <v>#VALUE!</v>
      </c>
      <c r="ET144" t="e">
        <f>AND('UP133'!AE107,"AAAAAGe/f5U=")</f>
        <v>#VALUE!</v>
      </c>
      <c r="EU144" t="e">
        <f>AND('UP133'!AF107,"AAAAAGe/f5Y=")</f>
        <v>#VALUE!</v>
      </c>
      <c r="EV144" t="e">
        <f>AND('UP133'!AG107,"AAAAAGe/f5c=")</f>
        <v>#VALUE!</v>
      </c>
      <c r="EW144" t="e">
        <f>AND('UP133'!AH107,"AAAAAGe/f5g=")</f>
        <v>#VALUE!</v>
      </c>
      <c r="EX144" t="e">
        <f>AND('UP133'!AI107,"AAAAAGe/f5k=")</f>
        <v>#VALUE!</v>
      </c>
      <c r="EY144" t="e">
        <f>AND('UP133'!AJ107,"AAAAAGe/f5o=")</f>
        <v>#VALUE!</v>
      </c>
      <c r="EZ144" t="e">
        <f>AND('UP133'!AK107,"AAAAAGe/f5s=")</f>
        <v>#VALUE!</v>
      </c>
      <c r="FA144" t="e">
        <f>AND('UP133'!AL107,"AAAAAGe/f5w=")</f>
        <v>#VALUE!</v>
      </c>
      <c r="FB144" t="e">
        <f>AND('UP133'!AM107,"AAAAAGe/f50=")</f>
        <v>#VALUE!</v>
      </c>
      <c r="FC144" t="e">
        <f>AND('UP133'!AN107,"AAAAAGe/f54=")</f>
        <v>#VALUE!</v>
      </c>
      <c r="FD144" t="e">
        <f>AND('UP133'!AO107,"AAAAAGe/f58=")</f>
        <v>#VALUE!</v>
      </c>
      <c r="FE144" t="e">
        <f>AND('UP133'!AP107,"AAAAAGe/f6A=")</f>
        <v>#VALUE!</v>
      </c>
      <c r="FF144" t="e">
        <f>AND('UP133'!AQ107,"AAAAAGe/f6E=")</f>
        <v>#VALUE!</v>
      </c>
      <c r="FG144" t="e">
        <f>AND('UP133'!AR107,"AAAAAGe/f6I=")</f>
        <v>#VALUE!</v>
      </c>
      <c r="FH144" t="e">
        <f>AND('UP133'!AS107,"AAAAAGe/f6M=")</f>
        <v>#VALUE!</v>
      </c>
      <c r="FI144" t="e">
        <f>AND('UP133'!AT107,"AAAAAGe/f6Q=")</f>
        <v>#VALUE!</v>
      </c>
      <c r="FJ144" t="e">
        <f>AND('UP133'!AU107,"AAAAAGe/f6U=")</f>
        <v>#VALUE!</v>
      </c>
      <c r="FK144" t="e">
        <f>AND('UP133'!AV107,"AAAAAGe/f6Y=")</f>
        <v>#VALUE!</v>
      </c>
      <c r="FL144" t="e">
        <f>AND('UP133'!AW107,"AAAAAGe/f6c=")</f>
        <v>#VALUE!</v>
      </c>
      <c r="FM144" t="e">
        <f>AND('UP133'!AX107,"AAAAAGe/f6g=")</f>
        <v>#VALUE!</v>
      </c>
      <c r="FN144" t="e">
        <f>AND('UP133'!AY107,"AAAAAGe/f6k=")</f>
        <v>#VALUE!</v>
      </c>
      <c r="FO144" t="e">
        <f>AND('UP133'!AZ107,"AAAAAGe/f6o=")</f>
        <v>#VALUE!</v>
      </c>
      <c r="FP144" t="e">
        <f>AND('UP133'!BA107,"AAAAAGe/f6s=")</f>
        <v>#VALUE!</v>
      </c>
      <c r="FQ144" t="e">
        <f>AND('UP133'!BB107,"AAAAAGe/f6w=")</f>
        <v>#VALUE!</v>
      </c>
      <c r="FR144" t="e">
        <f>AND('UP133'!BC107,"AAAAAGe/f60=")</f>
        <v>#VALUE!</v>
      </c>
      <c r="FS144" t="e">
        <f>AND('UP133'!BD107,"AAAAAGe/f64=")</f>
        <v>#VALUE!</v>
      </c>
      <c r="FT144" t="e">
        <f>AND('UP133'!BE107,"AAAAAGe/f68=")</f>
        <v>#VALUE!</v>
      </c>
      <c r="FU144" t="e">
        <f>AND('UP133'!BF107,"AAAAAGe/f7A=")</f>
        <v>#VALUE!</v>
      </c>
      <c r="FV144" t="e">
        <f>AND('UP133'!BG107,"AAAAAGe/f7E=")</f>
        <v>#VALUE!</v>
      </c>
      <c r="FW144" t="e">
        <f>AND('UP133'!BH107,"AAAAAGe/f7I=")</f>
        <v>#VALUE!</v>
      </c>
      <c r="FX144" t="e">
        <f>AND('UP133'!BI107,"AAAAAGe/f7M=")</f>
        <v>#VALUE!</v>
      </c>
      <c r="FY144" t="e">
        <f>AND('UP133'!BJ107,"AAAAAGe/f7Q=")</f>
        <v>#VALUE!</v>
      </c>
      <c r="FZ144" t="e">
        <f>AND('UP133'!BK107,"AAAAAGe/f7U=")</f>
        <v>#VALUE!</v>
      </c>
      <c r="GA144" t="e">
        <f>AND('UP133'!BL107,"AAAAAGe/f7Y=")</f>
        <v>#VALUE!</v>
      </c>
      <c r="GB144" t="e">
        <f>AND('UP133'!BM107,"AAAAAGe/f7c=")</f>
        <v>#VALUE!</v>
      </c>
      <c r="GC144" t="e">
        <f>AND('UP133'!BN107,"AAAAAGe/f7g=")</f>
        <v>#VALUE!</v>
      </c>
      <c r="GD144" t="e">
        <f>AND('UP133'!BO107,"AAAAAGe/f7k=")</f>
        <v>#VALUE!</v>
      </c>
      <c r="GE144" t="e">
        <f>AND('UP133'!BP107,"AAAAAGe/f7o=")</f>
        <v>#VALUE!</v>
      </c>
      <c r="GF144" t="e">
        <f>AND('UP133'!BQ107,"AAAAAGe/f7s=")</f>
        <v>#VALUE!</v>
      </c>
      <c r="GG144" t="e">
        <f>AND('UP133'!BR107,"AAAAAGe/f7w=")</f>
        <v>#VALUE!</v>
      </c>
      <c r="GH144" t="e">
        <f>AND('UP133'!BS107,"AAAAAGe/f70=")</f>
        <v>#VALUE!</v>
      </c>
      <c r="GI144" t="e">
        <f>AND('UP133'!BT107,"AAAAAGe/f74=")</f>
        <v>#VALUE!</v>
      </c>
      <c r="GJ144" t="e">
        <f>AND('UP133'!BU107,"AAAAAGe/f78=")</f>
        <v>#VALUE!</v>
      </c>
      <c r="GK144" t="e">
        <f>AND('UP133'!BV107,"AAAAAGe/f8A=")</f>
        <v>#VALUE!</v>
      </c>
      <c r="GL144" t="e">
        <f>AND('UP133'!BW107,"AAAAAGe/f8E=")</f>
        <v>#VALUE!</v>
      </c>
      <c r="GM144" t="e">
        <f>AND('UP133'!BX107,"AAAAAGe/f8I=")</f>
        <v>#VALUE!</v>
      </c>
      <c r="GN144" t="e">
        <f>AND('UP133'!BY107,"AAAAAGe/f8M=")</f>
        <v>#VALUE!</v>
      </c>
      <c r="GO144" t="e">
        <f>AND('UP133'!BZ107,"AAAAAGe/f8Q=")</f>
        <v>#VALUE!</v>
      </c>
      <c r="GP144" t="e">
        <f>AND('UP133'!CA107,"AAAAAGe/f8U=")</f>
        <v>#VALUE!</v>
      </c>
      <c r="GQ144" t="e">
        <f>AND('UP133'!CB107,"AAAAAGe/f8Y=")</f>
        <v>#VALUE!</v>
      </c>
      <c r="GR144" t="e">
        <f>AND('UP133'!CC107,"AAAAAGe/f8c=")</f>
        <v>#VALUE!</v>
      </c>
      <c r="GS144" t="e">
        <f>AND('UP133'!CD107,"AAAAAGe/f8g=")</f>
        <v>#VALUE!</v>
      </c>
      <c r="GT144" t="e">
        <f>AND('UP133'!CE107,"AAAAAGe/f8k=")</f>
        <v>#VALUE!</v>
      </c>
      <c r="GU144" t="e">
        <f>AND('UP133'!CF107,"AAAAAGe/f8o=")</f>
        <v>#VALUE!</v>
      </c>
      <c r="GV144" t="e">
        <f>AND('UP133'!CG107,"AAAAAGe/f8s=")</f>
        <v>#VALUE!</v>
      </c>
      <c r="GW144" t="e">
        <f>AND('UP133'!CH107,"AAAAAGe/f8w=")</f>
        <v>#VALUE!</v>
      </c>
      <c r="GX144" t="e">
        <f>AND('UP133'!CI107,"AAAAAGe/f80=")</f>
        <v>#VALUE!</v>
      </c>
      <c r="GY144" t="e">
        <f>AND('UP133'!CJ107,"AAAAAGe/f84=")</f>
        <v>#VALUE!</v>
      </c>
      <c r="GZ144" t="e">
        <f>AND('UP133'!CK107,"AAAAAGe/f88=")</f>
        <v>#VALUE!</v>
      </c>
      <c r="HA144" t="e">
        <f>AND('UP133'!CL107,"AAAAAGe/f9A=")</f>
        <v>#VALUE!</v>
      </c>
      <c r="HB144" t="e">
        <f>AND('UP133'!CM107,"AAAAAGe/f9E=")</f>
        <v>#VALUE!</v>
      </c>
      <c r="HC144" t="e">
        <f>AND('UP133'!CN107,"AAAAAGe/f9I=")</f>
        <v>#VALUE!</v>
      </c>
      <c r="HD144" t="e">
        <f>AND('UP133'!CO107,"AAAAAGe/f9M=")</f>
        <v>#VALUE!</v>
      </c>
      <c r="HE144" t="e">
        <f>AND('UP133'!CP107,"AAAAAGe/f9Q=")</f>
        <v>#VALUE!</v>
      </c>
      <c r="HF144" t="e">
        <f>AND('UP133'!CQ107,"AAAAAGe/f9U=")</f>
        <v>#VALUE!</v>
      </c>
      <c r="HG144" t="e">
        <f>AND('UP133'!CR107,"AAAAAGe/f9Y=")</f>
        <v>#VALUE!</v>
      </c>
      <c r="HH144" t="e">
        <f>AND('UP133'!CS107,"AAAAAGe/f9c=")</f>
        <v>#VALUE!</v>
      </c>
      <c r="HI144" t="e">
        <f>AND('UP133'!CT107,"AAAAAGe/f9g=")</f>
        <v>#VALUE!</v>
      </c>
      <c r="HJ144" t="e">
        <f>AND('UP133'!CU107,"AAAAAGe/f9k=")</f>
        <v>#VALUE!</v>
      </c>
      <c r="HK144" t="e">
        <f>AND('UP133'!CV107,"AAAAAGe/f9o=")</f>
        <v>#VALUE!</v>
      </c>
      <c r="HL144" t="e">
        <f>AND('UP133'!CW107,"AAAAAGe/f9s=")</f>
        <v>#VALUE!</v>
      </c>
      <c r="HM144" t="e">
        <f>AND('UP133'!CX107,"AAAAAGe/f9w=")</f>
        <v>#VALUE!</v>
      </c>
      <c r="HN144" t="e">
        <f>AND('UP133'!CY107,"AAAAAGe/f90=")</f>
        <v>#VALUE!</v>
      </c>
      <c r="HO144" t="e">
        <f>AND('UP133'!CZ107,"AAAAAGe/f94=")</f>
        <v>#VALUE!</v>
      </c>
      <c r="HP144" t="e">
        <f>AND('UP133'!DA107,"AAAAAGe/f98=")</f>
        <v>#VALUE!</v>
      </c>
      <c r="HQ144" t="e">
        <f>AND('UP133'!DB107,"AAAAAGe/f+A=")</f>
        <v>#VALUE!</v>
      </c>
      <c r="HR144" t="e">
        <f>AND('UP133'!DC107,"AAAAAGe/f+E=")</f>
        <v>#VALUE!</v>
      </c>
      <c r="HS144" t="e">
        <f>AND('UP133'!DD107,"AAAAAGe/f+I=")</f>
        <v>#VALUE!</v>
      </c>
      <c r="HT144" t="e">
        <f>AND('UP133'!DE107,"AAAAAGe/f+M=")</f>
        <v>#VALUE!</v>
      </c>
      <c r="HU144" t="e">
        <f>AND('UP133'!DF107,"AAAAAGe/f+Q=")</f>
        <v>#VALUE!</v>
      </c>
      <c r="HV144" t="e">
        <f>AND('UP133'!DG107,"AAAAAGe/f+U=")</f>
        <v>#VALUE!</v>
      </c>
      <c r="HW144" t="e">
        <f>AND('UP133'!DH107,"AAAAAGe/f+Y=")</f>
        <v>#VALUE!</v>
      </c>
      <c r="HX144" t="e">
        <f>AND('UP133'!DI107,"AAAAAGe/f+c=")</f>
        <v>#VALUE!</v>
      </c>
      <c r="HY144" t="e">
        <f>AND('UP133'!DJ107,"AAAAAGe/f+g=")</f>
        <v>#VALUE!</v>
      </c>
      <c r="HZ144" t="e">
        <f>AND('UP133'!DK107,"AAAAAGe/f+k=")</f>
        <v>#VALUE!</v>
      </c>
      <c r="IA144" t="e">
        <f>AND('UP133'!DL107,"AAAAAGe/f+o=")</f>
        <v>#VALUE!</v>
      </c>
      <c r="IB144" t="e">
        <f>AND('UP133'!DM107,"AAAAAGe/f+s=")</f>
        <v>#VALUE!</v>
      </c>
      <c r="IC144" t="e">
        <f>AND('UP133'!DN107,"AAAAAGe/f+w=")</f>
        <v>#VALUE!</v>
      </c>
      <c r="ID144" t="e">
        <f>AND('UP133'!DO107,"AAAAAGe/f+0=")</f>
        <v>#VALUE!</v>
      </c>
      <c r="IE144" t="e">
        <f>AND('UP133'!DP107,"AAAAAGe/f+4=")</f>
        <v>#VALUE!</v>
      </c>
      <c r="IF144" t="e">
        <f>AND('UP133'!DQ107,"AAAAAGe/f+8=")</f>
        <v>#VALUE!</v>
      </c>
      <c r="IG144" t="e">
        <f>AND('UP133'!DR107,"AAAAAGe/f/A=")</f>
        <v>#VALUE!</v>
      </c>
      <c r="IH144" t="e">
        <f>AND('UP133'!DS107,"AAAAAGe/f/E=")</f>
        <v>#VALUE!</v>
      </c>
      <c r="II144" t="e">
        <f>AND('UP133'!DT107,"AAAAAGe/f/I=")</f>
        <v>#VALUE!</v>
      </c>
      <c r="IJ144" t="e">
        <f>AND('UP133'!DU107,"AAAAAGe/f/M=")</f>
        <v>#VALUE!</v>
      </c>
      <c r="IK144" t="e">
        <f>AND('UP133'!DV107,"AAAAAGe/f/Q=")</f>
        <v>#VALUE!</v>
      </c>
      <c r="IL144" t="e">
        <f>AND('UP133'!DW107,"AAAAAGe/f/U=")</f>
        <v>#VALUE!</v>
      </c>
      <c r="IM144" t="e">
        <f>AND('UP133'!DX107,"AAAAAGe/f/Y=")</f>
        <v>#VALUE!</v>
      </c>
      <c r="IN144" t="e">
        <f>AND('UP133'!DY107,"AAAAAGe/f/c=")</f>
        <v>#VALUE!</v>
      </c>
      <c r="IO144" t="e">
        <f>AND('UP133'!DZ107,"AAAAAGe/f/g=")</f>
        <v>#VALUE!</v>
      </c>
      <c r="IP144" t="e">
        <f>AND('UP133'!EA107,"AAAAAGe/f/k=")</f>
        <v>#VALUE!</v>
      </c>
      <c r="IQ144" t="e">
        <f>AND('UP133'!EB107,"AAAAAGe/f/o=")</f>
        <v>#VALUE!</v>
      </c>
      <c r="IR144" t="e">
        <f>AND('UP133'!EC107,"AAAAAGe/f/s=")</f>
        <v>#VALUE!</v>
      </c>
      <c r="IS144" t="e">
        <f>AND('UP133'!ED107,"AAAAAGe/f/w=")</f>
        <v>#VALUE!</v>
      </c>
      <c r="IT144" t="e">
        <f>AND('UP133'!EE107,"AAAAAGe/f/0=")</f>
        <v>#VALUE!</v>
      </c>
      <c r="IU144" t="e">
        <f>AND('UP133'!EF107,"AAAAAGe/f/4=")</f>
        <v>#VALUE!</v>
      </c>
      <c r="IV144" t="e">
        <f>AND('UP133'!EG107,"AAAAAGe/f/8=")</f>
        <v>#VALUE!</v>
      </c>
    </row>
    <row r="145" spans="1:256">
      <c r="A145" t="e">
        <f>AND('UP133'!EH107,"AAAAAG3+9wA=")</f>
        <v>#VALUE!</v>
      </c>
      <c r="B145" t="e">
        <f>AND('UP133'!EI107,"AAAAAG3+9wE=")</f>
        <v>#VALUE!</v>
      </c>
      <c r="C145" t="e">
        <f>AND('UP133'!EJ107,"AAAAAG3+9wI=")</f>
        <v>#VALUE!</v>
      </c>
      <c r="D145" t="e">
        <f>AND('UP133'!EK107,"AAAAAG3+9wM=")</f>
        <v>#VALUE!</v>
      </c>
      <c r="E145" t="e">
        <f>AND('UP133'!EL107,"AAAAAG3+9wQ=")</f>
        <v>#VALUE!</v>
      </c>
      <c r="F145" t="e">
        <f>AND('UP133'!EM107,"AAAAAG3+9wU=")</f>
        <v>#VALUE!</v>
      </c>
      <c r="G145" t="e">
        <f>AND('UP133'!EN107,"AAAAAG3+9wY=")</f>
        <v>#VALUE!</v>
      </c>
      <c r="H145" t="e">
        <f>AND('UP133'!EO107,"AAAAAG3+9wc=")</f>
        <v>#VALUE!</v>
      </c>
      <c r="I145" t="e">
        <f>AND('UP133'!EP107,"AAAAAG3+9wg=")</f>
        <v>#VALUE!</v>
      </c>
      <c r="J145" t="e">
        <f>AND('UP133'!EQ107,"AAAAAG3+9wk=")</f>
        <v>#VALUE!</v>
      </c>
      <c r="K145" t="e">
        <f>AND('UP133'!ER107,"AAAAAG3+9wo=")</f>
        <v>#VALUE!</v>
      </c>
      <c r="L145" t="e">
        <f>AND('UP133'!ES107,"AAAAAG3+9ws=")</f>
        <v>#VALUE!</v>
      </c>
      <c r="M145" t="e">
        <f>AND('UP133'!ET107,"AAAAAG3+9ww=")</f>
        <v>#VALUE!</v>
      </c>
      <c r="N145" t="e">
        <f>AND('UP133'!EU107,"AAAAAG3+9w0=")</f>
        <v>#VALUE!</v>
      </c>
      <c r="O145" t="e">
        <f>AND('UP133'!EV107,"AAAAAG3+9w4=")</f>
        <v>#VALUE!</v>
      </c>
      <c r="P145" t="e">
        <f>AND('UP133'!EW107,"AAAAAG3+9w8=")</f>
        <v>#VALUE!</v>
      </c>
      <c r="Q145" t="e">
        <f>AND('UP133'!EX107,"AAAAAG3+9xA=")</f>
        <v>#VALUE!</v>
      </c>
      <c r="R145" t="e">
        <f>AND('UP133'!EY107,"AAAAAG3+9xE=")</f>
        <v>#VALUE!</v>
      </c>
      <c r="S145" t="e">
        <f>AND('UP133'!EZ107,"AAAAAG3+9xI=")</f>
        <v>#VALUE!</v>
      </c>
      <c r="T145" t="e">
        <f>AND('UP133'!FA107,"AAAAAG3+9xM=")</f>
        <v>#VALUE!</v>
      </c>
      <c r="U145" t="e">
        <f>AND('UP133'!FB107,"AAAAAG3+9xQ=")</f>
        <v>#VALUE!</v>
      </c>
      <c r="V145" t="e">
        <f>AND('UP133'!FC107,"AAAAAG3+9xU=")</f>
        <v>#VALUE!</v>
      </c>
      <c r="W145" t="e">
        <f>AND('UP133'!FD107,"AAAAAG3+9xY=")</f>
        <v>#VALUE!</v>
      </c>
      <c r="X145" t="e">
        <f>AND('UP133'!FE107,"AAAAAG3+9xc=")</f>
        <v>#VALUE!</v>
      </c>
      <c r="Y145" t="e">
        <f>AND('UP133'!FF107,"AAAAAG3+9xg=")</f>
        <v>#VALUE!</v>
      </c>
      <c r="Z145" t="e">
        <f>AND('UP133'!FG107,"AAAAAG3+9xk=")</f>
        <v>#VALUE!</v>
      </c>
      <c r="AA145" t="e">
        <f>AND('UP133'!FH107,"AAAAAG3+9xo=")</f>
        <v>#VALUE!</v>
      </c>
      <c r="AB145" t="e">
        <f>AND('UP133'!FI107,"AAAAAG3+9xs=")</f>
        <v>#VALUE!</v>
      </c>
      <c r="AC145" t="e">
        <f>AND('UP133'!FJ107,"AAAAAG3+9xw=")</f>
        <v>#VALUE!</v>
      </c>
      <c r="AD145" t="e">
        <f>AND('UP133'!FK107,"AAAAAG3+9x0=")</f>
        <v>#VALUE!</v>
      </c>
      <c r="AE145" t="e">
        <f>AND('UP133'!FL107,"AAAAAG3+9x4=")</f>
        <v>#VALUE!</v>
      </c>
      <c r="AF145" t="e">
        <f>AND('UP133'!FM107,"AAAAAG3+9x8=")</f>
        <v>#VALUE!</v>
      </c>
      <c r="AG145" t="e">
        <f>AND('UP133'!FN107,"AAAAAG3+9yA=")</f>
        <v>#VALUE!</v>
      </c>
      <c r="AH145" t="e">
        <f>AND('UP133'!FO107,"AAAAAG3+9yE=")</f>
        <v>#VALUE!</v>
      </c>
      <c r="AI145" t="e">
        <f>AND('UP133'!FP107,"AAAAAG3+9yI=")</f>
        <v>#VALUE!</v>
      </c>
      <c r="AJ145" t="e">
        <f>AND('UP133'!FQ107,"AAAAAG3+9yM=")</f>
        <v>#VALUE!</v>
      </c>
      <c r="AK145" t="e">
        <f>AND('UP133'!FR107,"AAAAAG3+9yQ=")</f>
        <v>#VALUE!</v>
      </c>
      <c r="AL145" t="e">
        <f>AND('UP133'!FS107,"AAAAAG3+9yU=")</f>
        <v>#VALUE!</v>
      </c>
      <c r="AM145" t="e">
        <f>AND('UP133'!FT107,"AAAAAG3+9yY=")</f>
        <v>#VALUE!</v>
      </c>
      <c r="AN145" t="e">
        <f>AND('UP133'!FU107,"AAAAAG3+9yc=")</f>
        <v>#VALUE!</v>
      </c>
      <c r="AO145" t="e">
        <f>AND('UP133'!FV107,"AAAAAG3+9yg=")</f>
        <v>#VALUE!</v>
      </c>
      <c r="AP145" t="e">
        <f>AND('UP133'!FW107,"AAAAAG3+9yk=")</f>
        <v>#VALUE!</v>
      </c>
      <c r="AQ145" t="e">
        <f>AND('UP133'!FX107,"AAAAAG3+9yo=")</f>
        <v>#VALUE!</v>
      </c>
      <c r="AR145" t="e">
        <f>AND('UP133'!FY107,"AAAAAG3+9ys=")</f>
        <v>#VALUE!</v>
      </c>
      <c r="AS145" t="e">
        <f>AND('UP133'!FZ107,"AAAAAG3+9yw=")</f>
        <v>#VALUE!</v>
      </c>
      <c r="AT145" t="e">
        <f>AND('UP133'!GA107,"AAAAAG3+9y0=")</f>
        <v>#VALUE!</v>
      </c>
      <c r="AU145" t="e">
        <f>AND('UP133'!GB107,"AAAAAG3+9y4=")</f>
        <v>#VALUE!</v>
      </c>
      <c r="AV145" t="e">
        <f>AND('UP133'!GC107,"AAAAAG3+9y8=")</f>
        <v>#VALUE!</v>
      </c>
      <c r="AW145" t="e">
        <f>AND('UP133'!GD107,"AAAAAG3+9zA=")</f>
        <v>#VALUE!</v>
      </c>
      <c r="AX145" t="e">
        <f>AND('UP133'!GE107,"AAAAAG3+9zE=")</f>
        <v>#VALUE!</v>
      </c>
      <c r="AY145" t="e">
        <f>AND('UP133'!GF107,"AAAAAG3+9zI=")</f>
        <v>#VALUE!</v>
      </c>
      <c r="AZ145" t="e">
        <f>AND('UP133'!GG107,"AAAAAG3+9zM=")</f>
        <v>#VALUE!</v>
      </c>
      <c r="BA145" t="e">
        <f>AND('UP133'!GH107,"AAAAAG3+9zQ=")</f>
        <v>#VALUE!</v>
      </c>
      <c r="BB145" t="e">
        <f>AND('UP133'!GI107,"AAAAAG3+9zU=")</f>
        <v>#VALUE!</v>
      </c>
      <c r="BC145" t="e">
        <f>AND('UP133'!GJ107,"AAAAAG3+9zY=")</f>
        <v>#VALUE!</v>
      </c>
      <c r="BD145" t="e">
        <f>AND('UP133'!GK107,"AAAAAG3+9zc=")</f>
        <v>#VALUE!</v>
      </c>
      <c r="BE145" t="e">
        <f>AND('UP133'!GL107,"AAAAAG3+9zg=")</f>
        <v>#VALUE!</v>
      </c>
      <c r="BF145" t="e">
        <f>AND('UP133'!GM107,"AAAAAG3+9zk=")</f>
        <v>#VALUE!</v>
      </c>
      <c r="BG145" t="e">
        <f>AND('UP133'!GN107,"AAAAAG3+9zo=")</f>
        <v>#VALUE!</v>
      </c>
      <c r="BH145" t="e">
        <f>AND('UP133'!GO107,"AAAAAG3+9zs=")</f>
        <v>#VALUE!</v>
      </c>
      <c r="BI145" t="e">
        <f>AND('UP133'!GP107,"AAAAAG3+9zw=")</f>
        <v>#VALUE!</v>
      </c>
      <c r="BJ145" t="e">
        <f>AND('UP133'!GQ107,"AAAAAG3+9z0=")</f>
        <v>#VALUE!</v>
      </c>
      <c r="BK145" t="e">
        <f>AND('UP133'!GR107,"AAAAAG3+9z4=")</f>
        <v>#VALUE!</v>
      </c>
      <c r="BL145" t="e">
        <f>AND('UP133'!GS107,"AAAAAG3+9z8=")</f>
        <v>#VALUE!</v>
      </c>
      <c r="BM145" t="e">
        <f>AND('UP133'!GT107,"AAAAAG3+90A=")</f>
        <v>#VALUE!</v>
      </c>
      <c r="BN145" t="e">
        <f>AND('UP133'!GU107,"AAAAAG3+90E=")</f>
        <v>#VALUE!</v>
      </c>
      <c r="BO145" t="e">
        <f>AND('UP133'!GV107,"AAAAAG3+90I=")</f>
        <v>#VALUE!</v>
      </c>
      <c r="BP145" t="e">
        <f>AND('UP133'!GW107,"AAAAAG3+90M=")</f>
        <v>#VALUE!</v>
      </c>
      <c r="BQ145" t="e">
        <f>AND('UP133'!GX107,"AAAAAG3+90Q=")</f>
        <v>#VALUE!</v>
      </c>
      <c r="BR145" t="e">
        <f>AND('UP133'!GY107,"AAAAAG3+90U=")</f>
        <v>#VALUE!</v>
      </c>
      <c r="BS145" t="e">
        <f>AND('UP133'!GZ107,"AAAAAG3+90Y=")</f>
        <v>#VALUE!</v>
      </c>
      <c r="BT145" t="e">
        <f>AND('UP133'!HA107,"AAAAAG3+90c=")</f>
        <v>#VALUE!</v>
      </c>
      <c r="BU145" t="e">
        <f>AND('UP133'!HB107,"AAAAAG3+90g=")</f>
        <v>#VALUE!</v>
      </c>
      <c r="BV145" t="e">
        <f>AND('UP133'!HC107,"AAAAAG3+90k=")</f>
        <v>#VALUE!</v>
      </c>
      <c r="BW145" t="e">
        <f>AND('UP133'!HD107,"AAAAAG3+90o=")</f>
        <v>#VALUE!</v>
      </c>
      <c r="BX145" t="e">
        <f>AND('UP133'!HE107,"AAAAAG3+90s=")</f>
        <v>#VALUE!</v>
      </c>
      <c r="BY145" t="e">
        <f>AND('UP133'!HF107,"AAAAAG3+90w=")</f>
        <v>#VALUE!</v>
      </c>
      <c r="BZ145" t="e">
        <f>AND('UP133'!HG107,"AAAAAG3+900=")</f>
        <v>#VALUE!</v>
      </c>
      <c r="CA145" t="e">
        <f>AND('UP133'!HH107,"AAAAAG3+904=")</f>
        <v>#VALUE!</v>
      </c>
      <c r="CB145" t="e">
        <f>AND('UP133'!HI107,"AAAAAG3+908=")</f>
        <v>#VALUE!</v>
      </c>
      <c r="CC145" t="e">
        <f>AND('UP133'!HJ107,"AAAAAG3+91A=")</f>
        <v>#VALUE!</v>
      </c>
      <c r="CD145" t="e">
        <f>AND('UP133'!HK107,"AAAAAG3+91E=")</f>
        <v>#VALUE!</v>
      </c>
      <c r="CE145" t="e">
        <f>AND('UP133'!HL107,"AAAAAG3+91I=")</f>
        <v>#VALUE!</v>
      </c>
      <c r="CF145" t="e">
        <f>AND('UP133'!HM107,"AAAAAG3+91M=")</f>
        <v>#VALUE!</v>
      </c>
      <c r="CG145" t="e">
        <f>AND('UP133'!HN107,"AAAAAG3+91Q=")</f>
        <v>#VALUE!</v>
      </c>
      <c r="CH145" t="e">
        <f>AND('UP133'!HO107,"AAAAAG3+91U=")</f>
        <v>#VALUE!</v>
      </c>
      <c r="CI145" t="e">
        <f>AND('UP133'!HP107,"AAAAAG3+91Y=")</f>
        <v>#VALUE!</v>
      </c>
      <c r="CJ145" t="e">
        <f>AND('UP133'!HQ107,"AAAAAG3+91c=")</f>
        <v>#VALUE!</v>
      </c>
      <c r="CK145" t="e">
        <f>AND('UP133'!HR107,"AAAAAG3+91g=")</f>
        <v>#VALUE!</v>
      </c>
      <c r="CL145" t="e">
        <f>AND('UP133'!HS107,"AAAAAG3+91k=")</f>
        <v>#VALUE!</v>
      </c>
      <c r="CM145" t="e">
        <f>AND('UP133'!HT107,"AAAAAG3+91o=")</f>
        <v>#VALUE!</v>
      </c>
      <c r="CN145" t="e">
        <f>AND('UP133'!HU107,"AAAAAG3+91s=")</f>
        <v>#VALUE!</v>
      </c>
      <c r="CO145" t="e">
        <f>AND('UP133'!HV107,"AAAAAG3+91w=")</f>
        <v>#VALUE!</v>
      </c>
      <c r="CP145" t="e">
        <f>AND('UP133'!HW107,"AAAAAG3+910=")</f>
        <v>#VALUE!</v>
      </c>
      <c r="CQ145" t="e">
        <f>AND('UP133'!HX107,"AAAAAG3+914=")</f>
        <v>#VALUE!</v>
      </c>
      <c r="CR145" t="e">
        <f>AND('UP133'!HY107,"AAAAAG3+918=")</f>
        <v>#VALUE!</v>
      </c>
      <c r="CS145" t="e">
        <f>AND('UP133'!HZ107,"AAAAAG3+92A=")</f>
        <v>#VALUE!</v>
      </c>
      <c r="CT145" t="e">
        <f>AND('UP133'!IA107,"AAAAAG3+92E=")</f>
        <v>#VALUE!</v>
      </c>
      <c r="CU145" t="e">
        <f>AND('UP133'!IB107,"AAAAAG3+92I=")</f>
        <v>#VALUE!</v>
      </c>
      <c r="CV145" t="e">
        <f>AND('UP133'!IC107,"AAAAAG3+92M=")</f>
        <v>#VALUE!</v>
      </c>
      <c r="CW145" t="e">
        <f>AND('UP133'!ID107,"AAAAAG3+92Q=")</f>
        <v>#VALUE!</v>
      </c>
      <c r="CX145" t="e">
        <f>AND('UP133'!IE107,"AAAAAG3+92U=")</f>
        <v>#VALUE!</v>
      </c>
      <c r="CY145" t="e">
        <f>AND('UP133'!IF107,"AAAAAG3+92Y=")</f>
        <v>#VALUE!</v>
      </c>
      <c r="CZ145" t="e">
        <f>AND('UP133'!IG107,"AAAAAG3+92c=")</f>
        <v>#VALUE!</v>
      </c>
      <c r="DA145" t="e">
        <f>AND('UP133'!IH107,"AAAAAG3+92g=")</f>
        <v>#VALUE!</v>
      </c>
      <c r="DB145" t="e">
        <f>AND('UP133'!II107,"AAAAAG3+92k=")</f>
        <v>#VALUE!</v>
      </c>
      <c r="DC145" t="e">
        <f>AND('UP133'!IJ107,"AAAAAG3+92o=")</f>
        <v>#VALUE!</v>
      </c>
      <c r="DD145" t="e">
        <f>AND('UP133'!IK107,"AAAAAG3+92s=")</f>
        <v>#VALUE!</v>
      </c>
      <c r="DE145" t="e">
        <f>AND('UP133'!IL107,"AAAAAG3+92w=")</f>
        <v>#VALUE!</v>
      </c>
      <c r="DF145" t="e">
        <f>AND('UP133'!IM107,"AAAAAG3+920=")</f>
        <v>#VALUE!</v>
      </c>
      <c r="DG145" t="e">
        <f>AND('UP133'!IN107,"AAAAAG3+924=")</f>
        <v>#VALUE!</v>
      </c>
      <c r="DH145" t="e">
        <f>AND('UP133'!IO107,"AAAAAG3+928=")</f>
        <v>#VALUE!</v>
      </c>
      <c r="DI145" t="e">
        <f>AND('UP133'!IP107,"AAAAAG3+93A=")</f>
        <v>#VALUE!</v>
      </c>
      <c r="DJ145" t="e">
        <f>AND('UP133'!IQ107,"AAAAAG3+93E=")</f>
        <v>#VALUE!</v>
      </c>
      <c r="DK145">
        <f>IF('UP133'!108:108,"AAAAAG3+93I=",0)</f>
        <v>0</v>
      </c>
      <c r="DL145" t="e">
        <f>AND('UP133'!A108,"AAAAAG3+93M=")</f>
        <v>#VALUE!</v>
      </c>
      <c r="DM145" t="e">
        <f>AND('UP133'!B108,"AAAAAG3+93Q=")</f>
        <v>#VALUE!</v>
      </c>
      <c r="DN145" t="e">
        <f>AND('UP133'!C108,"AAAAAG3+93U=")</f>
        <v>#VALUE!</v>
      </c>
      <c r="DO145" t="e">
        <f>AND('UP133'!D108,"AAAAAG3+93Y=")</f>
        <v>#VALUE!</v>
      </c>
      <c r="DP145" t="e">
        <f>AND('UP133'!E108,"AAAAAG3+93c=")</f>
        <v>#VALUE!</v>
      </c>
      <c r="DQ145" t="e">
        <f>AND('UP133'!F108,"AAAAAG3+93g=")</f>
        <v>#VALUE!</v>
      </c>
      <c r="DR145" t="e">
        <f>AND('UP133'!G108,"AAAAAG3+93k=")</f>
        <v>#VALUE!</v>
      </c>
      <c r="DS145" t="e">
        <f>AND('UP133'!H108,"AAAAAG3+93o=")</f>
        <v>#VALUE!</v>
      </c>
      <c r="DT145" t="e">
        <f>AND('UP133'!I108,"AAAAAG3+93s=")</f>
        <v>#VALUE!</v>
      </c>
      <c r="DU145" t="e">
        <f>AND('UP133'!J108,"AAAAAG3+93w=")</f>
        <v>#VALUE!</v>
      </c>
      <c r="DV145" t="e">
        <f>AND('UP133'!K108,"AAAAAG3+930=")</f>
        <v>#VALUE!</v>
      </c>
      <c r="DW145" t="e">
        <f>AND('UP133'!L108,"AAAAAG3+934=")</f>
        <v>#VALUE!</v>
      </c>
      <c r="DX145" t="e">
        <f>AND('UP133'!M108,"AAAAAG3+938=")</f>
        <v>#VALUE!</v>
      </c>
      <c r="DY145" t="e">
        <f>AND('UP133'!N108,"AAAAAG3+94A=")</f>
        <v>#VALUE!</v>
      </c>
      <c r="DZ145" t="e">
        <f>AND('UP133'!O108,"AAAAAG3+94E=")</f>
        <v>#VALUE!</v>
      </c>
      <c r="EA145" t="e">
        <f>AND('UP133'!P108,"AAAAAG3+94I=")</f>
        <v>#VALUE!</v>
      </c>
      <c r="EB145" t="e">
        <f>AND('UP133'!Q108,"AAAAAG3+94M=")</f>
        <v>#VALUE!</v>
      </c>
      <c r="EC145" t="e">
        <f>AND('UP133'!R108,"AAAAAG3+94Q=")</f>
        <v>#VALUE!</v>
      </c>
      <c r="ED145" t="e">
        <f>AND('UP133'!S108,"AAAAAG3+94U=")</f>
        <v>#VALUE!</v>
      </c>
      <c r="EE145" t="e">
        <f>AND('UP133'!T108,"AAAAAG3+94Y=")</f>
        <v>#VALUE!</v>
      </c>
      <c r="EF145" t="e">
        <f>AND('UP133'!U108,"AAAAAG3+94c=")</f>
        <v>#VALUE!</v>
      </c>
      <c r="EG145" t="e">
        <f>AND('UP133'!V108,"AAAAAG3+94g=")</f>
        <v>#VALUE!</v>
      </c>
      <c r="EH145" t="e">
        <f>AND('UP133'!W108,"AAAAAG3+94k=")</f>
        <v>#VALUE!</v>
      </c>
      <c r="EI145" t="e">
        <f>AND('UP133'!X108,"AAAAAG3+94o=")</f>
        <v>#VALUE!</v>
      </c>
      <c r="EJ145" t="e">
        <f>AND('UP133'!Y108,"AAAAAG3+94s=")</f>
        <v>#VALUE!</v>
      </c>
      <c r="EK145" t="e">
        <f>AND('UP133'!Z108,"AAAAAG3+94w=")</f>
        <v>#VALUE!</v>
      </c>
      <c r="EL145" t="e">
        <f>AND('UP133'!AA108,"AAAAAG3+940=")</f>
        <v>#VALUE!</v>
      </c>
      <c r="EM145" t="e">
        <f>AND('UP133'!AB108,"AAAAAG3+944=")</f>
        <v>#VALUE!</v>
      </c>
      <c r="EN145" t="e">
        <f>AND('UP133'!AC108,"AAAAAG3+948=")</f>
        <v>#VALUE!</v>
      </c>
      <c r="EO145" t="e">
        <f>AND('UP133'!AD108,"AAAAAG3+95A=")</f>
        <v>#VALUE!</v>
      </c>
      <c r="EP145" t="e">
        <f>AND('UP133'!AE108,"AAAAAG3+95E=")</f>
        <v>#VALUE!</v>
      </c>
      <c r="EQ145" t="e">
        <f>AND('UP133'!AF108,"AAAAAG3+95I=")</f>
        <v>#VALUE!</v>
      </c>
      <c r="ER145" t="e">
        <f>AND('UP133'!AG108,"AAAAAG3+95M=")</f>
        <v>#VALUE!</v>
      </c>
      <c r="ES145" t="e">
        <f>AND('UP133'!AH108,"AAAAAG3+95Q=")</f>
        <v>#VALUE!</v>
      </c>
      <c r="ET145" t="e">
        <f>AND('UP133'!AI108,"AAAAAG3+95U=")</f>
        <v>#VALUE!</v>
      </c>
      <c r="EU145" t="e">
        <f>AND('UP133'!AJ108,"AAAAAG3+95Y=")</f>
        <v>#VALUE!</v>
      </c>
      <c r="EV145" t="e">
        <f>AND('UP133'!AK108,"AAAAAG3+95c=")</f>
        <v>#VALUE!</v>
      </c>
      <c r="EW145" t="e">
        <f>AND('UP133'!AL108,"AAAAAG3+95g=")</f>
        <v>#VALUE!</v>
      </c>
      <c r="EX145" t="e">
        <f>AND('UP133'!AM108,"AAAAAG3+95k=")</f>
        <v>#VALUE!</v>
      </c>
      <c r="EY145" t="e">
        <f>AND('UP133'!AN108,"AAAAAG3+95o=")</f>
        <v>#VALUE!</v>
      </c>
      <c r="EZ145" t="e">
        <f>AND('UP133'!AO108,"AAAAAG3+95s=")</f>
        <v>#VALUE!</v>
      </c>
      <c r="FA145" t="e">
        <f>AND('UP133'!AP108,"AAAAAG3+95w=")</f>
        <v>#VALUE!</v>
      </c>
      <c r="FB145" t="e">
        <f>AND('UP133'!AQ108,"AAAAAG3+950=")</f>
        <v>#VALUE!</v>
      </c>
      <c r="FC145" t="e">
        <f>AND('UP133'!AR108,"AAAAAG3+954=")</f>
        <v>#VALUE!</v>
      </c>
      <c r="FD145" t="e">
        <f>AND('UP133'!AS108,"AAAAAG3+958=")</f>
        <v>#VALUE!</v>
      </c>
      <c r="FE145" t="e">
        <f>AND('UP133'!AT108,"AAAAAG3+96A=")</f>
        <v>#VALUE!</v>
      </c>
      <c r="FF145" t="e">
        <f>AND('UP133'!AU108,"AAAAAG3+96E=")</f>
        <v>#VALUE!</v>
      </c>
      <c r="FG145" t="e">
        <f>AND('UP133'!AV108,"AAAAAG3+96I=")</f>
        <v>#VALUE!</v>
      </c>
      <c r="FH145" t="e">
        <f>AND('UP133'!AW108,"AAAAAG3+96M=")</f>
        <v>#VALUE!</v>
      </c>
      <c r="FI145" t="e">
        <f>AND('UP133'!AX108,"AAAAAG3+96Q=")</f>
        <v>#VALUE!</v>
      </c>
      <c r="FJ145" t="e">
        <f>AND('UP133'!AY108,"AAAAAG3+96U=")</f>
        <v>#VALUE!</v>
      </c>
      <c r="FK145" t="e">
        <f>AND('UP133'!AZ108,"AAAAAG3+96Y=")</f>
        <v>#VALUE!</v>
      </c>
      <c r="FL145" t="e">
        <f>AND('UP133'!BA108,"AAAAAG3+96c=")</f>
        <v>#VALUE!</v>
      </c>
      <c r="FM145" t="e">
        <f>AND('UP133'!BB108,"AAAAAG3+96g=")</f>
        <v>#VALUE!</v>
      </c>
      <c r="FN145" t="e">
        <f>AND('UP133'!BC108,"AAAAAG3+96k=")</f>
        <v>#VALUE!</v>
      </c>
      <c r="FO145" t="e">
        <f>AND('UP133'!BD108,"AAAAAG3+96o=")</f>
        <v>#VALUE!</v>
      </c>
      <c r="FP145" t="e">
        <f>AND('UP133'!BE108,"AAAAAG3+96s=")</f>
        <v>#VALUE!</v>
      </c>
      <c r="FQ145" t="e">
        <f>AND('UP133'!BF108,"AAAAAG3+96w=")</f>
        <v>#VALUE!</v>
      </c>
      <c r="FR145" t="e">
        <f>AND('UP133'!BG108,"AAAAAG3+960=")</f>
        <v>#VALUE!</v>
      </c>
      <c r="FS145" t="e">
        <f>AND('UP133'!BH108,"AAAAAG3+964=")</f>
        <v>#VALUE!</v>
      </c>
      <c r="FT145" t="e">
        <f>AND('UP133'!BI108,"AAAAAG3+968=")</f>
        <v>#VALUE!</v>
      </c>
      <c r="FU145" t="e">
        <f>AND('UP133'!BJ108,"AAAAAG3+97A=")</f>
        <v>#VALUE!</v>
      </c>
      <c r="FV145" t="e">
        <f>AND('UP133'!BK108,"AAAAAG3+97E=")</f>
        <v>#VALUE!</v>
      </c>
      <c r="FW145" t="e">
        <f>AND('UP133'!BL108,"AAAAAG3+97I=")</f>
        <v>#VALUE!</v>
      </c>
      <c r="FX145" t="e">
        <f>AND('UP133'!BM108,"AAAAAG3+97M=")</f>
        <v>#VALUE!</v>
      </c>
      <c r="FY145" t="e">
        <f>AND('UP133'!BN108,"AAAAAG3+97Q=")</f>
        <v>#VALUE!</v>
      </c>
      <c r="FZ145" t="e">
        <f>AND('UP133'!BO108,"AAAAAG3+97U=")</f>
        <v>#VALUE!</v>
      </c>
      <c r="GA145" t="e">
        <f>AND('UP133'!BP108,"AAAAAG3+97Y=")</f>
        <v>#VALUE!</v>
      </c>
      <c r="GB145" t="e">
        <f>AND('UP133'!BQ108,"AAAAAG3+97c=")</f>
        <v>#VALUE!</v>
      </c>
      <c r="GC145" t="e">
        <f>AND('UP133'!BR108,"AAAAAG3+97g=")</f>
        <v>#VALUE!</v>
      </c>
      <c r="GD145" t="e">
        <f>AND('UP133'!BS108,"AAAAAG3+97k=")</f>
        <v>#VALUE!</v>
      </c>
      <c r="GE145" t="e">
        <f>AND('UP133'!BT108,"AAAAAG3+97o=")</f>
        <v>#VALUE!</v>
      </c>
      <c r="GF145" t="e">
        <f>AND('UP133'!BU108,"AAAAAG3+97s=")</f>
        <v>#VALUE!</v>
      </c>
      <c r="GG145" t="e">
        <f>AND('UP133'!BV108,"AAAAAG3+97w=")</f>
        <v>#VALUE!</v>
      </c>
      <c r="GH145" t="e">
        <f>AND('UP133'!BW108,"AAAAAG3+970=")</f>
        <v>#VALUE!</v>
      </c>
      <c r="GI145" t="e">
        <f>AND('UP133'!BX108,"AAAAAG3+974=")</f>
        <v>#VALUE!</v>
      </c>
      <c r="GJ145" t="e">
        <f>AND('UP133'!BY108,"AAAAAG3+978=")</f>
        <v>#VALUE!</v>
      </c>
      <c r="GK145" t="e">
        <f>AND('UP133'!BZ108,"AAAAAG3+98A=")</f>
        <v>#VALUE!</v>
      </c>
      <c r="GL145" t="e">
        <f>AND('UP133'!CA108,"AAAAAG3+98E=")</f>
        <v>#VALUE!</v>
      </c>
      <c r="GM145" t="e">
        <f>AND('UP133'!CB108,"AAAAAG3+98I=")</f>
        <v>#VALUE!</v>
      </c>
      <c r="GN145" t="e">
        <f>AND('UP133'!CC108,"AAAAAG3+98M=")</f>
        <v>#VALUE!</v>
      </c>
      <c r="GO145" t="e">
        <f>AND('UP133'!CD108,"AAAAAG3+98Q=")</f>
        <v>#VALUE!</v>
      </c>
      <c r="GP145" t="e">
        <f>AND('UP133'!CE108,"AAAAAG3+98U=")</f>
        <v>#VALUE!</v>
      </c>
      <c r="GQ145" t="e">
        <f>AND('UP133'!CF108,"AAAAAG3+98Y=")</f>
        <v>#VALUE!</v>
      </c>
      <c r="GR145" t="e">
        <f>AND('UP133'!CG108,"AAAAAG3+98c=")</f>
        <v>#VALUE!</v>
      </c>
      <c r="GS145" t="e">
        <f>AND('UP133'!CH108,"AAAAAG3+98g=")</f>
        <v>#VALUE!</v>
      </c>
      <c r="GT145" t="e">
        <f>AND('UP133'!CI108,"AAAAAG3+98k=")</f>
        <v>#VALUE!</v>
      </c>
      <c r="GU145" t="e">
        <f>AND('UP133'!CJ108,"AAAAAG3+98o=")</f>
        <v>#VALUE!</v>
      </c>
      <c r="GV145" t="e">
        <f>AND('UP133'!CK108,"AAAAAG3+98s=")</f>
        <v>#VALUE!</v>
      </c>
      <c r="GW145" t="e">
        <f>AND('UP133'!CL108,"AAAAAG3+98w=")</f>
        <v>#VALUE!</v>
      </c>
      <c r="GX145" t="e">
        <f>AND('UP133'!CM108,"AAAAAG3+980=")</f>
        <v>#VALUE!</v>
      </c>
      <c r="GY145" t="e">
        <f>AND('UP133'!CN108,"AAAAAG3+984=")</f>
        <v>#VALUE!</v>
      </c>
      <c r="GZ145" t="e">
        <f>AND('UP133'!CO108,"AAAAAG3+988=")</f>
        <v>#VALUE!</v>
      </c>
      <c r="HA145" t="e">
        <f>AND('UP133'!CP108,"AAAAAG3+99A=")</f>
        <v>#VALUE!</v>
      </c>
      <c r="HB145" t="e">
        <f>AND('UP133'!CQ108,"AAAAAG3+99E=")</f>
        <v>#VALUE!</v>
      </c>
      <c r="HC145" t="e">
        <f>AND('UP133'!CR108,"AAAAAG3+99I=")</f>
        <v>#VALUE!</v>
      </c>
      <c r="HD145" t="e">
        <f>AND('UP133'!CS108,"AAAAAG3+99M=")</f>
        <v>#VALUE!</v>
      </c>
      <c r="HE145" t="e">
        <f>AND('UP133'!CT108,"AAAAAG3+99Q=")</f>
        <v>#VALUE!</v>
      </c>
      <c r="HF145" t="e">
        <f>AND('UP133'!CU108,"AAAAAG3+99U=")</f>
        <v>#VALUE!</v>
      </c>
      <c r="HG145" t="e">
        <f>AND('UP133'!CV108,"AAAAAG3+99Y=")</f>
        <v>#VALUE!</v>
      </c>
      <c r="HH145" t="e">
        <f>AND('UP133'!CW108,"AAAAAG3+99c=")</f>
        <v>#VALUE!</v>
      </c>
      <c r="HI145" t="e">
        <f>AND('UP133'!CX108,"AAAAAG3+99g=")</f>
        <v>#VALUE!</v>
      </c>
      <c r="HJ145" t="e">
        <f>AND('UP133'!CY108,"AAAAAG3+99k=")</f>
        <v>#VALUE!</v>
      </c>
      <c r="HK145" t="e">
        <f>AND('UP133'!CZ108,"AAAAAG3+99o=")</f>
        <v>#VALUE!</v>
      </c>
      <c r="HL145" t="e">
        <f>AND('UP133'!DA108,"AAAAAG3+99s=")</f>
        <v>#VALUE!</v>
      </c>
      <c r="HM145" t="e">
        <f>AND('UP133'!DB108,"AAAAAG3+99w=")</f>
        <v>#VALUE!</v>
      </c>
      <c r="HN145" t="e">
        <f>AND('UP133'!DC108,"AAAAAG3+990=")</f>
        <v>#VALUE!</v>
      </c>
      <c r="HO145" t="e">
        <f>AND('UP133'!DD108,"AAAAAG3+994=")</f>
        <v>#VALUE!</v>
      </c>
      <c r="HP145" t="e">
        <f>AND('UP133'!DE108,"AAAAAG3+998=")</f>
        <v>#VALUE!</v>
      </c>
      <c r="HQ145" t="e">
        <f>AND('UP133'!DF108,"AAAAAG3+9+A=")</f>
        <v>#VALUE!</v>
      </c>
      <c r="HR145" t="e">
        <f>AND('UP133'!DG108,"AAAAAG3+9+E=")</f>
        <v>#VALUE!</v>
      </c>
      <c r="HS145" t="e">
        <f>AND('UP133'!DH108,"AAAAAG3+9+I=")</f>
        <v>#VALUE!</v>
      </c>
      <c r="HT145" t="e">
        <f>AND('UP133'!DI108,"AAAAAG3+9+M=")</f>
        <v>#VALUE!</v>
      </c>
      <c r="HU145" t="e">
        <f>AND('UP133'!DJ108,"AAAAAG3+9+Q=")</f>
        <v>#VALUE!</v>
      </c>
      <c r="HV145" t="e">
        <f>AND('UP133'!DK108,"AAAAAG3+9+U=")</f>
        <v>#VALUE!</v>
      </c>
      <c r="HW145" t="e">
        <f>AND('UP133'!DL108,"AAAAAG3+9+Y=")</f>
        <v>#VALUE!</v>
      </c>
      <c r="HX145" t="e">
        <f>AND('UP133'!DM108,"AAAAAG3+9+c=")</f>
        <v>#VALUE!</v>
      </c>
      <c r="HY145" t="e">
        <f>AND('UP133'!DN108,"AAAAAG3+9+g=")</f>
        <v>#VALUE!</v>
      </c>
      <c r="HZ145" t="e">
        <f>AND('UP133'!DO108,"AAAAAG3+9+k=")</f>
        <v>#VALUE!</v>
      </c>
      <c r="IA145" t="e">
        <f>AND('UP133'!DP108,"AAAAAG3+9+o=")</f>
        <v>#VALUE!</v>
      </c>
      <c r="IB145" t="e">
        <f>AND('UP133'!DQ108,"AAAAAG3+9+s=")</f>
        <v>#VALUE!</v>
      </c>
      <c r="IC145" t="e">
        <f>AND('UP133'!DR108,"AAAAAG3+9+w=")</f>
        <v>#VALUE!</v>
      </c>
      <c r="ID145" t="e">
        <f>AND('UP133'!DS108,"AAAAAG3+9+0=")</f>
        <v>#VALUE!</v>
      </c>
      <c r="IE145" t="e">
        <f>AND('UP133'!DT108,"AAAAAG3+9+4=")</f>
        <v>#VALUE!</v>
      </c>
      <c r="IF145" t="e">
        <f>AND('UP133'!DU108,"AAAAAG3+9+8=")</f>
        <v>#VALUE!</v>
      </c>
      <c r="IG145" t="e">
        <f>AND('UP133'!DV108,"AAAAAG3+9/A=")</f>
        <v>#VALUE!</v>
      </c>
      <c r="IH145" t="e">
        <f>AND('UP133'!DW108,"AAAAAG3+9/E=")</f>
        <v>#VALUE!</v>
      </c>
      <c r="II145" t="e">
        <f>AND('UP133'!DX108,"AAAAAG3+9/I=")</f>
        <v>#VALUE!</v>
      </c>
      <c r="IJ145" t="e">
        <f>AND('UP133'!DY108,"AAAAAG3+9/M=")</f>
        <v>#VALUE!</v>
      </c>
      <c r="IK145" t="e">
        <f>AND('UP133'!DZ108,"AAAAAG3+9/Q=")</f>
        <v>#VALUE!</v>
      </c>
      <c r="IL145" t="e">
        <f>AND('UP133'!EA108,"AAAAAG3+9/U=")</f>
        <v>#VALUE!</v>
      </c>
      <c r="IM145" t="e">
        <f>AND('UP133'!EB108,"AAAAAG3+9/Y=")</f>
        <v>#VALUE!</v>
      </c>
      <c r="IN145" t="e">
        <f>AND('UP133'!EC108,"AAAAAG3+9/c=")</f>
        <v>#VALUE!</v>
      </c>
      <c r="IO145" t="e">
        <f>AND('UP133'!ED108,"AAAAAG3+9/g=")</f>
        <v>#VALUE!</v>
      </c>
      <c r="IP145" t="e">
        <f>AND('UP133'!EE108,"AAAAAG3+9/k=")</f>
        <v>#VALUE!</v>
      </c>
      <c r="IQ145" t="e">
        <f>AND('UP133'!EF108,"AAAAAG3+9/o=")</f>
        <v>#VALUE!</v>
      </c>
      <c r="IR145" t="e">
        <f>AND('UP133'!EG108,"AAAAAG3+9/s=")</f>
        <v>#VALUE!</v>
      </c>
      <c r="IS145" t="e">
        <f>AND('UP133'!EH108,"AAAAAG3+9/w=")</f>
        <v>#VALUE!</v>
      </c>
      <c r="IT145" t="e">
        <f>AND('UP133'!EI108,"AAAAAG3+9/0=")</f>
        <v>#VALUE!</v>
      </c>
      <c r="IU145" t="e">
        <f>AND('UP133'!EJ108,"AAAAAG3+9/4=")</f>
        <v>#VALUE!</v>
      </c>
      <c r="IV145" t="e">
        <f>AND('UP133'!EK108,"AAAAAG3+9/8=")</f>
        <v>#VALUE!</v>
      </c>
    </row>
    <row r="146" spans="1:256">
      <c r="A146" t="e">
        <f>AND('UP133'!EL108,"AAAAAH6z/wA=")</f>
        <v>#VALUE!</v>
      </c>
      <c r="B146" t="e">
        <f>AND('UP133'!EM108,"AAAAAH6z/wE=")</f>
        <v>#VALUE!</v>
      </c>
      <c r="C146" t="e">
        <f>AND('UP133'!EN108,"AAAAAH6z/wI=")</f>
        <v>#VALUE!</v>
      </c>
      <c r="D146" t="e">
        <f>AND('UP133'!EO108,"AAAAAH6z/wM=")</f>
        <v>#VALUE!</v>
      </c>
      <c r="E146" t="e">
        <f>AND('UP133'!EP108,"AAAAAH6z/wQ=")</f>
        <v>#VALUE!</v>
      </c>
      <c r="F146" t="e">
        <f>AND('UP133'!EQ108,"AAAAAH6z/wU=")</f>
        <v>#VALUE!</v>
      </c>
      <c r="G146" t="e">
        <f>AND('UP133'!ER108,"AAAAAH6z/wY=")</f>
        <v>#VALUE!</v>
      </c>
      <c r="H146" t="e">
        <f>AND('UP133'!ES108,"AAAAAH6z/wc=")</f>
        <v>#VALUE!</v>
      </c>
      <c r="I146" t="e">
        <f>AND('UP133'!ET108,"AAAAAH6z/wg=")</f>
        <v>#VALUE!</v>
      </c>
      <c r="J146" t="e">
        <f>AND('UP133'!EU108,"AAAAAH6z/wk=")</f>
        <v>#VALUE!</v>
      </c>
      <c r="K146" t="e">
        <f>AND('UP133'!EV108,"AAAAAH6z/wo=")</f>
        <v>#VALUE!</v>
      </c>
      <c r="L146" t="e">
        <f>AND('UP133'!EW108,"AAAAAH6z/ws=")</f>
        <v>#VALUE!</v>
      </c>
      <c r="M146" t="e">
        <f>AND('UP133'!EX108,"AAAAAH6z/ww=")</f>
        <v>#VALUE!</v>
      </c>
      <c r="N146" t="e">
        <f>AND('UP133'!EY108,"AAAAAH6z/w0=")</f>
        <v>#VALUE!</v>
      </c>
      <c r="O146" t="e">
        <f>AND('UP133'!EZ108,"AAAAAH6z/w4=")</f>
        <v>#VALUE!</v>
      </c>
      <c r="P146" t="e">
        <f>AND('UP133'!FA108,"AAAAAH6z/w8=")</f>
        <v>#VALUE!</v>
      </c>
      <c r="Q146" t="e">
        <f>AND('UP133'!FB108,"AAAAAH6z/xA=")</f>
        <v>#VALUE!</v>
      </c>
      <c r="R146" t="e">
        <f>AND('UP133'!FC108,"AAAAAH6z/xE=")</f>
        <v>#VALUE!</v>
      </c>
      <c r="S146" t="e">
        <f>AND('UP133'!FD108,"AAAAAH6z/xI=")</f>
        <v>#VALUE!</v>
      </c>
      <c r="T146" t="e">
        <f>AND('UP133'!FE108,"AAAAAH6z/xM=")</f>
        <v>#VALUE!</v>
      </c>
      <c r="U146" t="e">
        <f>AND('UP133'!FF108,"AAAAAH6z/xQ=")</f>
        <v>#VALUE!</v>
      </c>
      <c r="V146" t="e">
        <f>AND('UP133'!FG108,"AAAAAH6z/xU=")</f>
        <v>#VALUE!</v>
      </c>
      <c r="W146" t="e">
        <f>AND('UP133'!FH108,"AAAAAH6z/xY=")</f>
        <v>#VALUE!</v>
      </c>
      <c r="X146" t="e">
        <f>AND('UP133'!FI108,"AAAAAH6z/xc=")</f>
        <v>#VALUE!</v>
      </c>
      <c r="Y146" t="e">
        <f>AND('UP133'!FJ108,"AAAAAH6z/xg=")</f>
        <v>#VALUE!</v>
      </c>
      <c r="Z146" t="e">
        <f>AND('UP133'!FK108,"AAAAAH6z/xk=")</f>
        <v>#VALUE!</v>
      </c>
      <c r="AA146" t="e">
        <f>AND('UP133'!FL108,"AAAAAH6z/xo=")</f>
        <v>#VALUE!</v>
      </c>
      <c r="AB146" t="e">
        <f>AND('UP133'!FM108,"AAAAAH6z/xs=")</f>
        <v>#VALUE!</v>
      </c>
      <c r="AC146" t="e">
        <f>AND('UP133'!FN108,"AAAAAH6z/xw=")</f>
        <v>#VALUE!</v>
      </c>
      <c r="AD146" t="e">
        <f>AND('UP133'!FO108,"AAAAAH6z/x0=")</f>
        <v>#VALUE!</v>
      </c>
      <c r="AE146" t="e">
        <f>AND('UP133'!FP108,"AAAAAH6z/x4=")</f>
        <v>#VALUE!</v>
      </c>
      <c r="AF146" t="e">
        <f>AND('UP133'!FQ108,"AAAAAH6z/x8=")</f>
        <v>#VALUE!</v>
      </c>
      <c r="AG146" t="e">
        <f>AND('UP133'!FR108,"AAAAAH6z/yA=")</f>
        <v>#VALUE!</v>
      </c>
      <c r="AH146" t="e">
        <f>AND('UP133'!FS108,"AAAAAH6z/yE=")</f>
        <v>#VALUE!</v>
      </c>
      <c r="AI146" t="e">
        <f>AND('UP133'!FT108,"AAAAAH6z/yI=")</f>
        <v>#VALUE!</v>
      </c>
      <c r="AJ146" t="e">
        <f>AND('UP133'!FU108,"AAAAAH6z/yM=")</f>
        <v>#VALUE!</v>
      </c>
      <c r="AK146" t="e">
        <f>AND('UP133'!FV108,"AAAAAH6z/yQ=")</f>
        <v>#VALUE!</v>
      </c>
      <c r="AL146" t="e">
        <f>AND('UP133'!FW108,"AAAAAH6z/yU=")</f>
        <v>#VALUE!</v>
      </c>
      <c r="AM146" t="e">
        <f>AND('UP133'!FX108,"AAAAAH6z/yY=")</f>
        <v>#VALUE!</v>
      </c>
      <c r="AN146" t="e">
        <f>AND('UP133'!FY108,"AAAAAH6z/yc=")</f>
        <v>#VALUE!</v>
      </c>
      <c r="AO146" t="e">
        <f>AND('UP133'!FZ108,"AAAAAH6z/yg=")</f>
        <v>#VALUE!</v>
      </c>
      <c r="AP146" t="e">
        <f>AND('UP133'!GA108,"AAAAAH6z/yk=")</f>
        <v>#VALUE!</v>
      </c>
      <c r="AQ146" t="e">
        <f>AND('UP133'!GB108,"AAAAAH6z/yo=")</f>
        <v>#VALUE!</v>
      </c>
      <c r="AR146" t="e">
        <f>AND('UP133'!GC108,"AAAAAH6z/ys=")</f>
        <v>#VALUE!</v>
      </c>
      <c r="AS146" t="e">
        <f>AND('UP133'!GD108,"AAAAAH6z/yw=")</f>
        <v>#VALUE!</v>
      </c>
      <c r="AT146" t="e">
        <f>AND('UP133'!GE108,"AAAAAH6z/y0=")</f>
        <v>#VALUE!</v>
      </c>
      <c r="AU146" t="e">
        <f>AND('UP133'!GF108,"AAAAAH6z/y4=")</f>
        <v>#VALUE!</v>
      </c>
      <c r="AV146" t="e">
        <f>AND('UP133'!GG108,"AAAAAH6z/y8=")</f>
        <v>#VALUE!</v>
      </c>
      <c r="AW146" t="e">
        <f>AND('UP133'!GH108,"AAAAAH6z/zA=")</f>
        <v>#VALUE!</v>
      </c>
      <c r="AX146" t="e">
        <f>AND('UP133'!GI108,"AAAAAH6z/zE=")</f>
        <v>#VALUE!</v>
      </c>
      <c r="AY146" t="e">
        <f>AND('UP133'!GJ108,"AAAAAH6z/zI=")</f>
        <v>#VALUE!</v>
      </c>
      <c r="AZ146" t="e">
        <f>AND('UP133'!GK108,"AAAAAH6z/zM=")</f>
        <v>#VALUE!</v>
      </c>
      <c r="BA146" t="e">
        <f>AND('UP133'!GL108,"AAAAAH6z/zQ=")</f>
        <v>#VALUE!</v>
      </c>
      <c r="BB146" t="e">
        <f>AND('UP133'!GM108,"AAAAAH6z/zU=")</f>
        <v>#VALUE!</v>
      </c>
      <c r="BC146" t="e">
        <f>AND('UP133'!GN108,"AAAAAH6z/zY=")</f>
        <v>#VALUE!</v>
      </c>
      <c r="BD146" t="e">
        <f>AND('UP133'!GO108,"AAAAAH6z/zc=")</f>
        <v>#VALUE!</v>
      </c>
      <c r="BE146" t="e">
        <f>AND('UP133'!GP108,"AAAAAH6z/zg=")</f>
        <v>#VALUE!</v>
      </c>
      <c r="BF146" t="e">
        <f>AND('UP133'!GQ108,"AAAAAH6z/zk=")</f>
        <v>#VALUE!</v>
      </c>
      <c r="BG146" t="e">
        <f>AND('UP133'!GR108,"AAAAAH6z/zo=")</f>
        <v>#VALUE!</v>
      </c>
      <c r="BH146" t="e">
        <f>AND('UP133'!GS108,"AAAAAH6z/zs=")</f>
        <v>#VALUE!</v>
      </c>
      <c r="BI146" t="e">
        <f>AND('UP133'!GT108,"AAAAAH6z/zw=")</f>
        <v>#VALUE!</v>
      </c>
      <c r="BJ146" t="e">
        <f>AND('UP133'!GU108,"AAAAAH6z/z0=")</f>
        <v>#VALUE!</v>
      </c>
      <c r="BK146" t="e">
        <f>AND('UP133'!GV108,"AAAAAH6z/z4=")</f>
        <v>#VALUE!</v>
      </c>
      <c r="BL146" t="e">
        <f>AND('UP133'!GW108,"AAAAAH6z/z8=")</f>
        <v>#VALUE!</v>
      </c>
      <c r="BM146" t="e">
        <f>AND('UP133'!GX108,"AAAAAH6z/0A=")</f>
        <v>#VALUE!</v>
      </c>
      <c r="BN146" t="e">
        <f>AND('UP133'!GY108,"AAAAAH6z/0E=")</f>
        <v>#VALUE!</v>
      </c>
      <c r="BO146" t="e">
        <f>AND('UP133'!GZ108,"AAAAAH6z/0I=")</f>
        <v>#VALUE!</v>
      </c>
      <c r="BP146" t="e">
        <f>AND('UP133'!HA108,"AAAAAH6z/0M=")</f>
        <v>#VALUE!</v>
      </c>
      <c r="BQ146" t="e">
        <f>AND('UP133'!HB108,"AAAAAH6z/0Q=")</f>
        <v>#VALUE!</v>
      </c>
      <c r="BR146" t="e">
        <f>AND('UP133'!HC108,"AAAAAH6z/0U=")</f>
        <v>#VALUE!</v>
      </c>
      <c r="BS146" t="e">
        <f>AND('UP133'!HD108,"AAAAAH6z/0Y=")</f>
        <v>#VALUE!</v>
      </c>
      <c r="BT146" t="e">
        <f>AND('UP133'!HE108,"AAAAAH6z/0c=")</f>
        <v>#VALUE!</v>
      </c>
      <c r="BU146" t="e">
        <f>AND('UP133'!HF108,"AAAAAH6z/0g=")</f>
        <v>#VALUE!</v>
      </c>
      <c r="BV146" t="e">
        <f>AND('UP133'!HG108,"AAAAAH6z/0k=")</f>
        <v>#VALUE!</v>
      </c>
      <c r="BW146" t="e">
        <f>AND('UP133'!HH108,"AAAAAH6z/0o=")</f>
        <v>#VALUE!</v>
      </c>
      <c r="BX146" t="e">
        <f>AND('UP133'!HI108,"AAAAAH6z/0s=")</f>
        <v>#VALUE!</v>
      </c>
      <c r="BY146" t="e">
        <f>AND('UP133'!HJ108,"AAAAAH6z/0w=")</f>
        <v>#VALUE!</v>
      </c>
      <c r="BZ146" t="e">
        <f>AND('UP133'!HK108,"AAAAAH6z/00=")</f>
        <v>#VALUE!</v>
      </c>
      <c r="CA146" t="e">
        <f>AND('UP133'!HL108,"AAAAAH6z/04=")</f>
        <v>#VALUE!</v>
      </c>
      <c r="CB146" t="e">
        <f>AND('UP133'!HM108,"AAAAAH6z/08=")</f>
        <v>#VALUE!</v>
      </c>
      <c r="CC146" t="e">
        <f>AND('UP133'!HN108,"AAAAAH6z/1A=")</f>
        <v>#VALUE!</v>
      </c>
      <c r="CD146" t="e">
        <f>AND('UP133'!HO108,"AAAAAH6z/1E=")</f>
        <v>#VALUE!</v>
      </c>
      <c r="CE146" t="e">
        <f>AND('UP133'!HP108,"AAAAAH6z/1I=")</f>
        <v>#VALUE!</v>
      </c>
      <c r="CF146" t="e">
        <f>AND('UP133'!HQ108,"AAAAAH6z/1M=")</f>
        <v>#VALUE!</v>
      </c>
      <c r="CG146" t="e">
        <f>AND('UP133'!HR108,"AAAAAH6z/1Q=")</f>
        <v>#VALUE!</v>
      </c>
      <c r="CH146" t="e">
        <f>AND('UP133'!HS108,"AAAAAH6z/1U=")</f>
        <v>#VALUE!</v>
      </c>
      <c r="CI146" t="e">
        <f>AND('UP133'!HT108,"AAAAAH6z/1Y=")</f>
        <v>#VALUE!</v>
      </c>
      <c r="CJ146" t="e">
        <f>AND('UP133'!HU108,"AAAAAH6z/1c=")</f>
        <v>#VALUE!</v>
      </c>
      <c r="CK146" t="e">
        <f>AND('UP133'!HV108,"AAAAAH6z/1g=")</f>
        <v>#VALUE!</v>
      </c>
      <c r="CL146" t="e">
        <f>AND('UP133'!HW108,"AAAAAH6z/1k=")</f>
        <v>#VALUE!</v>
      </c>
      <c r="CM146" t="e">
        <f>AND('UP133'!HX108,"AAAAAH6z/1o=")</f>
        <v>#VALUE!</v>
      </c>
      <c r="CN146" t="e">
        <f>AND('UP133'!HY108,"AAAAAH6z/1s=")</f>
        <v>#VALUE!</v>
      </c>
      <c r="CO146" t="e">
        <f>AND('UP133'!HZ108,"AAAAAH6z/1w=")</f>
        <v>#VALUE!</v>
      </c>
      <c r="CP146" t="e">
        <f>AND('UP133'!IA108,"AAAAAH6z/10=")</f>
        <v>#VALUE!</v>
      </c>
      <c r="CQ146" t="e">
        <f>AND('UP133'!IB108,"AAAAAH6z/14=")</f>
        <v>#VALUE!</v>
      </c>
      <c r="CR146" t="e">
        <f>AND('UP133'!IC108,"AAAAAH6z/18=")</f>
        <v>#VALUE!</v>
      </c>
      <c r="CS146" t="e">
        <f>AND('UP133'!ID108,"AAAAAH6z/2A=")</f>
        <v>#VALUE!</v>
      </c>
      <c r="CT146" t="e">
        <f>AND('UP133'!IE108,"AAAAAH6z/2E=")</f>
        <v>#VALUE!</v>
      </c>
      <c r="CU146" t="e">
        <f>AND('UP133'!IF108,"AAAAAH6z/2I=")</f>
        <v>#VALUE!</v>
      </c>
      <c r="CV146" t="e">
        <f>AND('UP133'!IG108,"AAAAAH6z/2M=")</f>
        <v>#VALUE!</v>
      </c>
      <c r="CW146" t="e">
        <f>AND('UP133'!IH108,"AAAAAH6z/2Q=")</f>
        <v>#VALUE!</v>
      </c>
      <c r="CX146" t="e">
        <f>AND('UP133'!II108,"AAAAAH6z/2U=")</f>
        <v>#VALUE!</v>
      </c>
      <c r="CY146" t="e">
        <f>AND('UP133'!IJ108,"AAAAAH6z/2Y=")</f>
        <v>#VALUE!</v>
      </c>
      <c r="CZ146" t="e">
        <f>AND('UP133'!IK108,"AAAAAH6z/2c=")</f>
        <v>#VALUE!</v>
      </c>
      <c r="DA146" t="e">
        <f>AND('UP133'!IL108,"AAAAAH6z/2g=")</f>
        <v>#VALUE!</v>
      </c>
      <c r="DB146" t="e">
        <f>AND('UP133'!IM108,"AAAAAH6z/2k=")</f>
        <v>#VALUE!</v>
      </c>
      <c r="DC146" t="e">
        <f>AND('UP133'!IN108,"AAAAAH6z/2o=")</f>
        <v>#VALUE!</v>
      </c>
      <c r="DD146" t="e">
        <f>AND('UP133'!IO108,"AAAAAH6z/2s=")</f>
        <v>#VALUE!</v>
      </c>
      <c r="DE146" t="e">
        <f>AND('UP133'!IP108,"AAAAAH6z/2w=")</f>
        <v>#VALUE!</v>
      </c>
      <c r="DF146" t="e">
        <f>AND('UP133'!IQ108,"AAAAAH6z/20=")</f>
        <v>#VALUE!</v>
      </c>
      <c r="DG146">
        <f>IF('UP133'!109:109,"AAAAAH6z/24=",0)</f>
        <v>0</v>
      </c>
      <c r="DH146" t="e">
        <f>AND('UP133'!A109,"AAAAAH6z/28=")</f>
        <v>#VALUE!</v>
      </c>
      <c r="DI146" t="e">
        <f>AND('UP133'!B109,"AAAAAH6z/3A=")</f>
        <v>#VALUE!</v>
      </c>
      <c r="DJ146" t="e">
        <f>AND('UP133'!C109,"AAAAAH6z/3E=")</f>
        <v>#VALUE!</v>
      </c>
      <c r="DK146" t="e">
        <f>AND('UP133'!D109,"AAAAAH6z/3I=")</f>
        <v>#VALUE!</v>
      </c>
      <c r="DL146" t="e">
        <f>AND('UP133'!E109,"AAAAAH6z/3M=")</f>
        <v>#VALUE!</v>
      </c>
      <c r="DM146" t="e">
        <f>AND('UP133'!F109,"AAAAAH6z/3Q=")</f>
        <v>#VALUE!</v>
      </c>
      <c r="DN146" t="e">
        <f>AND('UP133'!G109,"AAAAAH6z/3U=")</f>
        <v>#VALUE!</v>
      </c>
      <c r="DO146" t="e">
        <f>AND('UP133'!H109,"AAAAAH6z/3Y=")</f>
        <v>#VALUE!</v>
      </c>
      <c r="DP146" t="e">
        <f>AND('UP133'!I109,"AAAAAH6z/3c=")</f>
        <v>#VALUE!</v>
      </c>
      <c r="DQ146" t="e">
        <f>AND('UP133'!J109,"AAAAAH6z/3g=")</f>
        <v>#VALUE!</v>
      </c>
      <c r="DR146" t="e">
        <f>AND('UP133'!K109,"AAAAAH6z/3k=")</f>
        <v>#VALUE!</v>
      </c>
      <c r="DS146" t="e">
        <f>AND('UP133'!L109,"AAAAAH6z/3o=")</f>
        <v>#VALUE!</v>
      </c>
      <c r="DT146" t="e">
        <f>AND('UP133'!M109,"AAAAAH6z/3s=")</f>
        <v>#VALUE!</v>
      </c>
      <c r="DU146" t="e">
        <f>AND('UP133'!N109,"AAAAAH6z/3w=")</f>
        <v>#VALUE!</v>
      </c>
      <c r="DV146" t="e">
        <f>AND('UP133'!O109,"AAAAAH6z/30=")</f>
        <v>#VALUE!</v>
      </c>
      <c r="DW146" t="e">
        <f>AND('UP133'!P109,"AAAAAH6z/34=")</f>
        <v>#VALUE!</v>
      </c>
      <c r="DX146" t="e">
        <f>AND('UP133'!Q109,"AAAAAH6z/38=")</f>
        <v>#VALUE!</v>
      </c>
      <c r="DY146" t="e">
        <f>AND('UP133'!R109,"AAAAAH6z/4A=")</f>
        <v>#VALUE!</v>
      </c>
      <c r="DZ146" t="e">
        <f>AND('UP133'!S109,"AAAAAH6z/4E=")</f>
        <v>#VALUE!</v>
      </c>
      <c r="EA146" t="e">
        <f>AND('UP133'!T109,"AAAAAH6z/4I=")</f>
        <v>#VALUE!</v>
      </c>
      <c r="EB146" t="e">
        <f>AND('UP133'!U109,"AAAAAH6z/4M=")</f>
        <v>#VALUE!</v>
      </c>
      <c r="EC146" t="e">
        <f>AND('UP133'!V109,"AAAAAH6z/4Q=")</f>
        <v>#VALUE!</v>
      </c>
      <c r="ED146" t="e">
        <f>AND('UP133'!W109,"AAAAAH6z/4U=")</f>
        <v>#VALUE!</v>
      </c>
      <c r="EE146" t="e">
        <f>AND('UP133'!X109,"AAAAAH6z/4Y=")</f>
        <v>#VALUE!</v>
      </c>
      <c r="EF146" t="e">
        <f>AND('UP133'!Y109,"AAAAAH6z/4c=")</f>
        <v>#VALUE!</v>
      </c>
      <c r="EG146" t="e">
        <f>AND('UP133'!Z109,"AAAAAH6z/4g=")</f>
        <v>#VALUE!</v>
      </c>
      <c r="EH146" t="e">
        <f>AND('UP133'!AA109,"AAAAAH6z/4k=")</f>
        <v>#VALUE!</v>
      </c>
      <c r="EI146" t="e">
        <f>AND('UP133'!AB109,"AAAAAH6z/4o=")</f>
        <v>#VALUE!</v>
      </c>
      <c r="EJ146" t="e">
        <f>AND('UP133'!AC109,"AAAAAH6z/4s=")</f>
        <v>#VALUE!</v>
      </c>
      <c r="EK146" t="e">
        <f>AND('UP133'!AD109,"AAAAAH6z/4w=")</f>
        <v>#VALUE!</v>
      </c>
      <c r="EL146" t="e">
        <f>AND('UP133'!AE109,"AAAAAH6z/40=")</f>
        <v>#VALUE!</v>
      </c>
      <c r="EM146" t="e">
        <f>AND('UP133'!AF109,"AAAAAH6z/44=")</f>
        <v>#VALUE!</v>
      </c>
      <c r="EN146" t="e">
        <f>AND('UP133'!AG109,"AAAAAH6z/48=")</f>
        <v>#VALUE!</v>
      </c>
      <c r="EO146" t="e">
        <f>AND('UP133'!AH109,"AAAAAH6z/5A=")</f>
        <v>#VALUE!</v>
      </c>
      <c r="EP146" t="e">
        <f>AND('UP133'!AI109,"AAAAAH6z/5E=")</f>
        <v>#VALUE!</v>
      </c>
      <c r="EQ146" t="e">
        <f>AND('UP133'!AJ109,"AAAAAH6z/5I=")</f>
        <v>#VALUE!</v>
      </c>
      <c r="ER146" t="e">
        <f>AND('UP133'!AK109,"AAAAAH6z/5M=")</f>
        <v>#VALUE!</v>
      </c>
      <c r="ES146" t="e">
        <f>AND('UP133'!AL109,"AAAAAH6z/5Q=")</f>
        <v>#VALUE!</v>
      </c>
      <c r="ET146" t="e">
        <f>AND('UP133'!AM109,"AAAAAH6z/5U=")</f>
        <v>#VALUE!</v>
      </c>
      <c r="EU146" t="e">
        <f>AND('UP133'!AN109,"AAAAAH6z/5Y=")</f>
        <v>#VALUE!</v>
      </c>
      <c r="EV146" t="e">
        <f>AND('UP133'!AO109,"AAAAAH6z/5c=")</f>
        <v>#VALUE!</v>
      </c>
      <c r="EW146" t="e">
        <f>AND('UP133'!AP109,"AAAAAH6z/5g=")</f>
        <v>#VALUE!</v>
      </c>
      <c r="EX146" t="e">
        <f>AND('UP133'!AQ109,"AAAAAH6z/5k=")</f>
        <v>#VALUE!</v>
      </c>
      <c r="EY146" t="e">
        <f>AND('UP133'!AR109,"AAAAAH6z/5o=")</f>
        <v>#VALUE!</v>
      </c>
      <c r="EZ146" t="e">
        <f>AND('UP133'!AS109,"AAAAAH6z/5s=")</f>
        <v>#VALUE!</v>
      </c>
      <c r="FA146" t="e">
        <f>AND('UP133'!AT109,"AAAAAH6z/5w=")</f>
        <v>#VALUE!</v>
      </c>
      <c r="FB146" t="e">
        <f>AND('UP133'!AU109,"AAAAAH6z/50=")</f>
        <v>#VALUE!</v>
      </c>
      <c r="FC146" t="e">
        <f>AND('UP133'!AV109,"AAAAAH6z/54=")</f>
        <v>#VALUE!</v>
      </c>
      <c r="FD146" t="e">
        <f>AND('UP133'!AW109,"AAAAAH6z/58=")</f>
        <v>#VALUE!</v>
      </c>
      <c r="FE146" t="e">
        <f>AND('UP133'!AX109,"AAAAAH6z/6A=")</f>
        <v>#VALUE!</v>
      </c>
      <c r="FF146" t="e">
        <f>AND('UP133'!AY109,"AAAAAH6z/6E=")</f>
        <v>#VALUE!</v>
      </c>
      <c r="FG146" t="e">
        <f>AND('UP133'!AZ109,"AAAAAH6z/6I=")</f>
        <v>#VALUE!</v>
      </c>
      <c r="FH146" t="e">
        <f>AND('UP133'!BA109,"AAAAAH6z/6M=")</f>
        <v>#VALUE!</v>
      </c>
      <c r="FI146" t="e">
        <f>AND('UP133'!BB109,"AAAAAH6z/6Q=")</f>
        <v>#VALUE!</v>
      </c>
      <c r="FJ146" t="e">
        <f>AND('UP133'!BC109,"AAAAAH6z/6U=")</f>
        <v>#VALUE!</v>
      </c>
      <c r="FK146" t="e">
        <f>AND('UP133'!BD109,"AAAAAH6z/6Y=")</f>
        <v>#VALUE!</v>
      </c>
      <c r="FL146" t="e">
        <f>AND('UP133'!BE109,"AAAAAH6z/6c=")</f>
        <v>#VALUE!</v>
      </c>
      <c r="FM146" t="e">
        <f>AND('UP133'!BF109,"AAAAAH6z/6g=")</f>
        <v>#VALUE!</v>
      </c>
      <c r="FN146" t="e">
        <f>AND('UP133'!BG109,"AAAAAH6z/6k=")</f>
        <v>#VALUE!</v>
      </c>
      <c r="FO146" t="e">
        <f>AND('UP133'!BH109,"AAAAAH6z/6o=")</f>
        <v>#VALUE!</v>
      </c>
      <c r="FP146" t="e">
        <f>AND('UP133'!BI109,"AAAAAH6z/6s=")</f>
        <v>#VALUE!</v>
      </c>
      <c r="FQ146" t="e">
        <f>AND('UP133'!BJ109,"AAAAAH6z/6w=")</f>
        <v>#VALUE!</v>
      </c>
      <c r="FR146" t="e">
        <f>AND('UP133'!BK109,"AAAAAH6z/60=")</f>
        <v>#VALUE!</v>
      </c>
      <c r="FS146" t="e">
        <f>AND('UP133'!BL109,"AAAAAH6z/64=")</f>
        <v>#VALUE!</v>
      </c>
      <c r="FT146" t="e">
        <f>AND('UP133'!BM109,"AAAAAH6z/68=")</f>
        <v>#VALUE!</v>
      </c>
      <c r="FU146" t="e">
        <f>AND('UP133'!BN109,"AAAAAH6z/7A=")</f>
        <v>#VALUE!</v>
      </c>
      <c r="FV146" t="e">
        <f>AND('UP133'!BO109,"AAAAAH6z/7E=")</f>
        <v>#VALUE!</v>
      </c>
      <c r="FW146" t="e">
        <f>AND('UP133'!BP109,"AAAAAH6z/7I=")</f>
        <v>#VALUE!</v>
      </c>
      <c r="FX146" t="e">
        <f>AND('UP133'!BQ109,"AAAAAH6z/7M=")</f>
        <v>#VALUE!</v>
      </c>
      <c r="FY146" t="e">
        <f>AND('UP133'!BR109,"AAAAAH6z/7Q=")</f>
        <v>#VALUE!</v>
      </c>
      <c r="FZ146" t="e">
        <f>AND('UP133'!BS109,"AAAAAH6z/7U=")</f>
        <v>#VALUE!</v>
      </c>
      <c r="GA146" t="e">
        <f>AND('UP133'!BT109,"AAAAAH6z/7Y=")</f>
        <v>#VALUE!</v>
      </c>
      <c r="GB146" t="e">
        <f>AND('UP133'!BU109,"AAAAAH6z/7c=")</f>
        <v>#VALUE!</v>
      </c>
      <c r="GC146" t="e">
        <f>AND('UP133'!BV109,"AAAAAH6z/7g=")</f>
        <v>#VALUE!</v>
      </c>
      <c r="GD146" t="e">
        <f>AND('UP133'!BW109,"AAAAAH6z/7k=")</f>
        <v>#VALUE!</v>
      </c>
      <c r="GE146" t="e">
        <f>AND('UP133'!BX109,"AAAAAH6z/7o=")</f>
        <v>#VALUE!</v>
      </c>
      <c r="GF146" t="e">
        <f>AND('UP133'!BY109,"AAAAAH6z/7s=")</f>
        <v>#VALUE!</v>
      </c>
      <c r="GG146" t="e">
        <f>AND('UP133'!BZ109,"AAAAAH6z/7w=")</f>
        <v>#VALUE!</v>
      </c>
      <c r="GH146" t="e">
        <f>AND('UP133'!CA109,"AAAAAH6z/70=")</f>
        <v>#VALUE!</v>
      </c>
      <c r="GI146" t="e">
        <f>AND('UP133'!CB109,"AAAAAH6z/74=")</f>
        <v>#VALUE!</v>
      </c>
      <c r="GJ146" t="e">
        <f>AND('UP133'!CC109,"AAAAAH6z/78=")</f>
        <v>#VALUE!</v>
      </c>
      <c r="GK146" t="e">
        <f>AND('UP133'!CD109,"AAAAAH6z/8A=")</f>
        <v>#VALUE!</v>
      </c>
      <c r="GL146" t="e">
        <f>AND('UP133'!CE109,"AAAAAH6z/8E=")</f>
        <v>#VALUE!</v>
      </c>
      <c r="GM146" t="e">
        <f>AND('UP133'!CF109,"AAAAAH6z/8I=")</f>
        <v>#VALUE!</v>
      </c>
      <c r="GN146" t="e">
        <f>AND('UP133'!CG109,"AAAAAH6z/8M=")</f>
        <v>#VALUE!</v>
      </c>
      <c r="GO146" t="e">
        <f>AND('UP133'!CH109,"AAAAAH6z/8Q=")</f>
        <v>#VALUE!</v>
      </c>
      <c r="GP146" t="e">
        <f>AND('UP133'!CI109,"AAAAAH6z/8U=")</f>
        <v>#VALUE!</v>
      </c>
      <c r="GQ146" t="e">
        <f>AND('UP133'!CJ109,"AAAAAH6z/8Y=")</f>
        <v>#VALUE!</v>
      </c>
      <c r="GR146" t="e">
        <f>AND('UP133'!CK109,"AAAAAH6z/8c=")</f>
        <v>#VALUE!</v>
      </c>
      <c r="GS146" t="e">
        <f>AND('UP133'!CL109,"AAAAAH6z/8g=")</f>
        <v>#VALUE!</v>
      </c>
      <c r="GT146" t="e">
        <f>AND('UP133'!CM109,"AAAAAH6z/8k=")</f>
        <v>#VALUE!</v>
      </c>
      <c r="GU146" t="e">
        <f>AND('UP133'!CN109,"AAAAAH6z/8o=")</f>
        <v>#VALUE!</v>
      </c>
      <c r="GV146" t="e">
        <f>AND('UP133'!CO109,"AAAAAH6z/8s=")</f>
        <v>#VALUE!</v>
      </c>
      <c r="GW146" t="e">
        <f>AND('UP133'!CP109,"AAAAAH6z/8w=")</f>
        <v>#VALUE!</v>
      </c>
      <c r="GX146" t="e">
        <f>AND('UP133'!CQ109,"AAAAAH6z/80=")</f>
        <v>#VALUE!</v>
      </c>
      <c r="GY146" t="e">
        <f>AND('UP133'!CR109,"AAAAAH6z/84=")</f>
        <v>#VALUE!</v>
      </c>
      <c r="GZ146" t="e">
        <f>AND('UP133'!CS109,"AAAAAH6z/88=")</f>
        <v>#VALUE!</v>
      </c>
      <c r="HA146" t="e">
        <f>AND('UP133'!CT109,"AAAAAH6z/9A=")</f>
        <v>#VALUE!</v>
      </c>
      <c r="HB146" t="e">
        <f>AND('UP133'!CU109,"AAAAAH6z/9E=")</f>
        <v>#VALUE!</v>
      </c>
      <c r="HC146" t="e">
        <f>AND('UP133'!CV109,"AAAAAH6z/9I=")</f>
        <v>#VALUE!</v>
      </c>
      <c r="HD146" t="e">
        <f>AND('UP133'!CW109,"AAAAAH6z/9M=")</f>
        <v>#VALUE!</v>
      </c>
      <c r="HE146" t="e">
        <f>AND('UP133'!CX109,"AAAAAH6z/9Q=")</f>
        <v>#VALUE!</v>
      </c>
      <c r="HF146" t="e">
        <f>AND('UP133'!CY109,"AAAAAH6z/9U=")</f>
        <v>#VALUE!</v>
      </c>
      <c r="HG146" t="e">
        <f>AND('UP133'!CZ109,"AAAAAH6z/9Y=")</f>
        <v>#VALUE!</v>
      </c>
      <c r="HH146" t="e">
        <f>AND('UP133'!DA109,"AAAAAH6z/9c=")</f>
        <v>#VALUE!</v>
      </c>
      <c r="HI146" t="e">
        <f>AND('UP133'!DB109,"AAAAAH6z/9g=")</f>
        <v>#VALUE!</v>
      </c>
      <c r="HJ146" t="e">
        <f>AND('UP133'!DC109,"AAAAAH6z/9k=")</f>
        <v>#VALUE!</v>
      </c>
      <c r="HK146" t="e">
        <f>AND('UP133'!DD109,"AAAAAH6z/9o=")</f>
        <v>#VALUE!</v>
      </c>
      <c r="HL146" t="e">
        <f>AND('UP133'!DE109,"AAAAAH6z/9s=")</f>
        <v>#VALUE!</v>
      </c>
      <c r="HM146" t="e">
        <f>AND('UP133'!DF109,"AAAAAH6z/9w=")</f>
        <v>#VALUE!</v>
      </c>
      <c r="HN146" t="e">
        <f>AND('UP133'!DG109,"AAAAAH6z/90=")</f>
        <v>#VALUE!</v>
      </c>
      <c r="HO146" t="e">
        <f>AND('UP133'!DH109,"AAAAAH6z/94=")</f>
        <v>#VALUE!</v>
      </c>
      <c r="HP146" t="e">
        <f>AND('UP133'!DI109,"AAAAAH6z/98=")</f>
        <v>#VALUE!</v>
      </c>
      <c r="HQ146" t="e">
        <f>AND('UP133'!DJ109,"AAAAAH6z/+A=")</f>
        <v>#VALUE!</v>
      </c>
      <c r="HR146" t="e">
        <f>AND('UP133'!DK109,"AAAAAH6z/+E=")</f>
        <v>#VALUE!</v>
      </c>
      <c r="HS146" t="e">
        <f>AND('UP133'!DL109,"AAAAAH6z/+I=")</f>
        <v>#VALUE!</v>
      </c>
      <c r="HT146" t="e">
        <f>AND('UP133'!DM109,"AAAAAH6z/+M=")</f>
        <v>#VALUE!</v>
      </c>
      <c r="HU146" t="e">
        <f>AND('UP133'!DN109,"AAAAAH6z/+Q=")</f>
        <v>#VALUE!</v>
      </c>
      <c r="HV146" t="e">
        <f>AND('UP133'!DO109,"AAAAAH6z/+U=")</f>
        <v>#VALUE!</v>
      </c>
      <c r="HW146" t="e">
        <f>AND('UP133'!DP109,"AAAAAH6z/+Y=")</f>
        <v>#VALUE!</v>
      </c>
      <c r="HX146" t="e">
        <f>AND('UP133'!DQ109,"AAAAAH6z/+c=")</f>
        <v>#VALUE!</v>
      </c>
      <c r="HY146" t="e">
        <f>AND('UP133'!DR109,"AAAAAH6z/+g=")</f>
        <v>#VALUE!</v>
      </c>
      <c r="HZ146" t="e">
        <f>AND('UP133'!DS109,"AAAAAH6z/+k=")</f>
        <v>#VALUE!</v>
      </c>
      <c r="IA146" t="e">
        <f>AND('UP133'!DT109,"AAAAAH6z/+o=")</f>
        <v>#VALUE!</v>
      </c>
      <c r="IB146" t="e">
        <f>AND('UP133'!DU109,"AAAAAH6z/+s=")</f>
        <v>#VALUE!</v>
      </c>
      <c r="IC146" t="e">
        <f>AND('UP133'!DV109,"AAAAAH6z/+w=")</f>
        <v>#VALUE!</v>
      </c>
      <c r="ID146" t="e">
        <f>AND('UP133'!DW109,"AAAAAH6z/+0=")</f>
        <v>#VALUE!</v>
      </c>
      <c r="IE146" t="e">
        <f>AND('UP133'!DX109,"AAAAAH6z/+4=")</f>
        <v>#VALUE!</v>
      </c>
      <c r="IF146" t="e">
        <f>AND('UP133'!DY109,"AAAAAH6z/+8=")</f>
        <v>#VALUE!</v>
      </c>
      <c r="IG146" t="e">
        <f>AND('UP133'!DZ109,"AAAAAH6z//A=")</f>
        <v>#VALUE!</v>
      </c>
      <c r="IH146" t="e">
        <f>AND('UP133'!EA109,"AAAAAH6z//E=")</f>
        <v>#VALUE!</v>
      </c>
      <c r="II146" t="e">
        <f>AND('UP133'!EB109,"AAAAAH6z//I=")</f>
        <v>#VALUE!</v>
      </c>
      <c r="IJ146" t="e">
        <f>AND('UP133'!EC109,"AAAAAH6z//M=")</f>
        <v>#VALUE!</v>
      </c>
      <c r="IK146" t="e">
        <f>AND('UP133'!ED109,"AAAAAH6z//Q=")</f>
        <v>#VALUE!</v>
      </c>
      <c r="IL146" t="e">
        <f>AND('UP133'!EE109,"AAAAAH6z//U=")</f>
        <v>#VALUE!</v>
      </c>
      <c r="IM146" t="e">
        <f>AND('UP133'!EF109,"AAAAAH6z//Y=")</f>
        <v>#VALUE!</v>
      </c>
      <c r="IN146" t="e">
        <f>AND('UP133'!EG109,"AAAAAH6z//c=")</f>
        <v>#VALUE!</v>
      </c>
      <c r="IO146" t="e">
        <f>AND('UP133'!EH109,"AAAAAH6z//g=")</f>
        <v>#VALUE!</v>
      </c>
      <c r="IP146" t="e">
        <f>AND('UP133'!EI109,"AAAAAH6z//k=")</f>
        <v>#VALUE!</v>
      </c>
      <c r="IQ146" t="e">
        <f>AND('UP133'!EJ109,"AAAAAH6z//o=")</f>
        <v>#VALUE!</v>
      </c>
      <c r="IR146" t="e">
        <f>AND('UP133'!EK109,"AAAAAH6z//s=")</f>
        <v>#VALUE!</v>
      </c>
      <c r="IS146" t="e">
        <f>AND('UP133'!EL109,"AAAAAH6z//w=")</f>
        <v>#VALUE!</v>
      </c>
      <c r="IT146" t="e">
        <f>AND('UP133'!EM109,"AAAAAH6z//0=")</f>
        <v>#VALUE!</v>
      </c>
      <c r="IU146" t="e">
        <f>AND('UP133'!EN109,"AAAAAH6z//4=")</f>
        <v>#VALUE!</v>
      </c>
      <c r="IV146" t="e">
        <f>AND('UP133'!EO109,"AAAAAH6z//8=")</f>
        <v>#VALUE!</v>
      </c>
    </row>
    <row r="147" spans="1:256">
      <c r="A147" t="e">
        <f>AND('UP133'!EP109,"AAAAAGF//wA=")</f>
        <v>#VALUE!</v>
      </c>
      <c r="B147" t="e">
        <f>AND('UP133'!EQ109,"AAAAAGF//wE=")</f>
        <v>#VALUE!</v>
      </c>
      <c r="C147" t="e">
        <f>AND('UP133'!ER109,"AAAAAGF//wI=")</f>
        <v>#VALUE!</v>
      </c>
      <c r="D147" t="e">
        <f>AND('UP133'!ES109,"AAAAAGF//wM=")</f>
        <v>#VALUE!</v>
      </c>
      <c r="E147" t="e">
        <f>AND('UP133'!ET109,"AAAAAGF//wQ=")</f>
        <v>#VALUE!</v>
      </c>
      <c r="F147" t="e">
        <f>AND('UP133'!EU109,"AAAAAGF//wU=")</f>
        <v>#VALUE!</v>
      </c>
      <c r="G147" t="e">
        <f>AND('UP133'!EV109,"AAAAAGF//wY=")</f>
        <v>#VALUE!</v>
      </c>
      <c r="H147" t="e">
        <f>AND('UP133'!EW109,"AAAAAGF//wc=")</f>
        <v>#VALUE!</v>
      </c>
      <c r="I147" t="e">
        <f>AND('UP133'!EX109,"AAAAAGF//wg=")</f>
        <v>#VALUE!</v>
      </c>
      <c r="J147" t="e">
        <f>AND('UP133'!EY109,"AAAAAGF//wk=")</f>
        <v>#VALUE!</v>
      </c>
      <c r="K147" t="e">
        <f>AND('UP133'!EZ109,"AAAAAGF//wo=")</f>
        <v>#VALUE!</v>
      </c>
      <c r="L147" t="e">
        <f>AND('UP133'!FA109,"AAAAAGF//ws=")</f>
        <v>#VALUE!</v>
      </c>
      <c r="M147" t="e">
        <f>AND('UP133'!FB109,"AAAAAGF//ww=")</f>
        <v>#VALUE!</v>
      </c>
      <c r="N147" t="e">
        <f>AND('UP133'!FC109,"AAAAAGF//w0=")</f>
        <v>#VALUE!</v>
      </c>
      <c r="O147" t="e">
        <f>AND('UP133'!FD109,"AAAAAGF//w4=")</f>
        <v>#VALUE!</v>
      </c>
      <c r="P147" t="e">
        <f>AND('UP133'!FE109,"AAAAAGF//w8=")</f>
        <v>#VALUE!</v>
      </c>
      <c r="Q147" t="e">
        <f>AND('UP133'!FF109,"AAAAAGF//xA=")</f>
        <v>#VALUE!</v>
      </c>
      <c r="R147" t="e">
        <f>AND('UP133'!FG109,"AAAAAGF//xE=")</f>
        <v>#VALUE!</v>
      </c>
      <c r="S147" t="e">
        <f>AND('UP133'!FH109,"AAAAAGF//xI=")</f>
        <v>#VALUE!</v>
      </c>
      <c r="T147" t="e">
        <f>AND('UP133'!FI109,"AAAAAGF//xM=")</f>
        <v>#VALUE!</v>
      </c>
      <c r="U147" t="e">
        <f>AND('UP133'!FJ109,"AAAAAGF//xQ=")</f>
        <v>#VALUE!</v>
      </c>
      <c r="V147" t="e">
        <f>AND('UP133'!FK109,"AAAAAGF//xU=")</f>
        <v>#VALUE!</v>
      </c>
      <c r="W147" t="e">
        <f>AND('UP133'!FL109,"AAAAAGF//xY=")</f>
        <v>#VALUE!</v>
      </c>
      <c r="X147" t="e">
        <f>AND('UP133'!FM109,"AAAAAGF//xc=")</f>
        <v>#VALUE!</v>
      </c>
      <c r="Y147" t="e">
        <f>AND('UP133'!FN109,"AAAAAGF//xg=")</f>
        <v>#VALUE!</v>
      </c>
      <c r="Z147" t="e">
        <f>AND('UP133'!FO109,"AAAAAGF//xk=")</f>
        <v>#VALUE!</v>
      </c>
      <c r="AA147" t="e">
        <f>AND('UP133'!FP109,"AAAAAGF//xo=")</f>
        <v>#VALUE!</v>
      </c>
      <c r="AB147" t="e">
        <f>AND('UP133'!FQ109,"AAAAAGF//xs=")</f>
        <v>#VALUE!</v>
      </c>
      <c r="AC147" t="e">
        <f>AND('UP133'!FR109,"AAAAAGF//xw=")</f>
        <v>#VALUE!</v>
      </c>
      <c r="AD147" t="e">
        <f>AND('UP133'!FS109,"AAAAAGF//x0=")</f>
        <v>#VALUE!</v>
      </c>
      <c r="AE147" t="e">
        <f>AND('UP133'!FT109,"AAAAAGF//x4=")</f>
        <v>#VALUE!</v>
      </c>
      <c r="AF147" t="e">
        <f>AND('UP133'!FU109,"AAAAAGF//x8=")</f>
        <v>#VALUE!</v>
      </c>
      <c r="AG147" t="e">
        <f>AND('UP133'!FV109,"AAAAAGF//yA=")</f>
        <v>#VALUE!</v>
      </c>
      <c r="AH147" t="e">
        <f>AND('UP133'!FW109,"AAAAAGF//yE=")</f>
        <v>#VALUE!</v>
      </c>
      <c r="AI147" t="e">
        <f>AND('UP133'!FX109,"AAAAAGF//yI=")</f>
        <v>#VALUE!</v>
      </c>
      <c r="AJ147" t="e">
        <f>AND('UP133'!FY109,"AAAAAGF//yM=")</f>
        <v>#VALUE!</v>
      </c>
      <c r="AK147" t="e">
        <f>AND('UP133'!FZ109,"AAAAAGF//yQ=")</f>
        <v>#VALUE!</v>
      </c>
      <c r="AL147" t="e">
        <f>AND('UP133'!GA109,"AAAAAGF//yU=")</f>
        <v>#VALUE!</v>
      </c>
      <c r="AM147" t="e">
        <f>AND('UP133'!GB109,"AAAAAGF//yY=")</f>
        <v>#VALUE!</v>
      </c>
      <c r="AN147" t="e">
        <f>AND('UP133'!GC109,"AAAAAGF//yc=")</f>
        <v>#VALUE!</v>
      </c>
      <c r="AO147" t="e">
        <f>AND('UP133'!GD109,"AAAAAGF//yg=")</f>
        <v>#VALUE!</v>
      </c>
      <c r="AP147" t="e">
        <f>AND('UP133'!GE109,"AAAAAGF//yk=")</f>
        <v>#VALUE!</v>
      </c>
      <c r="AQ147" t="e">
        <f>AND('UP133'!GF109,"AAAAAGF//yo=")</f>
        <v>#VALUE!</v>
      </c>
      <c r="AR147" t="e">
        <f>AND('UP133'!GG109,"AAAAAGF//ys=")</f>
        <v>#VALUE!</v>
      </c>
      <c r="AS147" t="e">
        <f>AND('UP133'!GH109,"AAAAAGF//yw=")</f>
        <v>#VALUE!</v>
      </c>
      <c r="AT147" t="e">
        <f>AND('UP133'!GI109,"AAAAAGF//y0=")</f>
        <v>#VALUE!</v>
      </c>
      <c r="AU147" t="e">
        <f>AND('UP133'!GJ109,"AAAAAGF//y4=")</f>
        <v>#VALUE!</v>
      </c>
      <c r="AV147" t="e">
        <f>AND('UP133'!GK109,"AAAAAGF//y8=")</f>
        <v>#VALUE!</v>
      </c>
      <c r="AW147" t="e">
        <f>AND('UP133'!GL109,"AAAAAGF//zA=")</f>
        <v>#VALUE!</v>
      </c>
      <c r="AX147" t="e">
        <f>AND('UP133'!GM109,"AAAAAGF//zE=")</f>
        <v>#VALUE!</v>
      </c>
      <c r="AY147" t="e">
        <f>AND('UP133'!GN109,"AAAAAGF//zI=")</f>
        <v>#VALUE!</v>
      </c>
      <c r="AZ147" t="e">
        <f>AND('UP133'!GO109,"AAAAAGF//zM=")</f>
        <v>#VALUE!</v>
      </c>
      <c r="BA147" t="e">
        <f>AND('UP133'!GP109,"AAAAAGF//zQ=")</f>
        <v>#VALUE!</v>
      </c>
      <c r="BB147" t="e">
        <f>AND('UP133'!GQ109,"AAAAAGF//zU=")</f>
        <v>#VALUE!</v>
      </c>
      <c r="BC147" t="e">
        <f>AND('UP133'!GR109,"AAAAAGF//zY=")</f>
        <v>#VALUE!</v>
      </c>
      <c r="BD147" t="e">
        <f>AND('UP133'!GS109,"AAAAAGF//zc=")</f>
        <v>#VALUE!</v>
      </c>
      <c r="BE147" t="e">
        <f>AND('UP133'!GT109,"AAAAAGF//zg=")</f>
        <v>#VALUE!</v>
      </c>
      <c r="BF147" t="e">
        <f>AND('UP133'!GU109,"AAAAAGF//zk=")</f>
        <v>#VALUE!</v>
      </c>
      <c r="BG147" t="e">
        <f>AND('UP133'!GV109,"AAAAAGF//zo=")</f>
        <v>#VALUE!</v>
      </c>
      <c r="BH147" t="e">
        <f>AND('UP133'!GW109,"AAAAAGF//zs=")</f>
        <v>#VALUE!</v>
      </c>
      <c r="BI147" t="e">
        <f>AND('UP133'!GX109,"AAAAAGF//zw=")</f>
        <v>#VALUE!</v>
      </c>
      <c r="BJ147" t="e">
        <f>AND('UP133'!GY109,"AAAAAGF//z0=")</f>
        <v>#VALUE!</v>
      </c>
      <c r="BK147" t="e">
        <f>AND('UP133'!GZ109,"AAAAAGF//z4=")</f>
        <v>#VALUE!</v>
      </c>
      <c r="BL147" t="e">
        <f>AND('UP133'!HA109,"AAAAAGF//z8=")</f>
        <v>#VALUE!</v>
      </c>
      <c r="BM147" t="e">
        <f>AND('UP133'!HB109,"AAAAAGF//0A=")</f>
        <v>#VALUE!</v>
      </c>
      <c r="BN147" t="e">
        <f>AND('UP133'!HC109,"AAAAAGF//0E=")</f>
        <v>#VALUE!</v>
      </c>
      <c r="BO147" t="e">
        <f>AND('UP133'!HD109,"AAAAAGF//0I=")</f>
        <v>#VALUE!</v>
      </c>
      <c r="BP147" t="e">
        <f>AND('UP133'!HE109,"AAAAAGF//0M=")</f>
        <v>#VALUE!</v>
      </c>
      <c r="BQ147" t="e">
        <f>AND('UP133'!HF109,"AAAAAGF//0Q=")</f>
        <v>#VALUE!</v>
      </c>
      <c r="BR147" t="e">
        <f>AND('UP133'!HG109,"AAAAAGF//0U=")</f>
        <v>#VALUE!</v>
      </c>
      <c r="BS147" t="e">
        <f>AND('UP133'!HH109,"AAAAAGF//0Y=")</f>
        <v>#VALUE!</v>
      </c>
      <c r="BT147" t="e">
        <f>AND('UP133'!HI109,"AAAAAGF//0c=")</f>
        <v>#VALUE!</v>
      </c>
      <c r="BU147" t="e">
        <f>AND('UP133'!HJ109,"AAAAAGF//0g=")</f>
        <v>#VALUE!</v>
      </c>
      <c r="BV147" t="e">
        <f>AND('UP133'!HK109,"AAAAAGF//0k=")</f>
        <v>#VALUE!</v>
      </c>
      <c r="BW147" t="e">
        <f>AND('UP133'!HL109,"AAAAAGF//0o=")</f>
        <v>#VALUE!</v>
      </c>
      <c r="BX147" t="e">
        <f>AND('UP133'!HM109,"AAAAAGF//0s=")</f>
        <v>#VALUE!</v>
      </c>
      <c r="BY147" t="e">
        <f>AND('UP133'!HN109,"AAAAAGF//0w=")</f>
        <v>#VALUE!</v>
      </c>
      <c r="BZ147" t="e">
        <f>AND('UP133'!HO109,"AAAAAGF//00=")</f>
        <v>#VALUE!</v>
      </c>
      <c r="CA147" t="e">
        <f>AND('UP133'!HP109,"AAAAAGF//04=")</f>
        <v>#VALUE!</v>
      </c>
      <c r="CB147" t="e">
        <f>AND('UP133'!HQ109,"AAAAAGF//08=")</f>
        <v>#VALUE!</v>
      </c>
      <c r="CC147" t="e">
        <f>AND('UP133'!HR109,"AAAAAGF//1A=")</f>
        <v>#VALUE!</v>
      </c>
      <c r="CD147" t="e">
        <f>AND('UP133'!HS109,"AAAAAGF//1E=")</f>
        <v>#VALUE!</v>
      </c>
      <c r="CE147" t="e">
        <f>AND('UP133'!HT109,"AAAAAGF//1I=")</f>
        <v>#VALUE!</v>
      </c>
      <c r="CF147" t="e">
        <f>AND('UP133'!HU109,"AAAAAGF//1M=")</f>
        <v>#VALUE!</v>
      </c>
      <c r="CG147" t="e">
        <f>AND('UP133'!HV109,"AAAAAGF//1Q=")</f>
        <v>#VALUE!</v>
      </c>
      <c r="CH147" t="e">
        <f>AND('UP133'!HW109,"AAAAAGF//1U=")</f>
        <v>#VALUE!</v>
      </c>
      <c r="CI147" t="e">
        <f>AND('UP133'!HX109,"AAAAAGF//1Y=")</f>
        <v>#VALUE!</v>
      </c>
      <c r="CJ147" t="e">
        <f>AND('UP133'!HY109,"AAAAAGF//1c=")</f>
        <v>#VALUE!</v>
      </c>
      <c r="CK147" t="e">
        <f>AND('UP133'!HZ109,"AAAAAGF//1g=")</f>
        <v>#VALUE!</v>
      </c>
      <c r="CL147" t="e">
        <f>AND('UP133'!IA109,"AAAAAGF//1k=")</f>
        <v>#VALUE!</v>
      </c>
      <c r="CM147" t="e">
        <f>AND('UP133'!IB109,"AAAAAGF//1o=")</f>
        <v>#VALUE!</v>
      </c>
      <c r="CN147" t="e">
        <f>AND('UP133'!IC109,"AAAAAGF//1s=")</f>
        <v>#VALUE!</v>
      </c>
      <c r="CO147" t="e">
        <f>AND('UP133'!ID109,"AAAAAGF//1w=")</f>
        <v>#VALUE!</v>
      </c>
      <c r="CP147" t="e">
        <f>AND('UP133'!IE109,"AAAAAGF//10=")</f>
        <v>#VALUE!</v>
      </c>
      <c r="CQ147" t="e">
        <f>AND('UP133'!IF109,"AAAAAGF//14=")</f>
        <v>#VALUE!</v>
      </c>
      <c r="CR147" t="e">
        <f>AND('UP133'!IG109,"AAAAAGF//18=")</f>
        <v>#VALUE!</v>
      </c>
      <c r="CS147" t="e">
        <f>AND('UP133'!IH109,"AAAAAGF//2A=")</f>
        <v>#VALUE!</v>
      </c>
      <c r="CT147" t="e">
        <f>AND('UP133'!II109,"AAAAAGF//2E=")</f>
        <v>#VALUE!</v>
      </c>
      <c r="CU147" t="e">
        <f>AND('UP133'!IJ109,"AAAAAGF//2I=")</f>
        <v>#VALUE!</v>
      </c>
      <c r="CV147" t="e">
        <f>AND('UP133'!IK109,"AAAAAGF//2M=")</f>
        <v>#VALUE!</v>
      </c>
      <c r="CW147" t="e">
        <f>AND('UP133'!IL109,"AAAAAGF//2Q=")</f>
        <v>#VALUE!</v>
      </c>
      <c r="CX147" t="e">
        <f>AND('UP133'!IM109,"AAAAAGF//2U=")</f>
        <v>#VALUE!</v>
      </c>
      <c r="CY147" t="e">
        <f>AND('UP133'!IN109,"AAAAAGF//2Y=")</f>
        <v>#VALUE!</v>
      </c>
      <c r="CZ147" t="e">
        <f>AND('UP133'!IO109,"AAAAAGF//2c=")</f>
        <v>#VALUE!</v>
      </c>
      <c r="DA147" t="e">
        <f>AND('UP133'!IP109,"AAAAAGF//2g=")</f>
        <v>#VALUE!</v>
      </c>
      <c r="DB147" t="e">
        <f>AND('UP133'!IQ109,"AAAAAGF//2k=")</f>
        <v>#VALUE!</v>
      </c>
      <c r="DC147">
        <f>IF('UP133'!110:110,"AAAAAGF//2o=",0)</f>
        <v>0</v>
      </c>
      <c r="DD147" t="e">
        <f>AND('UP133'!A110,"AAAAAGF//2s=")</f>
        <v>#VALUE!</v>
      </c>
      <c r="DE147" t="e">
        <f>AND('UP133'!B110,"AAAAAGF//2w=")</f>
        <v>#VALUE!</v>
      </c>
      <c r="DF147" t="e">
        <f>AND('UP133'!C110,"AAAAAGF//20=")</f>
        <v>#VALUE!</v>
      </c>
      <c r="DG147" t="e">
        <f>AND('UP133'!D110,"AAAAAGF//24=")</f>
        <v>#VALUE!</v>
      </c>
      <c r="DH147" t="e">
        <f>AND('UP133'!E110,"AAAAAGF//28=")</f>
        <v>#VALUE!</v>
      </c>
      <c r="DI147" t="e">
        <f>AND('UP133'!F110,"AAAAAGF//3A=")</f>
        <v>#VALUE!</v>
      </c>
      <c r="DJ147" t="e">
        <f>AND('UP133'!G110,"AAAAAGF//3E=")</f>
        <v>#VALUE!</v>
      </c>
      <c r="DK147" t="e">
        <f>AND('UP133'!H110,"AAAAAGF//3I=")</f>
        <v>#VALUE!</v>
      </c>
      <c r="DL147" t="e">
        <f>AND('UP133'!I110,"AAAAAGF//3M=")</f>
        <v>#VALUE!</v>
      </c>
      <c r="DM147" t="e">
        <f>AND('UP133'!J110,"AAAAAGF//3Q=")</f>
        <v>#VALUE!</v>
      </c>
      <c r="DN147" t="e">
        <f>AND('UP133'!K110,"AAAAAGF//3U=")</f>
        <v>#VALUE!</v>
      </c>
      <c r="DO147" t="e">
        <f>AND('UP133'!L110,"AAAAAGF//3Y=")</f>
        <v>#VALUE!</v>
      </c>
      <c r="DP147" t="e">
        <f>AND('UP133'!M110,"AAAAAGF//3c=")</f>
        <v>#VALUE!</v>
      </c>
      <c r="DQ147" t="e">
        <f>AND('UP133'!N110,"AAAAAGF//3g=")</f>
        <v>#VALUE!</v>
      </c>
      <c r="DR147" t="e">
        <f>AND('UP133'!O110,"AAAAAGF//3k=")</f>
        <v>#VALUE!</v>
      </c>
      <c r="DS147" t="e">
        <f>AND('UP133'!P110,"AAAAAGF//3o=")</f>
        <v>#VALUE!</v>
      </c>
      <c r="DT147" t="e">
        <f>AND('UP133'!Q110,"AAAAAGF//3s=")</f>
        <v>#VALUE!</v>
      </c>
      <c r="DU147" t="e">
        <f>AND('UP133'!R110,"AAAAAGF//3w=")</f>
        <v>#VALUE!</v>
      </c>
      <c r="DV147" t="e">
        <f>AND('UP133'!S110,"AAAAAGF//30=")</f>
        <v>#VALUE!</v>
      </c>
      <c r="DW147" t="e">
        <f>AND('UP133'!T110,"AAAAAGF//34=")</f>
        <v>#VALUE!</v>
      </c>
      <c r="DX147" t="e">
        <f>AND('UP133'!U110,"AAAAAGF//38=")</f>
        <v>#VALUE!</v>
      </c>
      <c r="DY147" t="e">
        <f>AND('UP133'!V110,"AAAAAGF//4A=")</f>
        <v>#VALUE!</v>
      </c>
      <c r="DZ147" t="e">
        <f>AND('UP133'!W110,"AAAAAGF//4E=")</f>
        <v>#VALUE!</v>
      </c>
      <c r="EA147" t="e">
        <f>AND('UP133'!X110,"AAAAAGF//4I=")</f>
        <v>#VALUE!</v>
      </c>
      <c r="EB147" t="e">
        <f>AND('UP133'!Y110,"AAAAAGF//4M=")</f>
        <v>#VALUE!</v>
      </c>
      <c r="EC147" t="e">
        <f>AND('UP133'!Z110,"AAAAAGF//4Q=")</f>
        <v>#VALUE!</v>
      </c>
      <c r="ED147" t="e">
        <f>AND('UP133'!AA110,"AAAAAGF//4U=")</f>
        <v>#VALUE!</v>
      </c>
      <c r="EE147" t="e">
        <f>AND('UP133'!AB110,"AAAAAGF//4Y=")</f>
        <v>#VALUE!</v>
      </c>
      <c r="EF147" t="e">
        <f>AND('UP133'!AC110,"AAAAAGF//4c=")</f>
        <v>#VALUE!</v>
      </c>
      <c r="EG147" t="e">
        <f>AND('UP133'!AD110,"AAAAAGF//4g=")</f>
        <v>#VALUE!</v>
      </c>
      <c r="EH147" t="e">
        <f>AND('UP133'!AE110,"AAAAAGF//4k=")</f>
        <v>#VALUE!</v>
      </c>
      <c r="EI147" t="e">
        <f>AND('UP133'!AF110,"AAAAAGF//4o=")</f>
        <v>#VALUE!</v>
      </c>
      <c r="EJ147" t="e">
        <f>AND('UP133'!AG110,"AAAAAGF//4s=")</f>
        <v>#VALUE!</v>
      </c>
      <c r="EK147" t="e">
        <f>AND('UP133'!AH110,"AAAAAGF//4w=")</f>
        <v>#VALUE!</v>
      </c>
      <c r="EL147" t="e">
        <f>AND('UP133'!AI110,"AAAAAGF//40=")</f>
        <v>#VALUE!</v>
      </c>
      <c r="EM147" t="e">
        <f>AND('UP133'!AJ110,"AAAAAGF//44=")</f>
        <v>#VALUE!</v>
      </c>
      <c r="EN147" t="e">
        <f>AND('UP133'!AK110,"AAAAAGF//48=")</f>
        <v>#VALUE!</v>
      </c>
      <c r="EO147" t="e">
        <f>AND('UP133'!AL110,"AAAAAGF//5A=")</f>
        <v>#VALUE!</v>
      </c>
      <c r="EP147" t="e">
        <f>AND('UP133'!AM110,"AAAAAGF//5E=")</f>
        <v>#VALUE!</v>
      </c>
      <c r="EQ147" t="e">
        <f>AND('UP133'!AN110,"AAAAAGF//5I=")</f>
        <v>#VALUE!</v>
      </c>
      <c r="ER147" t="e">
        <f>AND('UP133'!AO110,"AAAAAGF//5M=")</f>
        <v>#VALUE!</v>
      </c>
      <c r="ES147" t="e">
        <f>AND('UP133'!AP110,"AAAAAGF//5Q=")</f>
        <v>#VALUE!</v>
      </c>
      <c r="ET147" t="e">
        <f>AND('UP133'!AQ110,"AAAAAGF//5U=")</f>
        <v>#VALUE!</v>
      </c>
      <c r="EU147" t="e">
        <f>AND('UP133'!AR110,"AAAAAGF//5Y=")</f>
        <v>#VALUE!</v>
      </c>
      <c r="EV147" t="e">
        <f>AND('UP133'!AS110,"AAAAAGF//5c=")</f>
        <v>#VALUE!</v>
      </c>
      <c r="EW147" t="e">
        <f>AND('UP133'!AT110,"AAAAAGF//5g=")</f>
        <v>#VALUE!</v>
      </c>
      <c r="EX147" t="e">
        <f>AND('UP133'!AU110,"AAAAAGF//5k=")</f>
        <v>#VALUE!</v>
      </c>
      <c r="EY147" t="e">
        <f>AND('UP133'!AV110,"AAAAAGF//5o=")</f>
        <v>#VALUE!</v>
      </c>
      <c r="EZ147" t="e">
        <f>AND('UP133'!AW110,"AAAAAGF//5s=")</f>
        <v>#VALUE!</v>
      </c>
      <c r="FA147" t="e">
        <f>AND('UP133'!AX110,"AAAAAGF//5w=")</f>
        <v>#VALUE!</v>
      </c>
      <c r="FB147" t="e">
        <f>AND('UP133'!AY110,"AAAAAGF//50=")</f>
        <v>#VALUE!</v>
      </c>
      <c r="FC147" t="e">
        <f>AND('UP133'!AZ110,"AAAAAGF//54=")</f>
        <v>#VALUE!</v>
      </c>
      <c r="FD147" t="e">
        <f>AND('UP133'!BA110,"AAAAAGF//58=")</f>
        <v>#VALUE!</v>
      </c>
      <c r="FE147" t="e">
        <f>AND('UP133'!BB110,"AAAAAGF//6A=")</f>
        <v>#VALUE!</v>
      </c>
      <c r="FF147" t="e">
        <f>AND('UP133'!BC110,"AAAAAGF//6E=")</f>
        <v>#VALUE!</v>
      </c>
      <c r="FG147" t="e">
        <f>AND('UP133'!BD110,"AAAAAGF//6I=")</f>
        <v>#VALUE!</v>
      </c>
      <c r="FH147" t="e">
        <f>AND('UP133'!BE110,"AAAAAGF//6M=")</f>
        <v>#VALUE!</v>
      </c>
      <c r="FI147" t="e">
        <f>AND('UP133'!BF110,"AAAAAGF//6Q=")</f>
        <v>#VALUE!</v>
      </c>
      <c r="FJ147" t="e">
        <f>AND('UP133'!BG110,"AAAAAGF//6U=")</f>
        <v>#VALUE!</v>
      </c>
      <c r="FK147" t="e">
        <f>AND('UP133'!BH110,"AAAAAGF//6Y=")</f>
        <v>#VALUE!</v>
      </c>
      <c r="FL147" t="e">
        <f>AND('UP133'!BI110,"AAAAAGF//6c=")</f>
        <v>#VALUE!</v>
      </c>
      <c r="FM147" t="e">
        <f>AND('UP133'!BJ110,"AAAAAGF//6g=")</f>
        <v>#VALUE!</v>
      </c>
      <c r="FN147" t="e">
        <f>AND('UP133'!BK110,"AAAAAGF//6k=")</f>
        <v>#VALUE!</v>
      </c>
      <c r="FO147" t="e">
        <f>AND('UP133'!BL110,"AAAAAGF//6o=")</f>
        <v>#VALUE!</v>
      </c>
      <c r="FP147" t="e">
        <f>AND('UP133'!BM110,"AAAAAGF//6s=")</f>
        <v>#VALUE!</v>
      </c>
      <c r="FQ147" t="e">
        <f>AND('UP133'!BN110,"AAAAAGF//6w=")</f>
        <v>#VALUE!</v>
      </c>
      <c r="FR147" t="e">
        <f>AND('UP133'!BO110,"AAAAAGF//60=")</f>
        <v>#VALUE!</v>
      </c>
      <c r="FS147" t="e">
        <f>AND('UP133'!BP110,"AAAAAGF//64=")</f>
        <v>#VALUE!</v>
      </c>
      <c r="FT147" t="e">
        <f>AND('UP133'!BQ110,"AAAAAGF//68=")</f>
        <v>#VALUE!</v>
      </c>
      <c r="FU147" t="e">
        <f>AND('UP133'!BR110,"AAAAAGF//7A=")</f>
        <v>#VALUE!</v>
      </c>
      <c r="FV147" t="e">
        <f>AND('UP133'!BS110,"AAAAAGF//7E=")</f>
        <v>#VALUE!</v>
      </c>
      <c r="FW147" t="e">
        <f>AND('UP133'!BT110,"AAAAAGF//7I=")</f>
        <v>#VALUE!</v>
      </c>
      <c r="FX147" t="e">
        <f>AND('UP133'!BU110,"AAAAAGF//7M=")</f>
        <v>#VALUE!</v>
      </c>
      <c r="FY147" t="e">
        <f>AND('UP133'!BV110,"AAAAAGF//7Q=")</f>
        <v>#VALUE!</v>
      </c>
      <c r="FZ147" t="e">
        <f>AND('UP133'!BW110,"AAAAAGF//7U=")</f>
        <v>#VALUE!</v>
      </c>
      <c r="GA147" t="e">
        <f>AND('UP133'!BX110,"AAAAAGF//7Y=")</f>
        <v>#VALUE!</v>
      </c>
      <c r="GB147" t="e">
        <f>AND('UP133'!BY110,"AAAAAGF//7c=")</f>
        <v>#VALUE!</v>
      </c>
      <c r="GC147" t="e">
        <f>AND('UP133'!BZ110,"AAAAAGF//7g=")</f>
        <v>#VALUE!</v>
      </c>
      <c r="GD147" t="e">
        <f>AND('UP133'!CA110,"AAAAAGF//7k=")</f>
        <v>#VALUE!</v>
      </c>
      <c r="GE147" t="e">
        <f>AND('UP133'!CB110,"AAAAAGF//7o=")</f>
        <v>#VALUE!</v>
      </c>
      <c r="GF147" t="e">
        <f>AND('UP133'!CC110,"AAAAAGF//7s=")</f>
        <v>#VALUE!</v>
      </c>
      <c r="GG147" t="e">
        <f>AND('UP133'!CD110,"AAAAAGF//7w=")</f>
        <v>#VALUE!</v>
      </c>
      <c r="GH147" t="e">
        <f>AND('UP133'!CE110,"AAAAAGF//70=")</f>
        <v>#VALUE!</v>
      </c>
      <c r="GI147" t="e">
        <f>AND('UP133'!CF110,"AAAAAGF//74=")</f>
        <v>#VALUE!</v>
      </c>
      <c r="GJ147" t="e">
        <f>AND('UP133'!CG110,"AAAAAGF//78=")</f>
        <v>#VALUE!</v>
      </c>
      <c r="GK147" t="e">
        <f>AND('UP133'!CH110,"AAAAAGF//8A=")</f>
        <v>#VALUE!</v>
      </c>
      <c r="GL147" t="e">
        <f>AND('UP133'!CI110,"AAAAAGF//8E=")</f>
        <v>#VALUE!</v>
      </c>
      <c r="GM147" t="e">
        <f>AND('UP133'!CJ110,"AAAAAGF//8I=")</f>
        <v>#VALUE!</v>
      </c>
      <c r="GN147" t="e">
        <f>AND('UP133'!CK110,"AAAAAGF//8M=")</f>
        <v>#VALUE!</v>
      </c>
      <c r="GO147" t="e">
        <f>AND('UP133'!CL110,"AAAAAGF//8Q=")</f>
        <v>#VALUE!</v>
      </c>
      <c r="GP147" t="e">
        <f>AND('UP133'!CM110,"AAAAAGF//8U=")</f>
        <v>#VALUE!</v>
      </c>
      <c r="GQ147" t="e">
        <f>AND('UP133'!CN110,"AAAAAGF//8Y=")</f>
        <v>#VALUE!</v>
      </c>
      <c r="GR147" t="e">
        <f>AND('UP133'!CO110,"AAAAAGF//8c=")</f>
        <v>#VALUE!</v>
      </c>
      <c r="GS147" t="e">
        <f>AND('UP133'!CP110,"AAAAAGF//8g=")</f>
        <v>#VALUE!</v>
      </c>
      <c r="GT147" t="e">
        <f>AND('UP133'!CQ110,"AAAAAGF//8k=")</f>
        <v>#VALUE!</v>
      </c>
      <c r="GU147" t="e">
        <f>AND('UP133'!CR110,"AAAAAGF//8o=")</f>
        <v>#VALUE!</v>
      </c>
      <c r="GV147" t="e">
        <f>AND('UP133'!CS110,"AAAAAGF//8s=")</f>
        <v>#VALUE!</v>
      </c>
      <c r="GW147" t="e">
        <f>AND('UP133'!CT110,"AAAAAGF//8w=")</f>
        <v>#VALUE!</v>
      </c>
      <c r="GX147" t="e">
        <f>AND('UP133'!CU110,"AAAAAGF//80=")</f>
        <v>#VALUE!</v>
      </c>
      <c r="GY147" t="e">
        <f>AND('UP133'!CV110,"AAAAAGF//84=")</f>
        <v>#VALUE!</v>
      </c>
      <c r="GZ147" t="e">
        <f>AND('UP133'!CW110,"AAAAAGF//88=")</f>
        <v>#VALUE!</v>
      </c>
      <c r="HA147" t="e">
        <f>AND('UP133'!CX110,"AAAAAGF//9A=")</f>
        <v>#VALUE!</v>
      </c>
      <c r="HB147" t="e">
        <f>AND('UP133'!CY110,"AAAAAGF//9E=")</f>
        <v>#VALUE!</v>
      </c>
      <c r="HC147" t="e">
        <f>AND('UP133'!CZ110,"AAAAAGF//9I=")</f>
        <v>#VALUE!</v>
      </c>
      <c r="HD147" t="e">
        <f>AND('UP133'!DA110,"AAAAAGF//9M=")</f>
        <v>#VALUE!</v>
      </c>
      <c r="HE147" t="e">
        <f>AND('UP133'!DB110,"AAAAAGF//9Q=")</f>
        <v>#VALUE!</v>
      </c>
      <c r="HF147" t="e">
        <f>AND('UP133'!DC110,"AAAAAGF//9U=")</f>
        <v>#VALUE!</v>
      </c>
      <c r="HG147" t="e">
        <f>AND('UP133'!DD110,"AAAAAGF//9Y=")</f>
        <v>#VALUE!</v>
      </c>
      <c r="HH147" t="e">
        <f>AND('UP133'!DE110,"AAAAAGF//9c=")</f>
        <v>#VALUE!</v>
      </c>
      <c r="HI147" t="e">
        <f>AND('UP133'!DF110,"AAAAAGF//9g=")</f>
        <v>#VALUE!</v>
      </c>
      <c r="HJ147" t="e">
        <f>AND('UP133'!DG110,"AAAAAGF//9k=")</f>
        <v>#VALUE!</v>
      </c>
      <c r="HK147" t="e">
        <f>AND('UP133'!DH110,"AAAAAGF//9o=")</f>
        <v>#VALUE!</v>
      </c>
      <c r="HL147" t="e">
        <f>AND('UP133'!DI110,"AAAAAGF//9s=")</f>
        <v>#VALUE!</v>
      </c>
      <c r="HM147" t="e">
        <f>AND('UP133'!DJ110,"AAAAAGF//9w=")</f>
        <v>#VALUE!</v>
      </c>
      <c r="HN147" t="e">
        <f>AND('UP133'!DK110,"AAAAAGF//90=")</f>
        <v>#VALUE!</v>
      </c>
      <c r="HO147" t="e">
        <f>AND('UP133'!DL110,"AAAAAGF//94=")</f>
        <v>#VALUE!</v>
      </c>
      <c r="HP147" t="e">
        <f>AND('UP133'!DM110,"AAAAAGF//98=")</f>
        <v>#VALUE!</v>
      </c>
      <c r="HQ147" t="e">
        <f>AND('UP133'!DN110,"AAAAAGF//+A=")</f>
        <v>#VALUE!</v>
      </c>
      <c r="HR147" t="e">
        <f>AND('UP133'!DO110,"AAAAAGF//+E=")</f>
        <v>#VALUE!</v>
      </c>
      <c r="HS147" t="e">
        <f>AND('UP133'!DP110,"AAAAAGF//+I=")</f>
        <v>#VALUE!</v>
      </c>
      <c r="HT147" t="e">
        <f>AND('UP133'!DQ110,"AAAAAGF//+M=")</f>
        <v>#VALUE!</v>
      </c>
      <c r="HU147" t="e">
        <f>AND('UP133'!DR110,"AAAAAGF//+Q=")</f>
        <v>#VALUE!</v>
      </c>
      <c r="HV147" t="e">
        <f>AND('UP133'!DS110,"AAAAAGF//+U=")</f>
        <v>#VALUE!</v>
      </c>
      <c r="HW147" t="e">
        <f>AND('UP133'!DT110,"AAAAAGF//+Y=")</f>
        <v>#VALUE!</v>
      </c>
      <c r="HX147" t="e">
        <f>AND('UP133'!DU110,"AAAAAGF//+c=")</f>
        <v>#VALUE!</v>
      </c>
      <c r="HY147" t="e">
        <f>AND('UP133'!DV110,"AAAAAGF//+g=")</f>
        <v>#VALUE!</v>
      </c>
      <c r="HZ147" t="e">
        <f>AND('UP133'!DW110,"AAAAAGF//+k=")</f>
        <v>#VALUE!</v>
      </c>
      <c r="IA147" t="e">
        <f>AND('UP133'!DX110,"AAAAAGF//+o=")</f>
        <v>#VALUE!</v>
      </c>
      <c r="IB147" t="e">
        <f>AND('UP133'!DY110,"AAAAAGF//+s=")</f>
        <v>#VALUE!</v>
      </c>
      <c r="IC147" t="e">
        <f>AND('UP133'!DZ110,"AAAAAGF//+w=")</f>
        <v>#VALUE!</v>
      </c>
      <c r="ID147" t="e">
        <f>AND('UP133'!EA110,"AAAAAGF//+0=")</f>
        <v>#VALUE!</v>
      </c>
      <c r="IE147" t="e">
        <f>AND('UP133'!EB110,"AAAAAGF//+4=")</f>
        <v>#VALUE!</v>
      </c>
      <c r="IF147" t="e">
        <f>AND('UP133'!EC110,"AAAAAGF//+8=")</f>
        <v>#VALUE!</v>
      </c>
      <c r="IG147" t="e">
        <f>AND('UP133'!ED110,"AAAAAGF///A=")</f>
        <v>#VALUE!</v>
      </c>
      <c r="IH147" t="e">
        <f>AND('UP133'!EE110,"AAAAAGF///E=")</f>
        <v>#VALUE!</v>
      </c>
      <c r="II147" t="e">
        <f>AND('UP133'!EF110,"AAAAAGF///I=")</f>
        <v>#VALUE!</v>
      </c>
      <c r="IJ147" t="e">
        <f>AND('UP133'!EG110,"AAAAAGF///M=")</f>
        <v>#VALUE!</v>
      </c>
      <c r="IK147" t="e">
        <f>AND('UP133'!EH110,"AAAAAGF///Q=")</f>
        <v>#VALUE!</v>
      </c>
      <c r="IL147" t="e">
        <f>AND('UP133'!EI110,"AAAAAGF///U=")</f>
        <v>#VALUE!</v>
      </c>
      <c r="IM147" t="e">
        <f>AND('UP133'!EJ110,"AAAAAGF///Y=")</f>
        <v>#VALUE!</v>
      </c>
      <c r="IN147" t="e">
        <f>AND('UP133'!EK110,"AAAAAGF///c=")</f>
        <v>#VALUE!</v>
      </c>
      <c r="IO147" t="e">
        <f>AND('UP133'!EL110,"AAAAAGF///g=")</f>
        <v>#VALUE!</v>
      </c>
      <c r="IP147" t="e">
        <f>AND('UP133'!EM110,"AAAAAGF///k=")</f>
        <v>#VALUE!</v>
      </c>
      <c r="IQ147" t="e">
        <f>AND('UP133'!EN110,"AAAAAGF///o=")</f>
        <v>#VALUE!</v>
      </c>
      <c r="IR147" t="e">
        <f>AND('UP133'!EO110,"AAAAAGF///s=")</f>
        <v>#VALUE!</v>
      </c>
      <c r="IS147" t="e">
        <f>AND('UP133'!EP110,"AAAAAGF///w=")</f>
        <v>#VALUE!</v>
      </c>
      <c r="IT147" t="e">
        <f>AND('UP133'!EQ110,"AAAAAGF///0=")</f>
        <v>#VALUE!</v>
      </c>
      <c r="IU147" t="e">
        <f>AND('UP133'!ER110,"AAAAAGF///4=")</f>
        <v>#VALUE!</v>
      </c>
      <c r="IV147" t="e">
        <f>AND('UP133'!ES110,"AAAAAGF///8=")</f>
        <v>#VALUE!</v>
      </c>
    </row>
    <row r="148" spans="1:256">
      <c r="A148" t="e">
        <f>AND('UP133'!ET110,"AAAAAF9cfQA=")</f>
        <v>#VALUE!</v>
      </c>
      <c r="B148" t="e">
        <f>AND('UP133'!EU110,"AAAAAF9cfQE=")</f>
        <v>#VALUE!</v>
      </c>
      <c r="C148" t="e">
        <f>AND('UP133'!EV110,"AAAAAF9cfQI=")</f>
        <v>#VALUE!</v>
      </c>
      <c r="D148" t="e">
        <f>AND('UP133'!EW110,"AAAAAF9cfQM=")</f>
        <v>#VALUE!</v>
      </c>
      <c r="E148" t="e">
        <f>AND('UP133'!EX110,"AAAAAF9cfQQ=")</f>
        <v>#VALUE!</v>
      </c>
      <c r="F148" t="e">
        <f>AND('UP133'!EY110,"AAAAAF9cfQU=")</f>
        <v>#VALUE!</v>
      </c>
      <c r="G148" t="e">
        <f>AND('UP133'!EZ110,"AAAAAF9cfQY=")</f>
        <v>#VALUE!</v>
      </c>
      <c r="H148" t="e">
        <f>AND('UP133'!FA110,"AAAAAF9cfQc=")</f>
        <v>#VALUE!</v>
      </c>
      <c r="I148" t="e">
        <f>AND('UP133'!FB110,"AAAAAF9cfQg=")</f>
        <v>#VALUE!</v>
      </c>
      <c r="J148" t="e">
        <f>AND('UP133'!FC110,"AAAAAF9cfQk=")</f>
        <v>#VALUE!</v>
      </c>
      <c r="K148" t="e">
        <f>AND('UP133'!FD110,"AAAAAF9cfQo=")</f>
        <v>#VALUE!</v>
      </c>
      <c r="L148" t="e">
        <f>AND('UP133'!FE110,"AAAAAF9cfQs=")</f>
        <v>#VALUE!</v>
      </c>
      <c r="M148" t="e">
        <f>AND('UP133'!FF110,"AAAAAF9cfQw=")</f>
        <v>#VALUE!</v>
      </c>
      <c r="N148" t="e">
        <f>AND('UP133'!FG110,"AAAAAF9cfQ0=")</f>
        <v>#VALUE!</v>
      </c>
      <c r="O148" t="e">
        <f>AND('UP133'!FH110,"AAAAAF9cfQ4=")</f>
        <v>#VALUE!</v>
      </c>
      <c r="P148" t="e">
        <f>AND('UP133'!FI110,"AAAAAF9cfQ8=")</f>
        <v>#VALUE!</v>
      </c>
      <c r="Q148" t="e">
        <f>AND('UP133'!FJ110,"AAAAAF9cfRA=")</f>
        <v>#VALUE!</v>
      </c>
      <c r="R148" t="e">
        <f>AND('UP133'!FK110,"AAAAAF9cfRE=")</f>
        <v>#VALUE!</v>
      </c>
      <c r="S148" t="e">
        <f>AND('UP133'!FL110,"AAAAAF9cfRI=")</f>
        <v>#VALUE!</v>
      </c>
      <c r="T148" t="e">
        <f>AND('UP133'!FM110,"AAAAAF9cfRM=")</f>
        <v>#VALUE!</v>
      </c>
      <c r="U148" t="e">
        <f>AND('UP133'!FN110,"AAAAAF9cfRQ=")</f>
        <v>#VALUE!</v>
      </c>
      <c r="V148" t="e">
        <f>AND('UP133'!FO110,"AAAAAF9cfRU=")</f>
        <v>#VALUE!</v>
      </c>
      <c r="W148" t="e">
        <f>AND('UP133'!FP110,"AAAAAF9cfRY=")</f>
        <v>#VALUE!</v>
      </c>
      <c r="X148" t="e">
        <f>AND('UP133'!FQ110,"AAAAAF9cfRc=")</f>
        <v>#VALUE!</v>
      </c>
      <c r="Y148" t="e">
        <f>AND('UP133'!FR110,"AAAAAF9cfRg=")</f>
        <v>#VALUE!</v>
      </c>
      <c r="Z148" t="e">
        <f>AND('UP133'!FS110,"AAAAAF9cfRk=")</f>
        <v>#VALUE!</v>
      </c>
      <c r="AA148" t="e">
        <f>AND('UP133'!FT110,"AAAAAF9cfRo=")</f>
        <v>#VALUE!</v>
      </c>
      <c r="AB148" t="e">
        <f>AND('UP133'!FU110,"AAAAAF9cfRs=")</f>
        <v>#VALUE!</v>
      </c>
      <c r="AC148" t="e">
        <f>AND('UP133'!FV110,"AAAAAF9cfRw=")</f>
        <v>#VALUE!</v>
      </c>
      <c r="AD148" t="e">
        <f>AND('UP133'!FW110,"AAAAAF9cfR0=")</f>
        <v>#VALUE!</v>
      </c>
      <c r="AE148" t="e">
        <f>AND('UP133'!FX110,"AAAAAF9cfR4=")</f>
        <v>#VALUE!</v>
      </c>
      <c r="AF148" t="e">
        <f>AND('UP133'!FY110,"AAAAAF9cfR8=")</f>
        <v>#VALUE!</v>
      </c>
      <c r="AG148" t="e">
        <f>AND('UP133'!FZ110,"AAAAAF9cfSA=")</f>
        <v>#VALUE!</v>
      </c>
      <c r="AH148" t="e">
        <f>AND('UP133'!GA110,"AAAAAF9cfSE=")</f>
        <v>#VALUE!</v>
      </c>
      <c r="AI148" t="e">
        <f>AND('UP133'!GB110,"AAAAAF9cfSI=")</f>
        <v>#VALUE!</v>
      </c>
      <c r="AJ148" t="e">
        <f>AND('UP133'!GC110,"AAAAAF9cfSM=")</f>
        <v>#VALUE!</v>
      </c>
      <c r="AK148" t="e">
        <f>AND('UP133'!GD110,"AAAAAF9cfSQ=")</f>
        <v>#VALUE!</v>
      </c>
      <c r="AL148" t="e">
        <f>AND('UP133'!GE110,"AAAAAF9cfSU=")</f>
        <v>#VALUE!</v>
      </c>
      <c r="AM148" t="e">
        <f>AND('UP133'!GF110,"AAAAAF9cfSY=")</f>
        <v>#VALUE!</v>
      </c>
      <c r="AN148" t="e">
        <f>AND('UP133'!GG110,"AAAAAF9cfSc=")</f>
        <v>#VALUE!</v>
      </c>
      <c r="AO148" t="e">
        <f>AND('UP133'!GH110,"AAAAAF9cfSg=")</f>
        <v>#VALUE!</v>
      </c>
      <c r="AP148" t="e">
        <f>AND('UP133'!GI110,"AAAAAF9cfSk=")</f>
        <v>#VALUE!</v>
      </c>
      <c r="AQ148" t="e">
        <f>AND('UP133'!GJ110,"AAAAAF9cfSo=")</f>
        <v>#VALUE!</v>
      </c>
      <c r="AR148" t="e">
        <f>AND('UP133'!GK110,"AAAAAF9cfSs=")</f>
        <v>#VALUE!</v>
      </c>
      <c r="AS148" t="e">
        <f>AND('UP133'!GL110,"AAAAAF9cfSw=")</f>
        <v>#VALUE!</v>
      </c>
      <c r="AT148" t="e">
        <f>AND('UP133'!GM110,"AAAAAF9cfS0=")</f>
        <v>#VALUE!</v>
      </c>
      <c r="AU148" t="e">
        <f>AND('UP133'!GN110,"AAAAAF9cfS4=")</f>
        <v>#VALUE!</v>
      </c>
      <c r="AV148" t="e">
        <f>AND('UP133'!GO110,"AAAAAF9cfS8=")</f>
        <v>#VALUE!</v>
      </c>
      <c r="AW148" t="e">
        <f>AND('UP133'!GP110,"AAAAAF9cfTA=")</f>
        <v>#VALUE!</v>
      </c>
      <c r="AX148" t="e">
        <f>AND('UP133'!GQ110,"AAAAAF9cfTE=")</f>
        <v>#VALUE!</v>
      </c>
      <c r="AY148" t="e">
        <f>AND('UP133'!GR110,"AAAAAF9cfTI=")</f>
        <v>#VALUE!</v>
      </c>
      <c r="AZ148" t="e">
        <f>AND('UP133'!GS110,"AAAAAF9cfTM=")</f>
        <v>#VALUE!</v>
      </c>
      <c r="BA148" t="e">
        <f>AND('UP133'!GT110,"AAAAAF9cfTQ=")</f>
        <v>#VALUE!</v>
      </c>
      <c r="BB148" t="e">
        <f>AND('UP133'!GU110,"AAAAAF9cfTU=")</f>
        <v>#VALUE!</v>
      </c>
      <c r="BC148" t="e">
        <f>AND('UP133'!GV110,"AAAAAF9cfTY=")</f>
        <v>#VALUE!</v>
      </c>
      <c r="BD148" t="e">
        <f>AND('UP133'!GW110,"AAAAAF9cfTc=")</f>
        <v>#VALUE!</v>
      </c>
      <c r="BE148" t="e">
        <f>AND('UP133'!GX110,"AAAAAF9cfTg=")</f>
        <v>#VALUE!</v>
      </c>
      <c r="BF148" t="e">
        <f>AND('UP133'!GY110,"AAAAAF9cfTk=")</f>
        <v>#VALUE!</v>
      </c>
      <c r="BG148" t="e">
        <f>AND('UP133'!GZ110,"AAAAAF9cfTo=")</f>
        <v>#VALUE!</v>
      </c>
      <c r="BH148" t="e">
        <f>AND('UP133'!HA110,"AAAAAF9cfTs=")</f>
        <v>#VALUE!</v>
      </c>
      <c r="BI148" t="e">
        <f>AND('UP133'!HB110,"AAAAAF9cfTw=")</f>
        <v>#VALUE!</v>
      </c>
      <c r="BJ148" t="e">
        <f>AND('UP133'!HC110,"AAAAAF9cfT0=")</f>
        <v>#VALUE!</v>
      </c>
      <c r="BK148" t="e">
        <f>AND('UP133'!HD110,"AAAAAF9cfT4=")</f>
        <v>#VALUE!</v>
      </c>
      <c r="BL148" t="e">
        <f>AND('UP133'!HE110,"AAAAAF9cfT8=")</f>
        <v>#VALUE!</v>
      </c>
      <c r="BM148" t="e">
        <f>AND('UP133'!HF110,"AAAAAF9cfUA=")</f>
        <v>#VALUE!</v>
      </c>
      <c r="BN148" t="e">
        <f>AND('UP133'!HG110,"AAAAAF9cfUE=")</f>
        <v>#VALUE!</v>
      </c>
      <c r="BO148" t="e">
        <f>AND('UP133'!HH110,"AAAAAF9cfUI=")</f>
        <v>#VALUE!</v>
      </c>
      <c r="BP148" t="e">
        <f>AND('UP133'!HI110,"AAAAAF9cfUM=")</f>
        <v>#VALUE!</v>
      </c>
      <c r="BQ148" t="e">
        <f>AND('UP133'!HJ110,"AAAAAF9cfUQ=")</f>
        <v>#VALUE!</v>
      </c>
      <c r="BR148" t="e">
        <f>AND('UP133'!HK110,"AAAAAF9cfUU=")</f>
        <v>#VALUE!</v>
      </c>
      <c r="BS148" t="e">
        <f>AND('UP133'!HL110,"AAAAAF9cfUY=")</f>
        <v>#VALUE!</v>
      </c>
      <c r="BT148" t="e">
        <f>AND('UP133'!HM110,"AAAAAF9cfUc=")</f>
        <v>#VALUE!</v>
      </c>
      <c r="BU148" t="e">
        <f>AND('UP133'!HN110,"AAAAAF9cfUg=")</f>
        <v>#VALUE!</v>
      </c>
      <c r="BV148" t="e">
        <f>AND('UP133'!HO110,"AAAAAF9cfUk=")</f>
        <v>#VALUE!</v>
      </c>
      <c r="BW148" t="e">
        <f>AND('UP133'!HP110,"AAAAAF9cfUo=")</f>
        <v>#VALUE!</v>
      </c>
      <c r="BX148" t="e">
        <f>AND('UP133'!HQ110,"AAAAAF9cfUs=")</f>
        <v>#VALUE!</v>
      </c>
      <c r="BY148" t="e">
        <f>AND('UP133'!HR110,"AAAAAF9cfUw=")</f>
        <v>#VALUE!</v>
      </c>
      <c r="BZ148" t="e">
        <f>AND('UP133'!HS110,"AAAAAF9cfU0=")</f>
        <v>#VALUE!</v>
      </c>
      <c r="CA148" t="e">
        <f>AND('UP133'!HT110,"AAAAAF9cfU4=")</f>
        <v>#VALUE!</v>
      </c>
      <c r="CB148" t="e">
        <f>AND('UP133'!HU110,"AAAAAF9cfU8=")</f>
        <v>#VALUE!</v>
      </c>
      <c r="CC148" t="e">
        <f>AND('UP133'!HV110,"AAAAAF9cfVA=")</f>
        <v>#VALUE!</v>
      </c>
      <c r="CD148" t="e">
        <f>AND('UP133'!HW110,"AAAAAF9cfVE=")</f>
        <v>#VALUE!</v>
      </c>
      <c r="CE148" t="e">
        <f>AND('UP133'!HX110,"AAAAAF9cfVI=")</f>
        <v>#VALUE!</v>
      </c>
      <c r="CF148" t="e">
        <f>AND('UP133'!HY110,"AAAAAF9cfVM=")</f>
        <v>#VALUE!</v>
      </c>
      <c r="CG148" t="e">
        <f>AND('UP133'!HZ110,"AAAAAF9cfVQ=")</f>
        <v>#VALUE!</v>
      </c>
      <c r="CH148" t="e">
        <f>AND('UP133'!IA110,"AAAAAF9cfVU=")</f>
        <v>#VALUE!</v>
      </c>
      <c r="CI148" t="e">
        <f>AND('UP133'!IB110,"AAAAAF9cfVY=")</f>
        <v>#VALUE!</v>
      </c>
      <c r="CJ148" t="e">
        <f>AND('UP133'!IC110,"AAAAAF9cfVc=")</f>
        <v>#VALUE!</v>
      </c>
      <c r="CK148" t="e">
        <f>AND('UP133'!ID110,"AAAAAF9cfVg=")</f>
        <v>#VALUE!</v>
      </c>
      <c r="CL148" t="e">
        <f>AND('UP133'!IE110,"AAAAAF9cfVk=")</f>
        <v>#VALUE!</v>
      </c>
      <c r="CM148" t="e">
        <f>AND('UP133'!IF110,"AAAAAF9cfVo=")</f>
        <v>#VALUE!</v>
      </c>
      <c r="CN148" t="e">
        <f>AND('UP133'!IG110,"AAAAAF9cfVs=")</f>
        <v>#VALUE!</v>
      </c>
      <c r="CO148" t="e">
        <f>AND('UP133'!IH110,"AAAAAF9cfVw=")</f>
        <v>#VALUE!</v>
      </c>
      <c r="CP148" t="e">
        <f>AND('UP133'!II110,"AAAAAF9cfV0=")</f>
        <v>#VALUE!</v>
      </c>
      <c r="CQ148" t="e">
        <f>AND('UP133'!IJ110,"AAAAAF9cfV4=")</f>
        <v>#VALUE!</v>
      </c>
      <c r="CR148" t="e">
        <f>AND('UP133'!IK110,"AAAAAF9cfV8=")</f>
        <v>#VALUE!</v>
      </c>
      <c r="CS148" t="e">
        <f>AND('UP133'!IL110,"AAAAAF9cfWA=")</f>
        <v>#VALUE!</v>
      </c>
      <c r="CT148" t="e">
        <f>AND('UP133'!IM110,"AAAAAF9cfWE=")</f>
        <v>#VALUE!</v>
      </c>
      <c r="CU148" t="e">
        <f>AND('UP133'!IN110,"AAAAAF9cfWI=")</f>
        <v>#VALUE!</v>
      </c>
      <c r="CV148" t="e">
        <f>AND('UP133'!IO110,"AAAAAF9cfWM=")</f>
        <v>#VALUE!</v>
      </c>
      <c r="CW148" t="e">
        <f>AND('UP133'!IP110,"AAAAAF9cfWQ=")</f>
        <v>#VALUE!</v>
      </c>
      <c r="CX148" t="e">
        <f>AND('UP133'!IQ110,"AAAAAF9cfWU=")</f>
        <v>#VALUE!</v>
      </c>
      <c r="CY148">
        <f>IF('UP133'!111:111,"AAAAAF9cfWY=",0)</f>
        <v>0</v>
      </c>
      <c r="CZ148" t="e">
        <f>AND('UP133'!A111,"AAAAAF9cfWc=")</f>
        <v>#VALUE!</v>
      </c>
      <c r="DA148" t="e">
        <f>AND('UP133'!B111,"AAAAAF9cfWg=")</f>
        <v>#VALUE!</v>
      </c>
      <c r="DB148" t="e">
        <f>AND('UP133'!C111,"AAAAAF9cfWk=")</f>
        <v>#VALUE!</v>
      </c>
      <c r="DC148" t="e">
        <f>AND('UP133'!D111,"AAAAAF9cfWo=")</f>
        <v>#VALUE!</v>
      </c>
      <c r="DD148" t="e">
        <f>AND('UP133'!E111,"AAAAAF9cfWs=")</f>
        <v>#VALUE!</v>
      </c>
      <c r="DE148" t="e">
        <f>AND('UP133'!F111,"AAAAAF9cfWw=")</f>
        <v>#VALUE!</v>
      </c>
      <c r="DF148" t="e">
        <f>AND('UP133'!G111,"AAAAAF9cfW0=")</f>
        <v>#VALUE!</v>
      </c>
      <c r="DG148" t="e">
        <f>AND('UP133'!H111,"AAAAAF9cfW4=")</f>
        <v>#VALUE!</v>
      </c>
      <c r="DH148" t="e">
        <f>AND('UP133'!I111,"AAAAAF9cfW8=")</f>
        <v>#VALUE!</v>
      </c>
      <c r="DI148" t="e">
        <f>AND('UP133'!J111,"AAAAAF9cfXA=")</f>
        <v>#VALUE!</v>
      </c>
      <c r="DJ148" t="e">
        <f>AND('UP133'!K111,"AAAAAF9cfXE=")</f>
        <v>#VALUE!</v>
      </c>
      <c r="DK148" t="e">
        <f>AND('UP133'!L111,"AAAAAF9cfXI=")</f>
        <v>#VALUE!</v>
      </c>
      <c r="DL148" t="e">
        <f>AND('UP133'!M111,"AAAAAF9cfXM=")</f>
        <v>#VALUE!</v>
      </c>
      <c r="DM148" t="e">
        <f>AND('UP133'!N111,"AAAAAF9cfXQ=")</f>
        <v>#VALUE!</v>
      </c>
      <c r="DN148" t="e">
        <f>AND('UP133'!O111,"AAAAAF9cfXU=")</f>
        <v>#VALUE!</v>
      </c>
      <c r="DO148" t="e">
        <f>AND('UP133'!P111,"AAAAAF9cfXY=")</f>
        <v>#VALUE!</v>
      </c>
      <c r="DP148" t="e">
        <f>AND('UP133'!Q111,"AAAAAF9cfXc=")</f>
        <v>#VALUE!</v>
      </c>
      <c r="DQ148" t="e">
        <f>AND('UP133'!R111,"AAAAAF9cfXg=")</f>
        <v>#VALUE!</v>
      </c>
      <c r="DR148" t="e">
        <f>AND('UP133'!S111,"AAAAAF9cfXk=")</f>
        <v>#VALUE!</v>
      </c>
      <c r="DS148" t="e">
        <f>AND('UP133'!T111,"AAAAAF9cfXo=")</f>
        <v>#VALUE!</v>
      </c>
      <c r="DT148" t="e">
        <f>AND('UP133'!U111,"AAAAAF9cfXs=")</f>
        <v>#VALUE!</v>
      </c>
      <c r="DU148" t="e">
        <f>AND('UP133'!V111,"AAAAAF9cfXw=")</f>
        <v>#VALUE!</v>
      </c>
      <c r="DV148" t="e">
        <f>AND('UP133'!W111,"AAAAAF9cfX0=")</f>
        <v>#VALUE!</v>
      </c>
      <c r="DW148" t="e">
        <f>AND('UP133'!X111,"AAAAAF9cfX4=")</f>
        <v>#VALUE!</v>
      </c>
      <c r="DX148" t="e">
        <f>AND('UP133'!Y111,"AAAAAF9cfX8=")</f>
        <v>#VALUE!</v>
      </c>
      <c r="DY148" t="e">
        <f>AND('UP133'!Z111,"AAAAAF9cfYA=")</f>
        <v>#VALUE!</v>
      </c>
      <c r="DZ148" t="e">
        <f>AND('UP133'!AA111,"AAAAAF9cfYE=")</f>
        <v>#VALUE!</v>
      </c>
      <c r="EA148" t="e">
        <f>AND('UP133'!AB111,"AAAAAF9cfYI=")</f>
        <v>#VALUE!</v>
      </c>
      <c r="EB148" t="e">
        <f>AND('UP133'!AC111,"AAAAAF9cfYM=")</f>
        <v>#VALUE!</v>
      </c>
      <c r="EC148" t="e">
        <f>AND('UP133'!AD111,"AAAAAF9cfYQ=")</f>
        <v>#VALUE!</v>
      </c>
      <c r="ED148" t="e">
        <f>AND('UP133'!AE111,"AAAAAF9cfYU=")</f>
        <v>#VALUE!</v>
      </c>
      <c r="EE148" t="e">
        <f>AND('UP133'!AF111,"AAAAAF9cfYY=")</f>
        <v>#VALUE!</v>
      </c>
      <c r="EF148" t="e">
        <f>AND('UP133'!AG111,"AAAAAF9cfYc=")</f>
        <v>#VALUE!</v>
      </c>
      <c r="EG148" t="e">
        <f>AND('UP133'!AH111,"AAAAAF9cfYg=")</f>
        <v>#VALUE!</v>
      </c>
      <c r="EH148" t="e">
        <f>AND('UP133'!AI111,"AAAAAF9cfYk=")</f>
        <v>#VALUE!</v>
      </c>
      <c r="EI148" t="e">
        <f>AND('UP133'!AJ111,"AAAAAF9cfYo=")</f>
        <v>#VALUE!</v>
      </c>
      <c r="EJ148" t="e">
        <f>AND('UP133'!AK111,"AAAAAF9cfYs=")</f>
        <v>#VALUE!</v>
      </c>
      <c r="EK148" t="e">
        <f>AND('UP133'!AL111,"AAAAAF9cfYw=")</f>
        <v>#VALUE!</v>
      </c>
      <c r="EL148" t="e">
        <f>AND('UP133'!AM111,"AAAAAF9cfY0=")</f>
        <v>#VALUE!</v>
      </c>
      <c r="EM148" t="e">
        <f>AND('UP133'!AN111,"AAAAAF9cfY4=")</f>
        <v>#VALUE!</v>
      </c>
      <c r="EN148" t="e">
        <f>AND('UP133'!AO111,"AAAAAF9cfY8=")</f>
        <v>#VALUE!</v>
      </c>
      <c r="EO148" t="e">
        <f>AND('UP133'!AP111,"AAAAAF9cfZA=")</f>
        <v>#VALUE!</v>
      </c>
      <c r="EP148" t="e">
        <f>AND('UP133'!AQ111,"AAAAAF9cfZE=")</f>
        <v>#VALUE!</v>
      </c>
      <c r="EQ148" t="e">
        <f>AND('UP133'!AR111,"AAAAAF9cfZI=")</f>
        <v>#VALUE!</v>
      </c>
      <c r="ER148" t="e">
        <f>AND('UP133'!AS111,"AAAAAF9cfZM=")</f>
        <v>#VALUE!</v>
      </c>
      <c r="ES148" t="e">
        <f>AND('UP133'!AT111,"AAAAAF9cfZQ=")</f>
        <v>#VALUE!</v>
      </c>
      <c r="ET148" t="e">
        <f>AND('UP133'!AU111,"AAAAAF9cfZU=")</f>
        <v>#VALUE!</v>
      </c>
      <c r="EU148" t="e">
        <f>AND('UP133'!AV111,"AAAAAF9cfZY=")</f>
        <v>#VALUE!</v>
      </c>
      <c r="EV148" t="e">
        <f>AND('UP133'!AW111,"AAAAAF9cfZc=")</f>
        <v>#VALUE!</v>
      </c>
      <c r="EW148" t="e">
        <f>AND('UP133'!AX111,"AAAAAF9cfZg=")</f>
        <v>#VALUE!</v>
      </c>
      <c r="EX148" t="e">
        <f>AND('UP133'!AY111,"AAAAAF9cfZk=")</f>
        <v>#VALUE!</v>
      </c>
      <c r="EY148" t="e">
        <f>AND('UP133'!AZ111,"AAAAAF9cfZo=")</f>
        <v>#VALUE!</v>
      </c>
      <c r="EZ148" t="e">
        <f>AND('UP133'!BA111,"AAAAAF9cfZs=")</f>
        <v>#VALUE!</v>
      </c>
      <c r="FA148" t="e">
        <f>AND('UP133'!BB111,"AAAAAF9cfZw=")</f>
        <v>#VALUE!</v>
      </c>
      <c r="FB148" t="e">
        <f>AND('UP133'!BC111,"AAAAAF9cfZ0=")</f>
        <v>#VALUE!</v>
      </c>
      <c r="FC148" t="e">
        <f>AND('UP133'!BD111,"AAAAAF9cfZ4=")</f>
        <v>#VALUE!</v>
      </c>
      <c r="FD148" t="e">
        <f>AND('UP133'!BE111,"AAAAAF9cfZ8=")</f>
        <v>#VALUE!</v>
      </c>
      <c r="FE148" t="e">
        <f>AND('UP133'!BF111,"AAAAAF9cfaA=")</f>
        <v>#VALUE!</v>
      </c>
      <c r="FF148" t="e">
        <f>AND('UP133'!BG111,"AAAAAF9cfaE=")</f>
        <v>#VALUE!</v>
      </c>
      <c r="FG148" t="e">
        <f>AND('UP133'!BH111,"AAAAAF9cfaI=")</f>
        <v>#VALUE!</v>
      </c>
      <c r="FH148" t="e">
        <f>AND('UP133'!BI111,"AAAAAF9cfaM=")</f>
        <v>#VALUE!</v>
      </c>
      <c r="FI148" t="e">
        <f>AND('UP133'!BJ111,"AAAAAF9cfaQ=")</f>
        <v>#VALUE!</v>
      </c>
      <c r="FJ148" t="e">
        <f>AND('UP133'!BK111,"AAAAAF9cfaU=")</f>
        <v>#VALUE!</v>
      </c>
      <c r="FK148" t="e">
        <f>AND('UP133'!BL111,"AAAAAF9cfaY=")</f>
        <v>#VALUE!</v>
      </c>
      <c r="FL148" t="e">
        <f>AND('UP133'!BM111,"AAAAAF9cfac=")</f>
        <v>#VALUE!</v>
      </c>
      <c r="FM148" t="e">
        <f>AND('UP133'!BN111,"AAAAAF9cfag=")</f>
        <v>#VALUE!</v>
      </c>
      <c r="FN148" t="e">
        <f>AND('UP133'!BO111,"AAAAAF9cfak=")</f>
        <v>#VALUE!</v>
      </c>
      <c r="FO148" t="e">
        <f>AND('UP133'!BP111,"AAAAAF9cfao=")</f>
        <v>#VALUE!</v>
      </c>
      <c r="FP148" t="e">
        <f>AND('UP133'!BQ111,"AAAAAF9cfas=")</f>
        <v>#VALUE!</v>
      </c>
      <c r="FQ148" t="e">
        <f>AND('UP133'!BR111,"AAAAAF9cfaw=")</f>
        <v>#VALUE!</v>
      </c>
      <c r="FR148" t="e">
        <f>AND('UP133'!BS111,"AAAAAF9cfa0=")</f>
        <v>#VALUE!</v>
      </c>
      <c r="FS148" t="e">
        <f>AND('UP133'!BT111,"AAAAAF9cfa4=")</f>
        <v>#VALUE!</v>
      </c>
      <c r="FT148" t="e">
        <f>AND('UP133'!BU111,"AAAAAF9cfa8=")</f>
        <v>#VALUE!</v>
      </c>
      <c r="FU148" t="e">
        <f>AND('UP133'!BV111,"AAAAAF9cfbA=")</f>
        <v>#VALUE!</v>
      </c>
      <c r="FV148" t="e">
        <f>AND('UP133'!BW111,"AAAAAF9cfbE=")</f>
        <v>#VALUE!</v>
      </c>
      <c r="FW148" t="e">
        <f>AND('UP133'!BX111,"AAAAAF9cfbI=")</f>
        <v>#VALUE!</v>
      </c>
      <c r="FX148" t="e">
        <f>AND('UP133'!BY111,"AAAAAF9cfbM=")</f>
        <v>#VALUE!</v>
      </c>
      <c r="FY148" t="e">
        <f>AND('UP133'!BZ111,"AAAAAF9cfbQ=")</f>
        <v>#VALUE!</v>
      </c>
      <c r="FZ148" t="e">
        <f>AND('UP133'!CA111,"AAAAAF9cfbU=")</f>
        <v>#VALUE!</v>
      </c>
      <c r="GA148" t="e">
        <f>AND('UP133'!CB111,"AAAAAF9cfbY=")</f>
        <v>#VALUE!</v>
      </c>
      <c r="GB148" t="e">
        <f>AND('UP133'!CC111,"AAAAAF9cfbc=")</f>
        <v>#VALUE!</v>
      </c>
      <c r="GC148" t="e">
        <f>AND('UP133'!CD111,"AAAAAF9cfbg=")</f>
        <v>#VALUE!</v>
      </c>
      <c r="GD148" t="e">
        <f>AND('UP133'!CE111,"AAAAAF9cfbk=")</f>
        <v>#VALUE!</v>
      </c>
      <c r="GE148" t="e">
        <f>AND('UP133'!CF111,"AAAAAF9cfbo=")</f>
        <v>#VALUE!</v>
      </c>
      <c r="GF148" t="e">
        <f>AND('UP133'!CG111,"AAAAAF9cfbs=")</f>
        <v>#VALUE!</v>
      </c>
      <c r="GG148" t="e">
        <f>AND('UP133'!CH111,"AAAAAF9cfbw=")</f>
        <v>#VALUE!</v>
      </c>
      <c r="GH148" t="e">
        <f>AND('UP133'!CI111,"AAAAAF9cfb0=")</f>
        <v>#VALUE!</v>
      </c>
      <c r="GI148" t="e">
        <f>AND('UP133'!CJ111,"AAAAAF9cfb4=")</f>
        <v>#VALUE!</v>
      </c>
      <c r="GJ148" t="e">
        <f>AND('UP133'!CK111,"AAAAAF9cfb8=")</f>
        <v>#VALUE!</v>
      </c>
      <c r="GK148" t="e">
        <f>AND('UP133'!CL111,"AAAAAF9cfcA=")</f>
        <v>#VALUE!</v>
      </c>
      <c r="GL148" t="e">
        <f>AND('UP133'!CM111,"AAAAAF9cfcE=")</f>
        <v>#VALUE!</v>
      </c>
      <c r="GM148" t="e">
        <f>AND('UP133'!CN111,"AAAAAF9cfcI=")</f>
        <v>#VALUE!</v>
      </c>
      <c r="GN148" t="e">
        <f>AND('UP133'!CO111,"AAAAAF9cfcM=")</f>
        <v>#VALUE!</v>
      </c>
      <c r="GO148" t="e">
        <f>AND('UP133'!CP111,"AAAAAF9cfcQ=")</f>
        <v>#VALUE!</v>
      </c>
      <c r="GP148" t="e">
        <f>AND('UP133'!CQ111,"AAAAAF9cfcU=")</f>
        <v>#VALUE!</v>
      </c>
      <c r="GQ148" t="e">
        <f>AND('UP133'!CR111,"AAAAAF9cfcY=")</f>
        <v>#VALUE!</v>
      </c>
      <c r="GR148" t="e">
        <f>AND('UP133'!CS111,"AAAAAF9cfcc=")</f>
        <v>#VALUE!</v>
      </c>
      <c r="GS148" t="e">
        <f>AND('UP133'!CT111,"AAAAAF9cfcg=")</f>
        <v>#VALUE!</v>
      </c>
      <c r="GT148" t="e">
        <f>AND('UP133'!CU111,"AAAAAF9cfck=")</f>
        <v>#VALUE!</v>
      </c>
      <c r="GU148" t="e">
        <f>AND('UP133'!CV111,"AAAAAF9cfco=")</f>
        <v>#VALUE!</v>
      </c>
      <c r="GV148" t="e">
        <f>AND('UP133'!CW111,"AAAAAF9cfcs=")</f>
        <v>#VALUE!</v>
      </c>
      <c r="GW148" t="e">
        <f>AND('UP133'!CX111,"AAAAAF9cfcw=")</f>
        <v>#VALUE!</v>
      </c>
      <c r="GX148" t="e">
        <f>AND('UP133'!CY111,"AAAAAF9cfc0=")</f>
        <v>#VALUE!</v>
      </c>
      <c r="GY148" t="e">
        <f>AND('UP133'!CZ111,"AAAAAF9cfc4=")</f>
        <v>#VALUE!</v>
      </c>
      <c r="GZ148" t="e">
        <f>AND('UP133'!DA111,"AAAAAF9cfc8=")</f>
        <v>#VALUE!</v>
      </c>
      <c r="HA148" t="e">
        <f>AND('UP133'!DB111,"AAAAAF9cfdA=")</f>
        <v>#VALUE!</v>
      </c>
      <c r="HB148" t="e">
        <f>AND('UP133'!DC111,"AAAAAF9cfdE=")</f>
        <v>#VALUE!</v>
      </c>
      <c r="HC148" t="e">
        <f>AND('UP133'!DD111,"AAAAAF9cfdI=")</f>
        <v>#VALUE!</v>
      </c>
      <c r="HD148" t="e">
        <f>AND('UP133'!DE111,"AAAAAF9cfdM=")</f>
        <v>#VALUE!</v>
      </c>
      <c r="HE148" t="e">
        <f>AND('UP133'!DF111,"AAAAAF9cfdQ=")</f>
        <v>#VALUE!</v>
      </c>
      <c r="HF148" t="e">
        <f>AND('UP133'!DG111,"AAAAAF9cfdU=")</f>
        <v>#VALUE!</v>
      </c>
      <c r="HG148" t="e">
        <f>AND('UP133'!DH111,"AAAAAF9cfdY=")</f>
        <v>#VALUE!</v>
      </c>
      <c r="HH148" t="e">
        <f>AND('UP133'!DI111,"AAAAAF9cfdc=")</f>
        <v>#VALUE!</v>
      </c>
      <c r="HI148" t="e">
        <f>AND('UP133'!DJ111,"AAAAAF9cfdg=")</f>
        <v>#VALUE!</v>
      </c>
      <c r="HJ148" t="e">
        <f>AND('UP133'!DK111,"AAAAAF9cfdk=")</f>
        <v>#VALUE!</v>
      </c>
      <c r="HK148" t="e">
        <f>AND('UP133'!DL111,"AAAAAF9cfdo=")</f>
        <v>#VALUE!</v>
      </c>
      <c r="HL148" t="e">
        <f>AND('UP133'!DM111,"AAAAAF9cfds=")</f>
        <v>#VALUE!</v>
      </c>
      <c r="HM148" t="e">
        <f>AND('UP133'!DN111,"AAAAAF9cfdw=")</f>
        <v>#VALUE!</v>
      </c>
      <c r="HN148" t="e">
        <f>AND('UP133'!DO111,"AAAAAF9cfd0=")</f>
        <v>#VALUE!</v>
      </c>
      <c r="HO148" t="e">
        <f>AND('UP133'!DP111,"AAAAAF9cfd4=")</f>
        <v>#VALUE!</v>
      </c>
      <c r="HP148" t="e">
        <f>AND('UP133'!DQ111,"AAAAAF9cfd8=")</f>
        <v>#VALUE!</v>
      </c>
      <c r="HQ148" t="e">
        <f>AND('UP133'!DR111,"AAAAAF9cfeA=")</f>
        <v>#VALUE!</v>
      </c>
      <c r="HR148" t="e">
        <f>AND('UP133'!DS111,"AAAAAF9cfeE=")</f>
        <v>#VALUE!</v>
      </c>
      <c r="HS148" t="e">
        <f>AND('UP133'!DT111,"AAAAAF9cfeI=")</f>
        <v>#VALUE!</v>
      </c>
      <c r="HT148" t="e">
        <f>AND('UP133'!DU111,"AAAAAF9cfeM=")</f>
        <v>#VALUE!</v>
      </c>
      <c r="HU148" t="e">
        <f>AND('UP133'!DV111,"AAAAAF9cfeQ=")</f>
        <v>#VALUE!</v>
      </c>
      <c r="HV148" t="e">
        <f>AND('UP133'!DW111,"AAAAAF9cfeU=")</f>
        <v>#VALUE!</v>
      </c>
      <c r="HW148" t="e">
        <f>AND('UP133'!DX111,"AAAAAF9cfeY=")</f>
        <v>#VALUE!</v>
      </c>
      <c r="HX148" t="e">
        <f>AND('UP133'!DY111,"AAAAAF9cfec=")</f>
        <v>#VALUE!</v>
      </c>
      <c r="HY148" t="e">
        <f>AND('UP133'!DZ111,"AAAAAF9cfeg=")</f>
        <v>#VALUE!</v>
      </c>
      <c r="HZ148" t="e">
        <f>AND('UP133'!EA111,"AAAAAF9cfek=")</f>
        <v>#VALUE!</v>
      </c>
      <c r="IA148" t="e">
        <f>AND('UP133'!EB111,"AAAAAF9cfeo=")</f>
        <v>#VALUE!</v>
      </c>
      <c r="IB148" t="e">
        <f>AND('UP133'!EC111,"AAAAAF9cfes=")</f>
        <v>#VALUE!</v>
      </c>
      <c r="IC148" t="e">
        <f>AND('UP133'!ED111,"AAAAAF9cfew=")</f>
        <v>#VALUE!</v>
      </c>
      <c r="ID148" t="e">
        <f>AND('UP133'!EE111,"AAAAAF9cfe0=")</f>
        <v>#VALUE!</v>
      </c>
      <c r="IE148" t="e">
        <f>AND('UP133'!EF111,"AAAAAF9cfe4=")</f>
        <v>#VALUE!</v>
      </c>
      <c r="IF148" t="e">
        <f>AND('UP133'!EG111,"AAAAAF9cfe8=")</f>
        <v>#VALUE!</v>
      </c>
      <c r="IG148" t="e">
        <f>AND('UP133'!EH111,"AAAAAF9cffA=")</f>
        <v>#VALUE!</v>
      </c>
      <c r="IH148" t="e">
        <f>AND('UP133'!EI111,"AAAAAF9cffE=")</f>
        <v>#VALUE!</v>
      </c>
      <c r="II148" t="e">
        <f>AND('UP133'!EJ111,"AAAAAF9cffI=")</f>
        <v>#VALUE!</v>
      </c>
      <c r="IJ148" t="e">
        <f>AND('UP133'!EK111,"AAAAAF9cffM=")</f>
        <v>#VALUE!</v>
      </c>
      <c r="IK148" t="e">
        <f>AND('UP133'!EL111,"AAAAAF9cffQ=")</f>
        <v>#VALUE!</v>
      </c>
      <c r="IL148" t="e">
        <f>AND('UP133'!EM111,"AAAAAF9cffU=")</f>
        <v>#VALUE!</v>
      </c>
      <c r="IM148" t="e">
        <f>AND('UP133'!EN111,"AAAAAF9cffY=")</f>
        <v>#VALUE!</v>
      </c>
      <c r="IN148" t="e">
        <f>AND('UP133'!EO111,"AAAAAF9cffc=")</f>
        <v>#VALUE!</v>
      </c>
      <c r="IO148" t="e">
        <f>AND('UP133'!EP111,"AAAAAF9cffg=")</f>
        <v>#VALUE!</v>
      </c>
      <c r="IP148" t="e">
        <f>AND('UP133'!EQ111,"AAAAAF9cffk=")</f>
        <v>#VALUE!</v>
      </c>
      <c r="IQ148" t="e">
        <f>AND('UP133'!ER111,"AAAAAF9cffo=")</f>
        <v>#VALUE!</v>
      </c>
      <c r="IR148" t="e">
        <f>AND('UP133'!ES111,"AAAAAF9cffs=")</f>
        <v>#VALUE!</v>
      </c>
      <c r="IS148" t="e">
        <f>AND('UP133'!ET111,"AAAAAF9cffw=")</f>
        <v>#VALUE!</v>
      </c>
      <c r="IT148" t="e">
        <f>AND('UP133'!EU111,"AAAAAF9cff0=")</f>
        <v>#VALUE!</v>
      </c>
      <c r="IU148" t="e">
        <f>AND('UP133'!EV111,"AAAAAF9cff4=")</f>
        <v>#VALUE!</v>
      </c>
      <c r="IV148" t="e">
        <f>AND('UP133'!EW111,"AAAAAF9cff8=")</f>
        <v>#VALUE!</v>
      </c>
    </row>
    <row r="149" spans="1:256">
      <c r="A149" t="e">
        <f>AND('UP133'!EX111,"AAAAAH8u+QA=")</f>
        <v>#VALUE!</v>
      </c>
      <c r="B149" t="e">
        <f>AND('UP133'!EY111,"AAAAAH8u+QE=")</f>
        <v>#VALUE!</v>
      </c>
      <c r="C149" t="e">
        <f>AND('UP133'!EZ111,"AAAAAH8u+QI=")</f>
        <v>#VALUE!</v>
      </c>
      <c r="D149" t="e">
        <f>AND('UP133'!FA111,"AAAAAH8u+QM=")</f>
        <v>#VALUE!</v>
      </c>
      <c r="E149" t="e">
        <f>AND('UP133'!FB111,"AAAAAH8u+QQ=")</f>
        <v>#VALUE!</v>
      </c>
      <c r="F149" t="e">
        <f>AND('UP133'!FC111,"AAAAAH8u+QU=")</f>
        <v>#VALUE!</v>
      </c>
      <c r="G149" t="e">
        <f>AND('UP133'!FD111,"AAAAAH8u+QY=")</f>
        <v>#VALUE!</v>
      </c>
      <c r="H149" t="e">
        <f>AND('UP133'!FE111,"AAAAAH8u+Qc=")</f>
        <v>#VALUE!</v>
      </c>
      <c r="I149" t="e">
        <f>AND('UP133'!FF111,"AAAAAH8u+Qg=")</f>
        <v>#VALUE!</v>
      </c>
      <c r="J149" t="e">
        <f>AND('UP133'!FG111,"AAAAAH8u+Qk=")</f>
        <v>#VALUE!</v>
      </c>
      <c r="K149" t="e">
        <f>AND('UP133'!FH111,"AAAAAH8u+Qo=")</f>
        <v>#VALUE!</v>
      </c>
      <c r="L149" t="e">
        <f>AND('UP133'!FI111,"AAAAAH8u+Qs=")</f>
        <v>#VALUE!</v>
      </c>
      <c r="M149" t="e">
        <f>AND('UP133'!FJ111,"AAAAAH8u+Qw=")</f>
        <v>#VALUE!</v>
      </c>
      <c r="N149" t="e">
        <f>AND('UP133'!FK111,"AAAAAH8u+Q0=")</f>
        <v>#VALUE!</v>
      </c>
      <c r="O149" t="e">
        <f>AND('UP133'!FL111,"AAAAAH8u+Q4=")</f>
        <v>#VALUE!</v>
      </c>
      <c r="P149" t="e">
        <f>AND('UP133'!FM111,"AAAAAH8u+Q8=")</f>
        <v>#VALUE!</v>
      </c>
      <c r="Q149" t="e">
        <f>AND('UP133'!FN111,"AAAAAH8u+RA=")</f>
        <v>#VALUE!</v>
      </c>
      <c r="R149" t="e">
        <f>AND('UP133'!FO111,"AAAAAH8u+RE=")</f>
        <v>#VALUE!</v>
      </c>
      <c r="S149" t="e">
        <f>AND('UP133'!FP111,"AAAAAH8u+RI=")</f>
        <v>#VALUE!</v>
      </c>
      <c r="T149" t="e">
        <f>AND('UP133'!FQ111,"AAAAAH8u+RM=")</f>
        <v>#VALUE!</v>
      </c>
      <c r="U149" t="e">
        <f>AND('UP133'!FR111,"AAAAAH8u+RQ=")</f>
        <v>#VALUE!</v>
      </c>
      <c r="V149" t="e">
        <f>AND('UP133'!FS111,"AAAAAH8u+RU=")</f>
        <v>#VALUE!</v>
      </c>
      <c r="W149" t="e">
        <f>AND('UP133'!FT111,"AAAAAH8u+RY=")</f>
        <v>#VALUE!</v>
      </c>
      <c r="X149" t="e">
        <f>AND('UP133'!FU111,"AAAAAH8u+Rc=")</f>
        <v>#VALUE!</v>
      </c>
      <c r="Y149" t="e">
        <f>AND('UP133'!FV111,"AAAAAH8u+Rg=")</f>
        <v>#VALUE!</v>
      </c>
      <c r="Z149" t="e">
        <f>AND('UP133'!FW111,"AAAAAH8u+Rk=")</f>
        <v>#VALUE!</v>
      </c>
      <c r="AA149" t="e">
        <f>AND('UP133'!FX111,"AAAAAH8u+Ro=")</f>
        <v>#VALUE!</v>
      </c>
      <c r="AB149" t="e">
        <f>AND('UP133'!FY111,"AAAAAH8u+Rs=")</f>
        <v>#VALUE!</v>
      </c>
      <c r="AC149" t="e">
        <f>AND('UP133'!FZ111,"AAAAAH8u+Rw=")</f>
        <v>#VALUE!</v>
      </c>
      <c r="AD149" t="e">
        <f>AND('UP133'!GA111,"AAAAAH8u+R0=")</f>
        <v>#VALUE!</v>
      </c>
      <c r="AE149" t="e">
        <f>AND('UP133'!GB111,"AAAAAH8u+R4=")</f>
        <v>#VALUE!</v>
      </c>
      <c r="AF149" t="e">
        <f>AND('UP133'!GC111,"AAAAAH8u+R8=")</f>
        <v>#VALUE!</v>
      </c>
      <c r="AG149" t="e">
        <f>AND('UP133'!GD111,"AAAAAH8u+SA=")</f>
        <v>#VALUE!</v>
      </c>
      <c r="AH149" t="e">
        <f>AND('UP133'!GE111,"AAAAAH8u+SE=")</f>
        <v>#VALUE!</v>
      </c>
      <c r="AI149" t="e">
        <f>AND('UP133'!GF111,"AAAAAH8u+SI=")</f>
        <v>#VALUE!</v>
      </c>
      <c r="AJ149" t="e">
        <f>AND('UP133'!GG111,"AAAAAH8u+SM=")</f>
        <v>#VALUE!</v>
      </c>
      <c r="AK149" t="e">
        <f>AND('UP133'!GH111,"AAAAAH8u+SQ=")</f>
        <v>#VALUE!</v>
      </c>
      <c r="AL149" t="e">
        <f>AND('UP133'!GI111,"AAAAAH8u+SU=")</f>
        <v>#VALUE!</v>
      </c>
      <c r="AM149" t="e">
        <f>AND('UP133'!GJ111,"AAAAAH8u+SY=")</f>
        <v>#VALUE!</v>
      </c>
      <c r="AN149" t="e">
        <f>AND('UP133'!GK111,"AAAAAH8u+Sc=")</f>
        <v>#VALUE!</v>
      </c>
      <c r="AO149" t="e">
        <f>AND('UP133'!GL111,"AAAAAH8u+Sg=")</f>
        <v>#VALUE!</v>
      </c>
      <c r="AP149" t="e">
        <f>AND('UP133'!GM111,"AAAAAH8u+Sk=")</f>
        <v>#VALUE!</v>
      </c>
      <c r="AQ149" t="e">
        <f>AND('UP133'!GN111,"AAAAAH8u+So=")</f>
        <v>#VALUE!</v>
      </c>
      <c r="AR149" t="e">
        <f>AND('UP133'!GO111,"AAAAAH8u+Ss=")</f>
        <v>#VALUE!</v>
      </c>
      <c r="AS149" t="e">
        <f>AND('UP133'!GP111,"AAAAAH8u+Sw=")</f>
        <v>#VALUE!</v>
      </c>
      <c r="AT149" t="e">
        <f>AND('UP133'!GQ111,"AAAAAH8u+S0=")</f>
        <v>#VALUE!</v>
      </c>
      <c r="AU149" t="e">
        <f>AND('UP133'!GR111,"AAAAAH8u+S4=")</f>
        <v>#VALUE!</v>
      </c>
      <c r="AV149" t="e">
        <f>AND('UP133'!GS111,"AAAAAH8u+S8=")</f>
        <v>#VALUE!</v>
      </c>
      <c r="AW149" t="e">
        <f>AND('UP133'!GT111,"AAAAAH8u+TA=")</f>
        <v>#VALUE!</v>
      </c>
      <c r="AX149" t="e">
        <f>AND('UP133'!GU111,"AAAAAH8u+TE=")</f>
        <v>#VALUE!</v>
      </c>
      <c r="AY149" t="e">
        <f>AND('UP133'!GV111,"AAAAAH8u+TI=")</f>
        <v>#VALUE!</v>
      </c>
      <c r="AZ149" t="e">
        <f>AND('UP133'!GW111,"AAAAAH8u+TM=")</f>
        <v>#VALUE!</v>
      </c>
      <c r="BA149" t="e">
        <f>AND('UP133'!GX111,"AAAAAH8u+TQ=")</f>
        <v>#VALUE!</v>
      </c>
      <c r="BB149" t="e">
        <f>AND('UP133'!GY111,"AAAAAH8u+TU=")</f>
        <v>#VALUE!</v>
      </c>
      <c r="BC149" t="e">
        <f>AND('UP133'!GZ111,"AAAAAH8u+TY=")</f>
        <v>#VALUE!</v>
      </c>
      <c r="BD149" t="e">
        <f>AND('UP133'!HA111,"AAAAAH8u+Tc=")</f>
        <v>#VALUE!</v>
      </c>
      <c r="BE149" t="e">
        <f>AND('UP133'!HB111,"AAAAAH8u+Tg=")</f>
        <v>#VALUE!</v>
      </c>
      <c r="BF149" t="e">
        <f>AND('UP133'!HC111,"AAAAAH8u+Tk=")</f>
        <v>#VALUE!</v>
      </c>
      <c r="BG149" t="e">
        <f>AND('UP133'!HD111,"AAAAAH8u+To=")</f>
        <v>#VALUE!</v>
      </c>
      <c r="BH149" t="e">
        <f>AND('UP133'!HE111,"AAAAAH8u+Ts=")</f>
        <v>#VALUE!</v>
      </c>
      <c r="BI149" t="e">
        <f>AND('UP133'!HF111,"AAAAAH8u+Tw=")</f>
        <v>#VALUE!</v>
      </c>
      <c r="BJ149" t="e">
        <f>AND('UP133'!HG111,"AAAAAH8u+T0=")</f>
        <v>#VALUE!</v>
      </c>
      <c r="BK149" t="e">
        <f>AND('UP133'!HH111,"AAAAAH8u+T4=")</f>
        <v>#VALUE!</v>
      </c>
      <c r="BL149" t="e">
        <f>AND('UP133'!HI111,"AAAAAH8u+T8=")</f>
        <v>#VALUE!</v>
      </c>
      <c r="BM149" t="e">
        <f>AND('UP133'!HJ111,"AAAAAH8u+UA=")</f>
        <v>#VALUE!</v>
      </c>
      <c r="BN149" t="e">
        <f>AND('UP133'!HK111,"AAAAAH8u+UE=")</f>
        <v>#VALUE!</v>
      </c>
      <c r="BO149" t="e">
        <f>AND('UP133'!HL111,"AAAAAH8u+UI=")</f>
        <v>#VALUE!</v>
      </c>
      <c r="BP149" t="e">
        <f>AND('UP133'!HM111,"AAAAAH8u+UM=")</f>
        <v>#VALUE!</v>
      </c>
      <c r="BQ149" t="e">
        <f>AND('UP133'!HN111,"AAAAAH8u+UQ=")</f>
        <v>#VALUE!</v>
      </c>
      <c r="BR149" t="e">
        <f>AND('UP133'!HO111,"AAAAAH8u+UU=")</f>
        <v>#VALUE!</v>
      </c>
      <c r="BS149" t="e">
        <f>AND('UP133'!HP111,"AAAAAH8u+UY=")</f>
        <v>#VALUE!</v>
      </c>
      <c r="BT149" t="e">
        <f>AND('UP133'!HQ111,"AAAAAH8u+Uc=")</f>
        <v>#VALUE!</v>
      </c>
      <c r="BU149" t="e">
        <f>AND('UP133'!HR111,"AAAAAH8u+Ug=")</f>
        <v>#VALUE!</v>
      </c>
      <c r="BV149" t="e">
        <f>AND('UP133'!HS111,"AAAAAH8u+Uk=")</f>
        <v>#VALUE!</v>
      </c>
      <c r="BW149" t="e">
        <f>AND('UP133'!HT111,"AAAAAH8u+Uo=")</f>
        <v>#VALUE!</v>
      </c>
      <c r="BX149" t="e">
        <f>AND('UP133'!HU111,"AAAAAH8u+Us=")</f>
        <v>#VALUE!</v>
      </c>
      <c r="BY149" t="e">
        <f>AND('UP133'!HV111,"AAAAAH8u+Uw=")</f>
        <v>#VALUE!</v>
      </c>
      <c r="BZ149" t="e">
        <f>AND('UP133'!HW111,"AAAAAH8u+U0=")</f>
        <v>#VALUE!</v>
      </c>
      <c r="CA149" t="e">
        <f>AND('UP133'!HX111,"AAAAAH8u+U4=")</f>
        <v>#VALUE!</v>
      </c>
      <c r="CB149" t="e">
        <f>AND('UP133'!HY111,"AAAAAH8u+U8=")</f>
        <v>#VALUE!</v>
      </c>
      <c r="CC149" t="e">
        <f>AND('UP133'!HZ111,"AAAAAH8u+VA=")</f>
        <v>#VALUE!</v>
      </c>
      <c r="CD149" t="e">
        <f>AND('UP133'!IA111,"AAAAAH8u+VE=")</f>
        <v>#VALUE!</v>
      </c>
      <c r="CE149" t="e">
        <f>AND('UP133'!IB111,"AAAAAH8u+VI=")</f>
        <v>#VALUE!</v>
      </c>
      <c r="CF149" t="e">
        <f>AND('UP133'!IC111,"AAAAAH8u+VM=")</f>
        <v>#VALUE!</v>
      </c>
      <c r="CG149" t="e">
        <f>AND('UP133'!ID111,"AAAAAH8u+VQ=")</f>
        <v>#VALUE!</v>
      </c>
      <c r="CH149" t="e">
        <f>AND('UP133'!IE111,"AAAAAH8u+VU=")</f>
        <v>#VALUE!</v>
      </c>
      <c r="CI149" t="e">
        <f>AND('UP133'!IF111,"AAAAAH8u+VY=")</f>
        <v>#VALUE!</v>
      </c>
      <c r="CJ149" t="e">
        <f>AND('UP133'!IG111,"AAAAAH8u+Vc=")</f>
        <v>#VALUE!</v>
      </c>
      <c r="CK149" t="e">
        <f>AND('UP133'!IH111,"AAAAAH8u+Vg=")</f>
        <v>#VALUE!</v>
      </c>
      <c r="CL149" t="e">
        <f>AND('UP133'!II111,"AAAAAH8u+Vk=")</f>
        <v>#VALUE!</v>
      </c>
      <c r="CM149" t="e">
        <f>AND('UP133'!IJ111,"AAAAAH8u+Vo=")</f>
        <v>#VALUE!</v>
      </c>
      <c r="CN149" t="e">
        <f>AND('UP133'!IK111,"AAAAAH8u+Vs=")</f>
        <v>#VALUE!</v>
      </c>
      <c r="CO149" t="e">
        <f>AND('UP133'!IL111,"AAAAAH8u+Vw=")</f>
        <v>#VALUE!</v>
      </c>
      <c r="CP149" t="e">
        <f>AND('UP133'!IM111,"AAAAAH8u+V0=")</f>
        <v>#VALUE!</v>
      </c>
      <c r="CQ149" t="e">
        <f>AND('UP133'!IN111,"AAAAAH8u+V4=")</f>
        <v>#VALUE!</v>
      </c>
      <c r="CR149" t="e">
        <f>AND('UP133'!IO111,"AAAAAH8u+V8=")</f>
        <v>#VALUE!</v>
      </c>
      <c r="CS149" t="e">
        <f>AND('UP133'!IP111,"AAAAAH8u+WA=")</f>
        <v>#VALUE!</v>
      </c>
      <c r="CT149" t="e">
        <f>AND('UP133'!IQ111,"AAAAAH8u+WE=")</f>
        <v>#VALUE!</v>
      </c>
      <c r="CU149">
        <f>IF('UP133'!112:112,"AAAAAH8u+WI=",0)</f>
        <v>0</v>
      </c>
      <c r="CV149" t="e">
        <f>AND('UP133'!A112,"AAAAAH8u+WM=")</f>
        <v>#VALUE!</v>
      </c>
      <c r="CW149" t="e">
        <f>AND('UP133'!B112,"AAAAAH8u+WQ=")</f>
        <v>#VALUE!</v>
      </c>
      <c r="CX149" t="e">
        <f>AND('UP133'!C112,"AAAAAH8u+WU=")</f>
        <v>#VALUE!</v>
      </c>
      <c r="CY149" t="e">
        <f>AND('UP133'!D112,"AAAAAH8u+WY=")</f>
        <v>#VALUE!</v>
      </c>
      <c r="CZ149" t="e">
        <f>AND('UP133'!E112,"AAAAAH8u+Wc=")</f>
        <v>#VALUE!</v>
      </c>
      <c r="DA149" t="e">
        <f>AND('UP133'!F112,"AAAAAH8u+Wg=")</f>
        <v>#VALUE!</v>
      </c>
      <c r="DB149" t="e">
        <f>AND('UP133'!G112,"AAAAAH8u+Wk=")</f>
        <v>#VALUE!</v>
      </c>
      <c r="DC149" t="e">
        <f>AND('UP133'!H112,"AAAAAH8u+Wo=")</f>
        <v>#VALUE!</v>
      </c>
      <c r="DD149" t="e">
        <f>AND('UP133'!I112,"AAAAAH8u+Ws=")</f>
        <v>#VALUE!</v>
      </c>
      <c r="DE149" t="e">
        <f>AND('UP133'!J112,"AAAAAH8u+Ww=")</f>
        <v>#VALUE!</v>
      </c>
      <c r="DF149" t="e">
        <f>AND('UP133'!K112,"AAAAAH8u+W0=")</f>
        <v>#VALUE!</v>
      </c>
      <c r="DG149" t="e">
        <f>AND('UP133'!L112,"AAAAAH8u+W4=")</f>
        <v>#VALUE!</v>
      </c>
      <c r="DH149" t="e">
        <f>AND('UP133'!M112,"AAAAAH8u+W8=")</f>
        <v>#VALUE!</v>
      </c>
      <c r="DI149" t="e">
        <f>AND('UP133'!N112,"AAAAAH8u+XA=")</f>
        <v>#VALUE!</v>
      </c>
      <c r="DJ149" t="e">
        <f>AND('UP133'!O112,"AAAAAH8u+XE=")</f>
        <v>#VALUE!</v>
      </c>
      <c r="DK149" t="e">
        <f>AND('UP133'!P112,"AAAAAH8u+XI=")</f>
        <v>#VALUE!</v>
      </c>
      <c r="DL149" t="e">
        <f>AND('UP133'!Q112,"AAAAAH8u+XM=")</f>
        <v>#VALUE!</v>
      </c>
      <c r="DM149" t="e">
        <f>AND('UP133'!R112,"AAAAAH8u+XQ=")</f>
        <v>#VALUE!</v>
      </c>
      <c r="DN149" t="e">
        <f>AND('UP133'!S112,"AAAAAH8u+XU=")</f>
        <v>#VALUE!</v>
      </c>
      <c r="DO149" t="e">
        <f>AND('UP133'!T112,"AAAAAH8u+XY=")</f>
        <v>#VALUE!</v>
      </c>
      <c r="DP149" t="e">
        <f>AND('UP133'!U112,"AAAAAH8u+Xc=")</f>
        <v>#VALUE!</v>
      </c>
      <c r="DQ149" t="e">
        <f>AND('UP133'!V112,"AAAAAH8u+Xg=")</f>
        <v>#VALUE!</v>
      </c>
      <c r="DR149" t="e">
        <f>AND('UP133'!W112,"AAAAAH8u+Xk=")</f>
        <v>#VALUE!</v>
      </c>
      <c r="DS149" t="e">
        <f>AND('UP133'!X112,"AAAAAH8u+Xo=")</f>
        <v>#VALUE!</v>
      </c>
      <c r="DT149" t="e">
        <f>AND('UP133'!Y112,"AAAAAH8u+Xs=")</f>
        <v>#VALUE!</v>
      </c>
      <c r="DU149" t="e">
        <f>AND('UP133'!Z112,"AAAAAH8u+Xw=")</f>
        <v>#VALUE!</v>
      </c>
      <c r="DV149" t="e">
        <f>AND('UP133'!AA112,"AAAAAH8u+X0=")</f>
        <v>#VALUE!</v>
      </c>
      <c r="DW149" t="e">
        <f>AND('UP133'!AB112,"AAAAAH8u+X4=")</f>
        <v>#VALUE!</v>
      </c>
      <c r="DX149" t="e">
        <f>AND('UP133'!AC112,"AAAAAH8u+X8=")</f>
        <v>#VALUE!</v>
      </c>
      <c r="DY149" t="e">
        <f>AND('UP133'!AD112,"AAAAAH8u+YA=")</f>
        <v>#VALUE!</v>
      </c>
      <c r="DZ149" t="e">
        <f>AND('UP133'!AE112,"AAAAAH8u+YE=")</f>
        <v>#VALUE!</v>
      </c>
      <c r="EA149" t="e">
        <f>AND('UP133'!AF112,"AAAAAH8u+YI=")</f>
        <v>#VALUE!</v>
      </c>
      <c r="EB149" t="e">
        <f>AND('UP133'!AG112,"AAAAAH8u+YM=")</f>
        <v>#VALUE!</v>
      </c>
      <c r="EC149" t="e">
        <f>AND('UP133'!AH112,"AAAAAH8u+YQ=")</f>
        <v>#VALUE!</v>
      </c>
      <c r="ED149" t="e">
        <f>AND('UP133'!AI112,"AAAAAH8u+YU=")</f>
        <v>#VALUE!</v>
      </c>
      <c r="EE149" t="e">
        <f>AND('UP133'!AJ112,"AAAAAH8u+YY=")</f>
        <v>#VALUE!</v>
      </c>
      <c r="EF149" t="e">
        <f>AND('UP133'!AK112,"AAAAAH8u+Yc=")</f>
        <v>#VALUE!</v>
      </c>
      <c r="EG149" t="e">
        <f>AND('UP133'!AL112,"AAAAAH8u+Yg=")</f>
        <v>#VALUE!</v>
      </c>
      <c r="EH149" t="e">
        <f>AND('UP133'!AM112,"AAAAAH8u+Yk=")</f>
        <v>#VALUE!</v>
      </c>
      <c r="EI149" t="e">
        <f>AND('UP133'!AN112,"AAAAAH8u+Yo=")</f>
        <v>#VALUE!</v>
      </c>
      <c r="EJ149" t="e">
        <f>AND('UP133'!AO112,"AAAAAH8u+Ys=")</f>
        <v>#VALUE!</v>
      </c>
      <c r="EK149" t="e">
        <f>AND('UP133'!AP112,"AAAAAH8u+Yw=")</f>
        <v>#VALUE!</v>
      </c>
      <c r="EL149" t="e">
        <f>AND('UP133'!AQ112,"AAAAAH8u+Y0=")</f>
        <v>#VALUE!</v>
      </c>
      <c r="EM149" t="e">
        <f>AND('UP133'!AR112,"AAAAAH8u+Y4=")</f>
        <v>#VALUE!</v>
      </c>
      <c r="EN149" t="e">
        <f>AND('UP133'!AS112,"AAAAAH8u+Y8=")</f>
        <v>#VALUE!</v>
      </c>
      <c r="EO149" t="e">
        <f>AND('UP133'!AT112,"AAAAAH8u+ZA=")</f>
        <v>#VALUE!</v>
      </c>
      <c r="EP149" t="e">
        <f>AND('UP133'!AU112,"AAAAAH8u+ZE=")</f>
        <v>#VALUE!</v>
      </c>
      <c r="EQ149" t="e">
        <f>AND('UP133'!AV112,"AAAAAH8u+ZI=")</f>
        <v>#VALUE!</v>
      </c>
      <c r="ER149" t="e">
        <f>AND('UP133'!AW112,"AAAAAH8u+ZM=")</f>
        <v>#VALUE!</v>
      </c>
      <c r="ES149" t="e">
        <f>AND('UP133'!AX112,"AAAAAH8u+ZQ=")</f>
        <v>#VALUE!</v>
      </c>
      <c r="ET149" t="e">
        <f>AND('UP133'!AY112,"AAAAAH8u+ZU=")</f>
        <v>#VALUE!</v>
      </c>
      <c r="EU149" t="e">
        <f>AND('UP133'!AZ112,"AAAAAH8u+ZY=")</f>
        <v>#VALUE!</v>
      </c>
      <c r="EV149" t="e">
        <f>AND('UP133'!BA112,"AAAAAH8u+Zc=")</f>
        <v>#VALUE!</v>
      </c>
      <c r="EW149" t="e">
        <f>AND('UP133'!BB112,"AAAAAH8u+Zg=")</f>
        <v>#VALUE!</v>
      </c>
      <c r="EX149" t="e">
        <f>AND('UP133'!BC112,"AAAAAH8u+Zk=")</f>
        <v>#VALUE!</v>
      </c>
      <c r="EY149" t="e">
        <f>AND('UP133'!BD112,"AAAAAH8u+Zo=")</f>
        <v>#VALUE!</v>
      </c>
      <c r="EZ149" t="e">
        <f>AND('UP133'!BE112,"AAAAAH8u+Zs=")</f>
        <v>#VALUE!</v>
      </c>
      <c r="FA149" t="e">
        <f>AND('UP133'!BF112,"AAAAAH8u+Zw=")</f>
        <v>#VALUE!</v>
      </c>
      <c r="FB149" t="e">
        <f>AND('UP133'!BG112,"AAAAAH8u+Z0=")</f>
        <v>#VALUE!</v>
      </c>
      <c r="FC149" t="e">
        <f>AND('UP133'!BH112,"AAAAAH8u+Z4=")</f>
        <v>#VALUE!</v>
      </c>
      <c r="FD149" t="e">
        <f>AND('UP133'!BI112,"AAAAAH8u+Z8=")</f>
        <v>#VALUE!</v>
      </c>
      <c r="FE149" t="e">
        <f>AND('UP133'!BJ112,"AAAAAH8u+aA=")</f>
        <v>#VALUE!</v>
      </c>
      <c r="FF149" t="e">
        <f>AND('UP133'!BK112,"AAAAAH8u+aE=")</f>
        <v>#VALUE!</v>
      </c>
      <c r="FG149" t="e">
        <f>AND('UP133'!BL112,"AAAAAH8u+aI=")</f>
        <v>#VALUE!</v>
      </c>
      <c r="FH149" t="e">
        <f>AND('UP133'!BM112,"AAAAAH8u+aM=")</f>
        <v>#VALUE!</v>
      </c>
      <c r="FI149" t="e">
        <f>AND('UP133'!BN112,"AAAAAH8u+aQ=")</f>
        <v>#VALUE!</v>
      </c>
      <c r="FJ149" t="e">
        <f>AND('UP133'!BO112,"AAAAAH8u+aU=")</f>
        <v>#VALUE!</v>
      </c>
      <c r="FK149" t="e">
        <f>AND('UP133'!BP112,"AAAAAH8u+aY=")</f>
        <v>#VALUE!</v>
      </c>
      <c r="FL149" t="e">
        <f>AND('UP133'!BQ112,"AAAAAH8u+ac=")</f>
        <v>#VALUE!</v>
      </c>
      <c r="FM149" t="e">
        <f>AND('UP133'!BR112,"AAAAAH8u+ag=")</f>
        <v>#VALUE!</v>
      </c>
      <c r="FN149" t="e">
        <f>AND('UP133'!BS112,"AAAAAH8u+ak=")</f>
        <v>#VALUE!</v>
      </c>
      <c r="FO149" t="e">
        <f>AND('UP133'!BT112,"AAAAAH8u+ao=")</f>
        <v>#VALUE!</v>
      </c>
      <c r="FP149" t="e">
        <f>AND('UP133'!BU112,"AAAAAH8u+as=")</f>
        <v>#VALUE!</v>
      </c>
      <c r="FQ149" t="e">
        <f>AND('UP133'!BV112,"AAAAAH8u+aw=")</f>
        <v>#VALUE!</v>
      </c>
      <c r="FR149" t="e">
        <f>AND('UP133'!BW112,"AAAAAH8u+a0=")</f>
        <v>#VALUE!</v>
      </c>
      <c r="FS149" t="e">
        <f>AND('UP133'!BX112,"AAAAAH8u+a4=")</f>
        <v>#VALUE!</v>
      </c>
      <c r="FT149" t="e">
        <f>AND('UP133'!BY112,"AAAAAH8u+a8=")</f>
        <v>#VALUE!</v>
      </c>
      <c r="FU149" t="e">
        <f>AND('UP133'!BZ112,"AAAAAH8u+bA=")</f>
        <v>#VALUE!</v>
      </c>
      <c r="FV149" t="e">
        <f>AND('UP133'!CA112,"AAAAAH8u+bE=")</f>
        <v>#VALUE!</v>
      </c>
      <c r="FW149" t="e">
        <f>AND('UP133'!CB112,"AAAAAH8u+bI=")</f>
        <v>#VALUE!</v>
      </c>
      <c r="FX149" t="e">
        <f>AND('UP133'!CC112,"AAAAAH8u+bM=")</f>
        <v>#VALUE!</v>
      </c>
      <c r="FY149" t="e">
        <f>AND('UP133'!CD112,"AAAAAH8u+bQ=")</f>
        <v>#VALUE!</v>
      </c>
      <c r="FZ149" t="e">
        <f>AND('UP133'!CE112,"AAAAAH8u+bU=")</f>
        <v>#VALUE!</v>
      </c>
      <c r="GA149" t="e">
        <f>AND('UP133'!CF112,"AAAAAH8u+bY=")</f>
        <v>#VALUE!</v>
      </c>
      <c r="GB149" t="e">
        <f>AND('UP133'!CG112,"AAAAAH8u+bc=")</f>
        <v>#VALUE!</v>
      </c>
      <c r="GC149" t="e">
        <f>AND('UP133'!CH112,"AAAAAH8u+bg=")</f>
        <v>#VALUE!</v>
      </c>
      <c r="GD149" t="e">
        <f>AND('UP133'!CI112,"AAAAAH8u+bk=")</f>
        <v>#VALUE!</v>
      </c>
      <c r="GE149" t="e">
        <f>AND('UP133'!CJ112,"AAAAAH8u+bo=")</f>
        <v>#VALUE!</v>
      </c>
      <c r="GF149" t="e">
        <f>AND('UP133'!CK112,"AAAAAH8u+bs=")</f>
        <v>#VALUE!</v>
      </c>
      <c r="GG149" t="e">
        <f>AND('UP133'!CL112,"AAAAAH8u+bw=")</f>
        <v>#VALUE!</v>
      </c>
      <c r="GH149" t="e">
        <f>AND('UP133'!CM112,"AAAAAH8u+b0=")</f>
        <v>#VALUE!</v>
      </c>
      <c r="GI149" t="e">
        <f>AND('UP133'!CN112,"AAAAAH8u+b4=")</f>
        <v>#VALUE!</v>
      </c>
      <c r="GJ149" t="e">
        <f>AND('UP133'!CO112,"AAAAAH8u+b8=")</f>
        <v>#VALUE!</v>
      </c>
      <c r="GK149" t="e">
        <f>AND('UP133'!CP112,"AAAAAH8u+cA=")</f>
        <v>#VALUE!</v>
      </c>
      <c r="GL149" t="e">
        <f>AND('UP133'!CQ112,"AAAAAH8u+cE=")</f>
        <v>#VALUE!</v>
      </c>
      <c r="GM149" t="e">
        <f>AND('UP133'!CR112,"AAAAAH8u+cI=")</f>
        <v>#VALUE!</v>
      </c>
      <c r="GN149" t="e">
        <f>AND('UP133'!CS112,"AAAAAH8u+cM=")</f>
        <v>#VALUE!</v>
      </c>
      <c r="GO149" t="e">
        <f>AND('UP133'!CT112,"AAAAAH8u+cQ=")</f>
        <v>#VALUE!</v>
      </c>
      <c r="GP149" t="e">
        <f>AND('UP133'!CU112,"AAAAAH8u+cU=")</f>
        <v>#VALUE!</v>
      </c>
      <c r="GQ149" t="e">
        <f>AND('UP133'!CV112,"AAAAAH8u+cY=")</f>
        <v>#VALUE!</v>
      </c>
      <c r="GR149" t="e">
        <f>AND('UP133'!CW112,"AAAAAH8u+cc=")</f>
        <v>#VALUE!</v>
      </c>
      <c r="GS149" t="e">
        <f>AND('UP133'!CX112,"AAAAAH8u+cg=")</f>
        <v>#VALUE!</v>
      </c>
      <c r="GT149" t="e">
        <f>AND('UP133'!CY112,"AAAAAH8u+ck=")</f>
        <v>#VALUE!</v>
      </c>
      <c r="GU149" t="e">
        <f>AND('UP133'!CZ112,"AAAAAH8u+co=")</f>
        <v>#VALUE!</v>
      </c>
      <c r="GV149" t="e">
        <f>AND('UP133'!DA112,"AAAAAH8u+cs=")</f>
        <v>#VALUE!</v>
      </c>
      <c r="GW149" t="e">
        <f>AND('UP133'!DB112,"AAAAAH8u+cw=")</f>
        <v>#VALUE!</v>
      </c>
      <c r="GX149" t="e">
        <f>AND('UP133'!DC112,"AAAAAH8u+c0=")</f>
        <v>#VALUE!</v>
      </c>
      <c r="GY149" t="e">
        <f>AND('UP133'!DD112,"AAAAAH8u+c4=")</f>
        <v>#VALUE!</v>
      </c>
      <c r="GZ149" t="e">
        <f>AND('UP133'!DE112,"AAAAAH8u+c8=")</f>
        <v>#VALUE!</v>
      </c>
      <c r="HA149" t="e">
        <f>AND('UP133'!DF112,"AAAAAH8u+dA=")</f>
        <v>#VALUE!</v>
      </c>
      <c r="HB149" t="e">
        <f>AND('UP133'!DG112,"AAAAAH8u+dE=")</f>
        <v>#VALUE!</v>
      </c>
      <c r="HC149" t="e">
        <f>AND('UP133'!DH112,"AAAAAH8u+dI=")</f>
        <v>#VALUE!</v>
      </c>
      <c r="HD149" t="e">
        <f>AND('UP133'!DI112,"AAAAAH8u+dM=")</f>
        <v>#VALUE!</v>
      </c>
      <c r="HE149" t="e">
        <f>AND('UP133'!DJ112,"AAAAAH8u+dQ=")</f>
        <v>#VALUE!</v>
      </c>
      <c r="HF149" t="e">
        <f>AND('UP133'!DK112,"AAAAAH8u+dU=")</f>
        <v>#VALUE!</v>
      </c>
      <c r="HG149" t="e">
        <f>AND('UP133'!DL112,"AAAAAH8u+dY=")</f>
        <v>#VALUE!</v>
      </c>
      <c r="HH149" t="e">
        <f>AND('UP133'!DM112,"AAAAAH8u+dc=")</f>
        <v>#VALUE!</v>
      </c>
      <c r="HI149" t="e">
        <f>AND('UP133'!DN112,"AAAAAH8u+dg=")</f>
        <v>#VALUE!</v>
      </c>
      <c r="HJ149" t="e">
        <f>AND('UP133'!DO112,"AAAAAH8u+dk=")</f>
        <v>#VALUE!</v>
      </c>
      <c r="HK149" t="e">
        <f>AND('UP133'!DP112,"AAAAAH8u+do=")</f>
        <v>#VALUE!</v>
      </c>
      <c r="HL149" t="e">
        <f>AND('UP133'!DQ112,"AAAAAH8u+ds=")</f>
        <v>#VALUE!</v>
      </c>
      <c r="HM149" t="e">
        <f>AND('UP133'!DR112,"AAAAAH8u+dw=")</f>
        <v>#VALUE!</v>
      </c>
      <c r="HN149" t="e">
        <f>AND('UP133'!DS112,"AAAAAH8u+d0=")</f>
        <v>#VALUE!</v>
      </c>
      <c r="HO149" t="e">
        <f>AND('UP133'!DT112,"AAAAAH8u+d4=")</f>
        <v>#VALUE!</v>
      </c>
      <c r="HP149" t="e">
        <f>AND('UP133'!DU112,"AAAAAH8u+d8=")</f>
        <v>#VALUE!</v>
      </c>
      <c r="HQ149" t="e">
        <f>AND('UP133'!DV112,"AAAAAH8u+eA=")</f>
        <v>#VALUE!</v>
      </c>
      <c r="HR149" t="e">
        <f>AND('UP133'!DW112,"AAAAAH8u+eE=")</f>
        <v>#VALUE!</v>
      </c>
      <c r="HS149" t="e">
        <f>AND('UP133'!DX112,"AAAAAH8u+eI=")</f>
        <v>#VALUE!</v>
      </c>
      <c r="HT149" t="e">
        <f>AND('UP133'!DY112,"AAAAAH8u+eM=")</f>
        <v>#VALUE!</v>
      </c>
      <c r="HU149" t="e">
        <f>AND('UP133'!DZ112,"AAAAAH8u+eQ=")</f>
        <v>#VALUE!</v>
      </c>
      <c r="HV149" t="e">
        <f>AND('UP133'!EA112,"AAAAAH8u+eU=")</f>
        <v>#VALUE!</v>
      </c>
      <c r="HW149" t="e">
        <f>AND('UP133'!EB112,"AAAAAH8u+eY=")</f>
        <v>#VALUE!</v>
      </c>
      <c r="HX149" t="e">
        <f>AND('UP133'!EC112,"AAAAAH8u+ec=")</f>
        <v>#VALUE!</v>
      </c>
      <c r="HY149" t="e">
        <f>AND('UP133'!ED112,"AAAAAH8u+eg=")</f>
        <v>#VALUE!</v>
      </c>
      <c r="HZ149" t="e">
        <f>AND('UP133'!EE112,"AAAAAH8u+ek=")</f>
        <v>#VALUE!</v>
      </c>
      <c r="IA149" t="e">
        <f>AND('UP133'!EF112,"AAAAAH8u+eo=")</f>
        <v>#VALUE!</v>
      </c>
      <c r="IB149" t="e">
        <f>AND('UP133'!EG112,"AAAAAH8u+es=")</f>
        <v>#VALUE!</v>
      </c>
      <c r="IC149" t="e">
        <f>AND('UP133'!EH112,"AAAAAH8u+ew=")</f>
        <v>#VALUE!</v>
      </c>
      <c r="ID149" t="e">
        <f>AND('UP133'!EI112,"AAAAAH8u+e0=")</f>
        <v>#VALUE!</v>
      </c>
      <c r="IE149" t="e">
        <f>AND('UP133'!EJ112,"AAAAAH8u+e4=")</f>
        <v>#VALUE!</v>
      </c>
      <c r="IF149" t="e">
        <f>AND('UP133'!EK112,"AAAAAH8u+e8=")</f>
        <v>#VALUE!</v>
      </c>
      <c r="IG149" t="e">
        <f>AND('UP133'!EL112,"AAAAAH8u+fA=")</f>
        <v>#VALUE!</v>
      </c>
      <c r="IH149" t="e">
        <f>AND('UP133'!EM112,"AAAAAH8u+fE=")</f>
        <v>#VALUE!</v>
      </c>
      <c r="II149" t="e">
        <f>AND('UP133'!EN112,"AAAAAH8u+fI=")</f>
        <v>#VALUE!</v>
      </c>
      <c r="IJ149" t="e">
        <f>AND('UP133'!EO112,"AAAAAH8u+fM=")</f>
        <v>#VALUE!</v>
      </c>
      <c r="IK149" t="e">
        <f>AND('UP133'!EP112,"AAAAAH8u+fQ=")</f>
        <v>#VALUE!</v>
      </c>
      <c r="IL149" t="e">
        <f>AND('UP133'!EQ112,"AAAAAH8u+fU=")</f>
        <v>#VALUE!</v>
      </c>
      <c r="IM149" t="e">
        <f>AND('UP133'!ER112,"AAAAAH8u+fY=")</f>
        <v>#VALUE!</v>
      </c>
      <c r="IN149" t="e">
        <f>AND('UP133'!ES112,"AAAAAH8u+fc=")</f>
        <v>#VALUE!</v>
      </c>
      <c r="IO149" t="e">
        <f>AND('UP133'!ET112,"AAAAAH8u+fg=")</f>
        <v>#VALUE!</v>
      </c>
      <c r="IP149" t="e">
        <f>AND('UP133'!EU112,"AAAAAH8u+fk=")</f>
        <v>#VALUE!</v>
      </c>
      <c r="IQ149" t="e">
        <f>AND('UP133'!EV112,"AAAAAH8u+fo=")</f>
        <v>#VALUE!</v>
      </c>
      <c r="IR149" t="e">
        <f>AND('UP133'!EW112,"AAAAAH8u+fs=")</f>
        <v>#VALUE!</v>
      </c>
      <c r="IS149" t="e">
        <f>AND('UP133'!EX112,"AAAAAH8u+fw=")</f>
        <v>#VALUE!</v>
      </c>
      <c r="IT149" t="e">
        <f>AND('UP133'!EY112,"AAAAAH8u+f0=")</f>
        <v>#VALUE!</v>
      </c>
      <c r="IU149" t="e">
        <f>AND('UP133'!EZ112,"AAAAAH8u+f4=")</f>
        <v>#VALUE!</v>
      </c>
      <c r="IV149" t="e">
        <f>AND('UP133'!FA112,"AAAAAH8u+f8=")</f>
        <v>#VALUE!</v>
      </c>
    </row>
    <row r="150" spans="1:256">
      <c r="A150" t="e">
        <f>AND('UP133'!FB112,"AAAAAFv/fwA=")</f>
        <v>#VALUE!</v>
      </c>
      <c r="B150" t="e">
        <f>AND('UP133'!FC112,"AAAAAFv/fwE=")</f>
        <v>#VALUE!</v>
      </c>
      <c r="C150" t="e">
        <f>AND('UP133'!FD112,"AAAAAFv/fwI=")</f>
        <v>#VALUE!</v>
      </c>
      <c r="D150" t="e">
        <f>AND('UP133'!FE112,"AAAAAFv/fwM=")</f>
        <v>#VALUE!</v>
      </c>
      <c r="E150" t="e">
        <f>AND('UP133'!FF112,"AAAAAFv/fwQ=")</f>
        <v>#VALUE!</v>
      </c>
      <c r="F150" t="e">
        <f>AND('UP133'!FG112,"AAAAAFv/fwU=")</f>
        <v>#VALUE!</v>
      </c>
      <c r="G150" t="e">
        <f>AND('UP133'!FH112,"AAAAAFv/fwY=")</f>
        <v>#VALUE!</v>
      </c>
      <c r="H150" t="e">
        <f>AND('UP133'!FI112,"AAAAAFv/fwc=")</f>
        <v>#VALUE!</v>
      </c>
      <c r="I150" t="e">
        <f>AND('UP133'!FJ112,"AAAAAFv/fwg=")</f>
        <v>#VALUE!</v>
      </c>
      <c r="J150" t="e">
        <f>AND('UP133'!FK112,"AAAAAFv/fwk=")</f>
        <v>#VALUE!</v>
      </c>
      <c r="K150" t="e">
        <f>AND('UP133'!FL112,"AAAAAFv/fwo=")</f>
        <v>#VALUE!</v>
      </c>
      <c r="L150" t="e">
        <f>AND('UP133'!FM112,"AAAAAFv/fws=")</f>
        <v>#VALUE!</v>
      </c>
      <c r="M150" t="e">
        <f>AND('UP133'!FN112,"AAAAAFv/fww=")</f>
        <v>#VALUE!</v>
      </c>
      <c r="N150" t="e">
        <f>AND('UP133'!FO112,"AAAAAFv/fw0=")</f>
        <v>#VALUE!</v>
      </c>
      <c r="O150" t="e">
        <f>AND('UP133'!FP112,"AAAAAFv/fw4=")</f>
        <v>#VALUE!</v>
      </c>
      <c r="P150" t="e">
        <f>AND('UP133'!FQ112,"AAAAAFv/fw8=")</f>
        <v>#VALUE!</v>
      </c>
      <c r="Q150" t="e">
        <f>AND('UP133'!FR112,"AAAAAFv/fxA=")</f>
        <v>#VALUE!</v>
      </c>
      <c r="R150" t="e">
        <f>AND('UP133'!FS112,"AAAAAFv/fxE=")</f>
        <v>#VALUE!</v>
      </c>
      <c r="S150" t="e">
        <f>AND('UP133'!FT112,"AAAAAFv/fxI=")</f>
        <v>#VALUE!</v>
      </c>
      <c r="T150" t="e">
        <f>AND('UP133'!FU112,"AAAAAFv/fxM=")</f>
        <v>#VALUE!</v>
      </c>
      <c r="U150" t="e">
        <f>AND('UP133'!FV112,"AAAAAFv/fxQ=")</f>
        <v>#VALUE!</v>
      </c>
      <c r="V150" t="e">
        <f>AND('UP133'!FW112,"AAAAAFv/fxU=")</f>
        <v>#VALUE!</v>
      </c>
      <c r="W150" t="e">
        <f>AND('UP133'!FX112,"AAAAAFv/fxY=")</f>
        <v>#VALUE!</v>
      </c>
      <c r="X150" t="e">
        <f>AND('UP133'!FY112,"AAAAAFv/fxc=")</f>
        <v>#VALUE!</v>
      </c>
      <c r="Y150" t="e">
        <f>AND('UP133'!FZ112,"AAAAAFv/fxg=")</f>
        <v>#VALUE!</v>
      </c>
      <c r="Z150" t="e">
        <f>AND('UP133'!GA112,"AAAAAFv/fxk=")</f>
        <v>#VALUE!</v>
      </c>
      <c r="AA150" t="e">
        <f>AND('UP133'!GB112,"AAAAAFv/fxo=")</f>
        <v>#VALUE!</v>
      </c>
      <c r="AB150" t="e">
        <f>AND('UP133'!GC112,"AAAAAFv/fxs=")</f>
        <v>#VALUE!</v>
      </c>
      <c r="AC150" t="e">
        <f>AND('UP133'!GD112,"AAAAAFv/fxw=")</f>
        <v>#VALUE!</v>
      </c>
      <c r="AD150" t="e">
        <f>AND('UP133'!GE112,"AAAAAFv/fx0=")</f>
        <v>#VALUE!</v>
      </c>
      <c r="AE150" t="e">
        <f>AND('UP133'!GF112,"AAAAAFv/fx4=")</f>
        <v>#VALUE!</v>
      </c>
      <c r="AF150" t="e">
        <f>AND('UP133'!GG112,"AAAAAFv/fx8=")</f>
        <v>#VALUE!</v>
      </c>
      <c r="AG150" t="e">
        <f>AND('UP133'!GH112,"AAAAAFv/fyA=")</f>
        <v>#VALUE!</v>
      </c>
      <c r="AH150" t="e">
        <f>AND('UP133'!GI112,"AAAAAFv/fyE=")</f>
        <v>#VALUE!</v>
      </c>
      <c r="AI150" t="e">
        <f>AND('UP133'!GJ112,"AAAAAFv/fyI=")</f>
        <v>#VALUE!</v>
      </c>
      <c r="AJ150" t="e">
        <f>AND('UP133'!GK112,"AAAAAFv/fyM=")</f>
        <v>#VALUE!</v>
      </c>
      <c r="AK150" t="e">
        <f>AND('UP133'!GL112,"AAAAAFv/fyQ=")</f>
        <v>#VALUE!</v>
      </c>
      <c r="AL150" t="e">
        <f>AND('UP133'!GM112,"AAAAAFv/fyU=")</f>
        <v>#VALUE!</v>
      </c>
      <c r="AM150" t="e">
        <f>AND('UP133'!GN112,"AAAAAFv/fyY=")</f>
        <v>#VALUE!</v>
      </c>
      <c r="AN150" t="e">
        <f>AND('UP133'!GO112,"AAAAAFv/fyc=")</f>
        <v>#VALUE!</v>
      </c>
      <c r="AO150" t="e">
        <f>AND('UP133'!GP112,"AAAAAFv/fyg=")</f>
        <v>#VALUE!</v>
      </c>
      <c r="AP150" t="e">
        <f>AND('UP133'!GQ112,"AAAAAFv/fyk=")</f>
        <v>#VALUE!</v>
      </c>
      <c r="AQ150" t="e">
        <f>AND('UP133'!GR112,"AAAAAFv/fyo=")</f>
        <v>#VALUE!</v>
      </c>
      <c r="AR150" t="e">
        <f>AND('UP133'!GS112,"AAAAAFv/fys=")</f>
        <v>#VALUE!</v>
      </c>
      <c r="AS150" t="e">
        <f>AND('UP133'!GT112,"AAAAAFv/fyw=")</f>
        <v>#VALUE!</v>
      </c>
      <c r="AT150" t="e">
        <f>AND('UP133'!GU112,"AAAAAFv/fy0=")</f>
        <v>#VALUE!</v>
      </c>
      <c r="AU150" t="e">
        <f>AND('UP133'!GV112,"AAAAAFv/fy4=")</f>
        <v>#VALUE!</v>
      </c>
      <c r="AV150" t="e">
        <f>AND('UP133'!GW112,"AAAAAFv/fy8=")</f>
        <v>#VALUE!</v>
      </c>
      <c r="AW150" t="e">
        <f>AND('UP133'!GX112,"AAAAAFv/fzA=")</f>
        <v>#VALUE!</v>
      </c>
      <c r="AX150" t="e">
        <f>AND('UP133'!GY112,"AAAAAFv/fzE=")</f>
        <v>#VALUE!</v>
      </c>
      <c r="AY150" t="e">
        <f>AND('UP133'!GZ112,"AAAAAFv/fzI=")</f>
        <v>#VALUE!</v>
      </c>
      <c r="AZ150" t="e">
        <f>AND('UP133'!HA112,"AAAAAFv/fzM=")</f>
        <v>#VALUE!</v>
      </c>
      <c r="BA150" t="e">
        <f>AND('UP133'!HB112,"AAAAAFv/fzQ=")</f>
        <v>#VALUE!</v>
      </c>
      <c r="BB150" t="e">
        <f>AND('UP133'!HC112,"AAAAAFv/fzU=")</f>
        <v>#VALUE!</v>
      </c>
      <c r="BC150" t="e">
        <f>AND('UP133'!HD112,"AAAAAFv/fzY=")</f>
        <v>#VALUE!</v>
      </c>
      <c r="BD150" t="e">
        <f>AND('UP133'!HE112,"AAAAAFv/fzc=")</f>
        <v>#VALUE!</v>
      </c>
      <c r="BE150" t="e">
        <f>AND('UP133'!HF112,"AAAAAFv/fzg=")</f>
        <v>#VALUE!</v>
      </c>
      <c r="BF150" t="e">
        <f>AND('UP133'!HG112,"AAAAAFv/fzk=")</f>
        <v>#VALUE!</v>
      </c>
      <c r="BG150" t="e">
        <f>AND('UP133'!HH112,"AAAAAFv/fzo=")</f>
        <v>#VALUE!</v>
      </c>
      <c r="BH150" t="e">
        <f>AND('UP133'!HI112,"AAAAAFv/fzs=")</f>
        <v>#VALUE!</v>
      </c>
      <c r="BI150" t="e">
        <f>AND('UP133'!HJ112,"AAAAAFv/fzw=")</f>
        <v>#VALUE!</v>
      </c>
      <c r="BJ150" t="e">
        <f>AND('UP133'!HK112,"AAAAAFv/fz0=")</f>
        <v>#VALUE!</v>
      </c>
      <c r="BK150" t="e">
        <f>AND('UP133'!HL112,"AAAAAFv/fz4=")</f>
        <v>#VALUE!</v>
      </c>
      <c r="BL150" t="e">
        <f>AND('UP133'!HM112,"AAAAAFv/fz8=")</f>
        <v>#VALUE!</v>
      </c>
      <c r="BM150" t="e">
        <f>AND('UP133'!HN112,"AAAAAFv/f0A=")</f>
        <v>#VALUE!</v>
      </c>
      <c r="BN150" t="e">
        <f>AND('UP133'!HO112,"AAAAAFv/f0E=")</f>
        <v>#VALUE!</v>
      </c>
      <c r="BO150" t="e">
        <f>AND('UP133'!HP112,"AAAAAFv/f0I=")</f>
        <v>#VALUE!</v>
      </c>
      <c r="BP150" t="e">
        <f>AND('UP133'!HQ112,"AAAAAFv/f0M=")</f>
        <v>#VALUE!</v>
      </c>
      <c r="BQ150" t="e">
        <f>AND('UP133'!HR112,"AAAAAFv/f0Q=")</f>
        <v>#VALUE!</v>
      </c>
      <c r="BR150" t="e">
        <f>AND('UP133'!HS112,"AAAAAFv/f0U=")</f>
        <v>#VALUE!</v>
      </c>
      <c r="BS150" t="e">
        <f>AND('UP133'!HT112,"AAAAAFv/f0Y=")</f>
        <v>#VALUE!</v>
      </c>
      <c r="BT150" t="e">
        <f>AND('UP133'!HU112,"AAAAAFv/f0c=")</f>
        <v>#VALUE!</v>
      </c>
      <c r="BU150" t="e">
        <f>AND('UP133'!HV112,"AAAAAFv/f0g=")</f>
        <v>#VALUE!</v>
      </c>
      <c r="BV150" t="e">
        <f>AND('UP133'!HW112,"AAAAAFv/f0k=")</f>
        <v>#VALUE!</v>
      </c>
      <c r="BW150" t="e">
        <f>AND('UP133'!HX112,"AAAAAFv/f0o=")</f>
        <v>#VALUE!</v>
      </c>
      <c r="BX150" t="e">
        <f>AND('UP133'!HY112,"AAAAAFv/f0s=")</f>
        <v>#VALUE!</v>
      </c>
      <c r="BY150" t="e">
        <f>AND('UP133'!HZ112,"AAAAAFv/f0w=")</f>
        <v>#VALUE!</v>
      </c>
      <c r="BZ150" t="e">
        <f>AND('UP133'!IA112,"AAAAAFv/f00=")</f>
        <v>#VALUE!</v>
      </c>
      <c r="CA150" t="e">
        <f>AND('UP133'!IB112,"AAAAAFv/f04=")</f>
        <v>#VALUE!</v>
      </c>
      <c r="CB150" t="e">
        <f>AND('UP133'!IC112,"AAAAAFv/f08=")</f>
        <v>#VALUE!</v>
      </c>
      <c r="CC150" t="e">
        <f>AND('UP133'!ID112,"AAAAAFv/f1A=")</f>
        <v>#VALUE!</v>
      </c>
      <c r="CD150" t="e">
        <f>AND('UP133'!IE112,"AAAAAFv/f1E=")</f>
        <v>#VALUE!</v>
      </c>
      <c r="CE150" t="e">
        <f>AND('UP133'!IF112,"AAAAAFv/f1I=")</f>
        <v>#VALUE!</v>
      </c>
      <c r="CF150" t="e">
        <f>AND('UP133'!IG112,"AAAAAFv/f1M=")</f>
        <v>#VALUE!</v>
      </c>
      <c r="CG150" t="e">
        <f>AND('UP133'!IH112,"AAAAAFv/f1Q=")</f>
        <v>#VALUE!</v>
      </c>
      <c r="CH150" t="e">
        <f>AND('UP133'!II112,"AAAAAFv/f1U=")</f>
        <v>#VALUE!</v>
      </c>
      <c r="CI150" t="e">
        <f>AND('UP133'!IJ112,"AAAAAFv/f1Y=")</f>
        <v>#VALUE!</v>
      </c>
      <c r="CJ150" t="e">
        <f>AND('UP133'!IK112,"AAAAAFv/f1c=")</f>
        <v>#VALUE!</v>
      </c>
      <c r="CK150" t="e">
        <f>AND('UP133'!IL112,"AAAAAFv/f1g=")</f>
        <v>#VALUE!</v>
      </c>
      <c r="CL150" t="e">
        <f>AND('UP133'!IM112,"AAAAAFv/f1k=")</f>
        <v>#VALUE!</v>
      </c>
      <c r="CM150" t="e">
        <f>AND('UP133'!IN112,"AAAAAFv/f1o=")</f>
        <v>#VALUE!</v>
      </c>
      <c r="CN150" t="e">
        <f>AND('UP133'!IO112,"AAAAAFv/f1s=")</f>
        <v>#VALUE!</v>
      </c>
      <c r="CO150" t="e">
        <f>AND('UP133'!IP112,"AAAAAFv/f1w=")</f>
        <v>#VALUE!</v>
      </c>
      <c r="CP150" t="e">
        <f>AND('UP133'!IQ112,"AAAAAFv/f10=")</f>
        <v>#VALUE!</v>
      </c>
      <c r="CQ150">
        <f>IF('UP133'!113:113,"AAAAAFv/f14=",0)</f>
        <v>0</v>
      </c>
      <c r="CR150" t="e">
        <f>AND('UP133'!A113,"AAAAAFv/f18=")</f>
        <v>#VALUE!</v>
      </c>
      <c r="CS150" t="e">
        <f>AND('UP133'!B113,"AAAAAFv/f2A=")</f>
        <v>#VALUE!</v>
      </c>
      <c r="CT150" t="e">
        <f>AND('UP133'!C113,"AAAAAFv/f2E=")</f>
        <v>#VALUE!</v>
      </c>
      <c r="CU150" t="e">
        <f>AND('UP133'!D113,"AAAAAFv/f2I=")</f>
        <v>#VALUE!</v>
      </c>
      <c r="CV150" t="e">
        <f>AND('UP133'!E113,"AAAAAFv/f2M=")</f>
        <v>#VALUE!</v>
      </c>
      <c r="CW150" t="e">
        <f>AND('UP133'!F113,"AAAAAFv/f2Q=")</f>
        <v>#VALUE!</v>
      </c>
      <c r="CX150" t="e">
        <f>AND('UP133'!G113,"AAAAAFv/f2U=")</f>
        <v>#VALUE!</v>
      </c>
      <c r="CY150" t="e">
        <f>AND('UP133'!H113,"AAAAAFv/f2Y=")</f>
        <v>#VALUE!</v>
      </c>
      <c r="CZ150" t="e">
        <f>AND('UP133'!I113,"AAAAAFv/f2c=")</f>
        <v>#VALUE!</v>
      </c>
      <c r="DA150" t="e">
        <f>AND('UP133'!J113,"AAAAAFv/f2g=")</f>
        <v>#VALUE!</v>
      </c>
      <c r="DB150" t="e">
        <f>AND('UP133'!K113,"AAAAAFv/f2k=")</f>
        <v>#VALUE!</v>
      </c>
      <c r="DC150" t="e">
        <f>AND('UP133'!L113,"AAAAAFv/f2o=")</f>
        <v>#VALUE!</v>
      </c>
      <c r="DD150" t="e">
        <f>AND('UP133'!M113,"AAAAAFv/f2s=")</f>
        <v>#VALUE!</v>
      </c>
      <c r="DE150" t="e">
        <f>AND('UP133'!N113,"AAAAAFv/f2w=")</f>
        <v>#VALUE!</v>
      </c>
      <c r="DF150" t="e">
        <f>AND('UP133'!O113,"AAAAAFv/f20=")</f>
        <v>#VALUE!</v>
      </c>
      <c r="DG150" t="e">
        <f>AND('UP133'!P113,"AAAAAFv/f24=")</f>
        <v>#VALUE!</v>
      </c>
      <c r="DH150" t="e">
        <f>AND('UP133'!Q113,"AAAAAFv/f28=")</f>
        <v>#VALUE!</v>
      </c>
      <c r="DI150" t="e">
        <f>AND('UP133'!R113,"AAAAAFv/f3A=")</f>
        <v>#VALUE!</v>
      </c>
      <c r="DJ150" t="e">
        <f>AND('UP133'!S113,"AAAAAFv/f3E=")</f>
        <v>#VALUE!</v>
      </c>
      <c r="DK150" t="e">
        <f>AND('UP133'!T113,"AAAAAFv/f3I=")</f>
        <v>#VALUE!</v>
      </c>
      <c r="DL150" t="e">
        <f>AND('UP133'!U113,"AAAAAFv/f3M=")</f>
        <v>#VALUE!</v>
      </c>
      <c r="DM150" t="e">
        <f>AND('UP133'!V113,"AAAAAFv/f3Q=")</f>
        <v>#VALUE!</v>
      </c>
      <c r="DN150" t="e">
        <f>AND('UP133'!W113,"AAAAAFv/f3U=")</f>
        <v>#VALUE!</v>
      </c>
      <c r="DO150" t="e">
        <f>AND('UP133'!X113,"AAAAAFv/f3Y=")</f>
        <v>#VALUE!</v>
      </c>
      <c r="DP150" t="e">
        <f>AND('UP133'!Y113,"AAAAAFv/f3c=")</f>
        <v>#VALUE!</v>
      </c>
      <c r="DQ150" t="e">
        <f>AND('UP133'!Z113,"AAAAAFv/f3g=")</f>
        <v>#VALUE!</v>
      </c>
      <c r="DR150" t="e">
        <f>AND('UP133'!AA113,"AAAAAFv/f3k=")</f>
        <v>#VALUE!</v>
      </c>
      <c r="DS150" t="e">
        <f>AND('UP133'!AB113,"AAAAAFv/f3o=")</f>
        <v>#VALUE!</v>
      </c>
      <c r="DT150" t="e">
        <f>AND('UP133'!AC113,"AAAAAFv/f3s=")</f>
        <v>#VALUE!</v>
      </c>
      <c r="DU150" t="e">
        <f>AND('UP133'!AD113,"AAAAAFv/f3w=")</f>
        <v>#VALUE!</v>
      </c>
      <c r="DV150" t="e">
        <f>AND('UP133'!AE113,"AAAAAFv/f30=")</f>
        <v>#VALUE!</v>
      </c>
      <c r="DW150" t="e">
        <f>AND('UP133'!AF113,"AAAAAFv/f34=")</f>
        <v>#VALUE!</v>
      </c>
      <c r="DX150" t="e">
        <f>AND('UP133'!AG113,"AAAAAFv/f38=")</f>
        <v>#VALUE!</v>
      </c>
      <c r="DY150" t="e">
        <f>AND('UP133'!AH113,"AAAAAFv/f4A=")</f>
        <v>#VALUE!</v>
      </c>
      <c r="DZ150" t="e">
        <f>AND('UP133'!AI113,"AAAAAFv/f4E=")</f>
        <v>#VALUE!</v>
      </c>
      <c r="EA150" t="e">
        <f>AND('UP133'!AJ113,"AAAAAFv/f4I=")</f>
        <v>#VALUE!</v>
      </c>
      <c r="EB150" t="e">
        <f>AND('UP133'!AK113,"AAAAAFv/f4M=")</f>
        <v>#VALUE!</v>
      </c>
      <c r="EC150" t="e">
        <f>AND('UP133'!AL113,"AAAAAFv/f4Q=")</f>
        <v>#VALUE!</v>
      </c>
      <c r="ED150" t="e">
        <f>AND('UP133'!AM113,"AAAAAFv/f4U=")</f>
        <v>#VALUE!</v>
      </c>
      <c r="EE150" t="e">
        <f>AND('UP133'!AN113,"AAAAAFv/f4Y=")</f>
        <v>#VALUE!</v>
      </c>
      <c r="EF150" t="e">
        <f>AND('UP133'!AO113,"AAAAAFv/f4c=")</f>
        <v>#VALUE!</v>
      </c>
      <c r="EG150" t="e">
        <f>AND('UP133'!AP113,"AAAAAFv/f4g=")</f>
        <v>#VALUE!</v>
      </c>
      <c r="EH150" t="e">
        <f>AND('UP133'!AQ113,"AAAAAFv/f4k=")</f>
        <v>#VALUE!</v>
      </c>
      <c r="EI150" t="e">
        <f>AND('UP133'!AR113,"AAAAAFv/f4o=")</f>
        <v>#VALUE!</v>
      </c>
      <c r="EJ150" t="e">
        <f>AND('UP133'!AS113,"AAAAAFv/f4s=")</f>
        <v>#VALUE!</v>
      </c>
      <c r="EK150" t="e">
        <f>AND('UP133'!AT113,"AAAAAFv/f4w=")</f>
        <v>#VALUE!</v>
      </c>
      <c r="EL150" t="e">
        <f>AND('UP133'!AU113,"AAAAAFv/f40=")</f>
        <v>#VALUE!</v>
      </c>
      <c r="EM150" t="e">
        <f>AND('UP133'!AV113,"AAAAAFv/f44=")</f>
        <v>#VALUE!</v>
      </c>
      <c r="EN150" t="e">
        <f>AND('UP133'!AW113,"AAAAAFv/f48=")</f>
        <v>#VALUE!</v>
      </c>
      <c r="EO150" t="e">
        <f>AND('UP133'!AX113,"AAAAAFv/f5A=")</f>
        <v>#VALUE!</v>
      </c>
      <c r="EP150" t="e">
        <f>AND('UP133'!AY113,"AAAAAFv/f5E=")</f>
        <v>#VALUE!</v>
      </c>
      <c r="EQ150" t="e">
        <f>AND('UP133'!AZ113,"AAAAAFv/f5I=")</f>
        <v>#VALUE!</v>
      </c>
      <c r="ER150" t="e">
        <f>AND('UP133'!BA113,"AAAAAFv/f5M=")</f>
        <v>#VALUE!</v>
      </c>
      <c r="ES150" t="e">
        <f>AND('UP133'!BB113,"AAAAAFv/f5Q=")</f>
        <v>#VALUE!</v>
      </c>
      <c r="ET150" t="e">
        <f>AND('UP133'!BC113,"AAAAAFv/f5U=")</f>
        <v>#VALUE!</v>
      </c>
      <c r="EU150" t="e">
        <f>AND('UP133'!BD113,"AAAAAFv/f5Y=")</f>
        <v>#VALUE!</v>
      </c>
      <c r="EV150" t="e">
        <f>AND('UP133'!BE113,"AAAAAFv/f5c=")</f>
        <v>#VALUE!</v>
      </c>
      <c r="EW150" t="e">
        <f>AND('UP133'!BF113,"AAAAAFv/f5g=")</f>
        <v>#VALUE!</v>
      </c>
      <c r="EX150" t="e">
        <f>AND('UP133'!BG113,"AAAAAFv/f5k=")</f>
        <v>#VALUE!</v>
      </c>
      <c r="EY150" t="e">
        <f>AND('UP133'!BH113,"AAAAAFv/f5o=")</f>
        <v>#VALUE!</v>
      </c>
      <c r="EZ150" t="e">
        <f>AND('UP133'!BI113,"AAAAAFv/f5s=")</f>
        <v>#VALUE!</v>
      </c>
      <c r="FA150" t="e">
        <f>AND('UP133'!BJ113,"AAAAAFv/f5w=")</f>
        <v>#VALUE!</v>
      </c>
      <c r="FB150" t="e">
        <f>AND('UP133'!BK113,"AAAAAFv/f50=")</f>
        <v>#VALUE!</v>
      </c>
      <c r="FC150" t="e">
        <f>AND('UP133'!BL113,"AAAAAFv/f54=")</f>
        <v>#VALUE!</v>
      </c>
      <c r="FD150" t="e">
        <f>AND('UP133'!BM113,"AAAAAFv/f58=")</f>
        <v>#VALUE!</v>
      </c>
      <c r="FE150" t="e">
        <f>AND('UP133'!BN113,"AAAAAFv/f6A=")</f>
        <v>#VALUE!</v>
      </c>
      <c r="FF150" t="e">
        <f>AND('UP133'!BO113,"AAAAAFv/f6E=")</f>
        <v>#VALUE!</v>
      </c>
      <c r="FG150" t="e">
        <f>AND('UP133'!BP113,"AAAAAFv/f6I=")</f>
        <v>#VALUE!</v>
      </c>
      <c r="FH150" t="e">
        <f>AND('UP133'!BQ113,"AAAAAFv/f6M=")</f>
        <v>#VALUE!</v>
      </c>
      <c r="FI150" t="e">
        <f>AND('UP133'!BR113,"AAAAAFv/f6Q=")</f>
        <v>#VALUE!</v>
      </c>
      <c r="FJ150" t="e">
        <f>AND('UP133'!BS113,"AAAAAFv/f6U=")</f>
        <v>#VALUE!</v>
      </c>
      <c r="FK150" t="e">
        <f>AND('UP133'!BT113,"AAAAAFv/f6Y=")</f>
        <v>#VALUE!</v>
      </c>
      <c r="FL150" t="e">
        <f>AND('UP133'!BU113,"AAAAAFv/f6c=")</f>
        <v>#VALUE!</v>
      </c>
      <c r="FM150" t="e">
        <f>AND('UP133'!BV113,"AAAAAFv/f6g=")</f>
        <v>#VALUE!</v>
      </c>
      <c r="FN150" t="e">
        <f>AND('UP133'!BW113,"AAAAAFv/f6k=")</f>
        <v>#VALUE!</v>
      </c>
      <c r="FO150" t="e">
        <f>AND('UP133'!BX113,"AAAAAFv/f6o=")</f>
        <v>#VALUE!</v>
      </c>
      <c r="FP150" t="e">
        <f>AND('UP133'!BY113,"AAAAAFv/f6s=")</f>
        <v>#VALUE!</v>
      </c>
      <c r="FQ150" t="e">
        <f>AND('UP133'!BZ113,"AAAAAFv/f6w=")</f>
        <v>#VALUE!</v>
      </c>
      <c r="FR150" t="e">
        <f>AND('UP133'!CA113,"AAAAAFv/f60=")</f>
        <v>#VALUE!</v>
      </c>
      <c r="FS150" t="e">
        <f>AND('UP133'!CB113,"AAAAAFv/f64=")</f>
        <v>#VALUE!</v>
      </c>
      <c r="FT150" t="e">
        <f>AND('UP133'!CC113,"AAAAAFv/f68=")</f>
        <v>#VALUE!</v>
      </c>
      <c r="FU150" t="e">
        <f>AND('UP133'!CD113,"AAAAAFv/f7A=")</f>
        <v>#VALUE!</v>
      </c>
      <c r="FV150" t="e">
        <f>AND('UP133'!CE113,"AAAAAFv/f7E=")</f>
        <v>#VALUE!</v>
      </c>
      <c r="FW150" t="e">
        <f>AND('UP133'!CF113,"AAAAAFv/f7I=")</f>
        <v>#VALUE!</v>
      </c>
      <c r="FX150" t="e">
        <f>AND('UP133'!CG113,"AAAAAFv/f7M=")</f>
        <v>#VALUE!</v>
      </c>
      <c r="FY150" t="e">
        <f>AND('UP133'!CH113,"AAAAAFv/f7Q=")</f>
        <v>#VALUE!</v>
      </c>
      <c r="FZ150" t="e">
        <f>AND('UP133'!CI113,"AAAAAFv/f7U=")</f>
        <v>#VALUE!</v>
      </c>
      <c r="GA150" t="e">
        <f>AND('UP133'!CJ113,"AAAAAFv/f7Y=")</f>
        <v>#VALUE!</v>
      </c>
      <c r="GB150" t="e">
        <f>AND('UP133'!CK113,"AAAAAFv/f7c=")</f>
        <v>#VALUE!</v>
      </c>
      <c r="GC150" t="e">
        <f>AND('UP133'!CL113,"AAAAAFv/f7g=")</f>
        <v>#VALUE!</v>
      </c>
      <c r="GD150" t="e">
        <f>AND('UP133'!CM113,"AAAAAFv/f7k=")</f>
        <v>#VALUE!</v>
      </c>
      <c r="GE150" t="e">
        <f>AND('UP133'!CN113,"AAAAAFv/f7o=")</f>
        <v>#VALUE!</v>
      </c>
      <c r="GF150" t="e">
        <f>AND('UP133'!CO113,"AAAAAFv/f7s=")</f>
        <v>#VALUE!</v>
      </c>
      <c r="GG150" t="e">
        <f>AND('UP133'!CP113,"AAAAAFv/f7w=")</f>
        <v>#VALUE!</v>
      </c>
      <c r="GH150" t="e">
        <f>AND('UP133'!CQ113,"AAAAAFv/f70=")</f>
        <v>#VALUE!</v>
      </c>
      <c r="GI150" t="e">
        <f>AND('UP133'!CR113,"AAAAAFv/f74=")</f>
        <v>#VALUE!</v>
      </c>
      <c r="GJ150" t="e">
        <f>AND('UP133'!CS113,"AAAAAFv/f78=")</f>
        <v>#VALUE!</v>
      </c>
      <c r="GK150" t="e">
        <f>AND('UP133'!CT113,"AAAAAFv/f8A=")</f>
        <v>#VALUE!</v>
      </c>
      <c r="GL150" t="e">
        <f>AND('UP133'!CU113,"AAAAAFv/f8E=")</f>
        <v>#VALUE!</v>
      </c>
      <c r="GM150" t="e">
        <f>AND('UP133'!CV113,"AAAAAFv/f8I=")</f>
        <v>#VALUE!</v>
      </c>
      <c r="GN150" t="e">
        <f>AND('UP133'!CW113,"AAAAAFv/f8M=")</f>
        <v>#VALUE!</v>
      </c>
      <c r="GO150" t="e">
        <f>AND('UP133'!CX113,"AAAAAFv/f8Q=")</f>
        <v>#VALUE!</v>
      </c>
      <c r="GP150" t="e">
        <f>AND('UP133'!CY113,"AAAAAFv/f8U=")</f>
        <v>#VALUE!</v>
      </c>
      <c r="GQ150" t="e">
        <f>AND('UP133'!CZ113,"AAAAAFv/f8Y=")</f>
        <v>#VALUE!</v>
      </c>
      <c r="GR150" t="e">
        <f>AND('UP133'!DA113,"AAAAAFv/f8c=")</f>
        <v>#VALUE!</v>
      </c>
      <c r="GS150" t="e">
        <f>AND('UP133'!DB113,"AAAAAFv/f8g=")</f>
        <v>#VALUE!</v>
      </c>
      <c r="GT150" t="e">
        <f>AND('UP133'!DC113,"AAAAAFv/f8k=")</f>
        <v>#VALUE!</v>
      </c>
      <c r="GU150" t="e">
        <f>AND('UP133'!DD113,"AAAAAFv/f8o=")</f>
        <v>#VALUE!</v>
      </c>
      <c r="GV150" t="e">
        <f>AND('UP133'!DE113,"AAAAAFv/f8s=")</f>
        <v>#VALUE!</v>
      </c>
      <c r="GW150" t="e">
        <f>AND('UP133'!DF113,"AAAAAFv/f8w=")</f>
        <v>#VALUE!</v>
      </c>
      <c r="GX150" t="e">
        <f>AND('UP133'!DG113,"AAAAAFv/f80=")</f>
        <v>#VALUE!</v>
      </c>
      <c r="GY150" t="e">
        <f>AND('UP133'!DH113,"AAAAAFv/f84=")</f>
        <v>#VALUE!</v>
      </c>
      <c r="GZ150" t="e">
        <f>AND('UP133'!DI113,"AAAAAFv/f88=")</f>
        <v>#VALUE!</v>
      </c>
      <c r="HA150" t="e">
        <f>AND('UP133'!DJ113,"AAAAAFv/f9A=")</f>
        <v>#VALUE!</v>
      </c>
      <c r="HB150" t="e">
        <f>AND('UP133'!DK113,"AAAAAFv/f9E=")</f>
        <v>#VALUE!</v>
      </c>
      <c r="HC150" t="e">
        <f>AND('UP133'!DL113,"AAAAAFv/f9I=")</f>
        <v>#VALUE!</v>
      </c>
      <c r="HD150" t="e">
        <f>AND('UP133'!DM113,"AAAAAFv/f9M=")</f>
        <v>#VALUE!</v>
      </c>
      <c r="HE150" t="e">
        <f>AND('UP133'!DN113,"AAAAAFv/f9Q=")</f>
        <v>#VALUE!</v>
      </c>
      <c r="HF150" t="e">
        <f>AND('UP133'!DO113,"AAAAAFv/f9U=")</f>
        <v>#VALUE!</v>
      </c>
      <c r="HG150" t="e">
        <f>AND('UP133'!DP113,"AAAAAFv/f9Y=")</f>
        <v>#VALUE!</v>
      </c>
      <c r="HH150" t="e">
        <f>AND('UP133'!DQ113,"AAAAAFv/f9c=")</f>
        <v>#VALUE!</v>
      </c>
      <c r="HI150" t="e">
        <f>AND('UP133'!DR113,"AAAAAFv/f9g=")</f>
        <v>#VALUE!</v>
      </c>
      <c r="HJ150" t="e">
        <f>AND('UP133'!DS113,"AAAAAFv/f9k=")</f>
        <v>#VALUE!</v>
      </c>
      <c r="HK150" t="e">
        <f>AND('UP133'!DT113,"AAAAAFv/f9o=")</f>
        <v>#VALUE!</v>
      </c>
      <c r="HL150" t="e">
        <f>AND('UP133'!DU113,"AAAAAFv/f9s=")</f>
        <v>#VALUE!</v>
      </c>
      <c r="HM150" t="e">
        <f>AND('UP133'!DV113,"AAAAAFv/f9w=")</f>
        <v>#VALUE!</v>
      </c>
      <c r="HN150" t="e">
        <f>AND('UP133'!DW113,"AAAAAFv/f90=")</f>
        <v>#VALUE!</v>
      </c>
      <c r="HO150" t="e">
        <f>AND('UP133'!DX113,"AAAAAFv/f94=")</f>
        <v>#VALUE!</v>
      </c>
      <c r="HP150" t="e">
        <f>AND('UP133'!DY113,"AAAAAFv/f98=")</f>
        <v>#VALUE!</v>
      </c>
      <c r="HQ150" t="e">
        <f>AND('UP133'!DZ113,"AAAAAFv/f+A=")</f>
        <v>#VALUE!</v>
      </c>
      <c r="HR150" t="e">
        <f>AND('UP133'!EA113,"AAAAAFv/f+E=")</f>
        <v>#VALUE!</v>
      </c>
      <c r="HS150" t="e">
        <f>AND('UP133'!EB113,"AAAAAFv/f+I=")</f>
        <v>#VALUE!</v>
      </c>
      <c r="HT150" t="e">
        <f>AND('UP133'!EC113,"AAAAAFv/f+M=")</f>
        <v>#VALUE!</v>
      </c>
      <c r="HU150" t="e">
        <f>AND('UP133'!ED113,"AAAAAFv/f+Q=")</f>
        <v>#VALUE!</v>
      </c>
      <c r="HV150" t="e">
        <f>AND('UP133'!EE113,"AAAAAFv/f+U=")</f>
        <v>#VALUE!</v>
      </c>
      <c r="HW150" t="e">
        <f>AND('UP133'!EF113,"AAAAAFv/f+Y=")</f>
        <v>#VALUE!</v>
      </c>
      <c r="HX150" t="e">
        <f>AND('UP133'!EG113,"AAAAAFv/f+c=")</f>
        <v>#VALUE!</v>
      </c>
      <c r="HY150" t="e">
        <f>AND('UP133'!EH113,"AAAAAFv/f+g=")</f>
        <v>#VALUE!</v>
      </c>
      <c r="HZ150" t="e">
        <f>AND('UP133'!EI113,"AAAAAFv/f+k=")</f>
        <v>#VALUE!</v>
      </c>
      <c r="IA150" t="e">
        <f>AND('UP133'!EJ113,"AAAAAFv/f+o=")</f>
        <v>#VALUE!</v>
      </c>
      <c r="IB150" t="e">
        <f>AND('UP133'!EK113,"AAAAAFv/f+s=")</f>
        <v>#VALUE!</v>
      </c>
      <c r="IC150" t="e">
        <f>AND('UP133'!EL113,"AAAAAFv/f+w=")</f>
        <v>#VALUE!</v>
      </c>
      <c r="ID150" t="e">
        <f>AND('UP133'!EM113,"AAAAAFv/f+0=")</f>
        <v>#VALUE!</v>
      </c>
      <c r="IE150" t="e">
        <f>AND('UP133'!EN113,"AAAAAFv/f+4=")</f>
        <v>#VALUE!</v>
      </c>
      <c r="IF150" t="e">
        <f>AND('UP133'!EO113,"AAAAAFv/f+8=")</f>
        <v>#VALUE!</v>
      </c>
      <c r="IG150" t="e">
        <f>AND('UP133'!EP113,"AAAAAFv/f/A=")</f>
        <v>#VALUE!</v>
      </c>
      <c r="IH150" t="e">
        <f>AND('UP133'!EQ113,"AAAAAFv/f/E=")</f>
        <v>#VALUE!</v>
      </c>
      <c r="II150" t="e">
        <f>AND('UP133'!ER113,"AAAAAFv/f/I=")</f>
        <v>#VALUE!</v>
      </c>
      <c r="IJ150" t="e">
        <f>AND('UP133'!ES113,"AAAAAFv/f/M=")</f>
        <v>#VALUE!</v>
      </c>
      <c r="IK150" t="e">
        <f>AND('UP133'!ET113,"AAAAAFv/f/Q=")</f>
        <v>#VALUE!</v>
      </c>
      <c r="IL150" t="e">
        <f>AND('UP133'!EU113,"AAAAAFv/f/U=")</f>
        <v>#VALUE!</v>
      </c>
      <c r="IM150" t="e">
        <f>AND('UP133'!EV113,"AAAAAFv/f/Y=")</f>
        <v>#VALUE!</v>
      </c>
      <c r="IN150" t="e">
        <f>AND('UP133'!EW113,"AAAAAFv/f/c=")</f>
        <v>#VALUE!</v>
      </c>
      <c r="IO150" t="e">
        <f>AND('UP133'!EX113,"AAAAAFv/f/g=")</f>
        <v>#VALUE!</v>
      </c>
      <c r="IP150" t="e">
        <f>AND('UP133'!EY113,"AAAAAFv/f/k=")</f>
        <v>#VALUE!</v>
      </c>
      <c r="IQ150" t="e">
        <f>AND('UP133'!EZ113,"AAAAAFv/f/o=")</f>
        <v>#VALUE!</v>
      </c>
      <c r="IR150" t="e">
        <f>AND('UP133'!FA113,"AAAAAFv/f/s=")</f>
        <v>#VALUE!</v>
      </c>
      <c r="IS150" t="e">
        <f>AND('UP133'!FB113,"AAAAAFv/f/w=")</f>
        <v>#VALUE!</v>
      </c>
      <c r="IT150" t="e">
        <f>AND('UP133'!FC113,"AAAAAFv/f/0=")</f>
        <v>#VALUE!</v>
      </c>
      <c r="IU150" t="e">
        <f>AND('UP133'!FD113,"AAAAAFv/f/4=")</f>
        <v>#VALUE!</v>
      </c>
      <c r="IV150" t="e">
        <f>AND('UP133'!FE113,"AAAAAFv/f/8=")</f>
        <v>#VALUE!</v>
      </c>
    </row>
    <row r="151" spans="1:256">
      <c r="A151" t="e">
        <f>AND('UP133'!FF113,"AAAAAH/mnwA=")</f>
        <v>#VALUE!</v>
      </c>
      <c r="B151" t="e">
        <f>AND('UP133'!FG113,"AAAAAH/mnwE=")</f>
        <v>#VALUE!</v>
      </c>
      <c r="C151" t="e">
        <f>AND('UP133'!FH113,"AAAAAH/mnwI=")</f>
        <v>#VALUE!</v>
      </c>
      <c r="D151" t="e">
        <f>AND('UP133'!FI113,"AAAAAH/mnwM=")</f>
        <v>#VALUE!</v>
      </c>
      <c r="E151" t="e">
        <f>AND('UP133'!FJ113,"AAAAAH/mnwQ=")</f>
        <v>#VALUE!</v>
      </c>
      <c r="F151" t="e">
        <f>AND('UP133'!FK113,"AAAAAH/mnwU=")</f>
        <v>#VALUE!</v>
      </c>
      <c r="G151" t="e">
        <f>AND('UP133'!FL113,"AAAAAH/mnwY=")</f>
        <v>#VALUE!</v>
      </c>
      <c r="H151" t="e">
        <f>AND('UP133'!FM113,"AAAAAH/mnwc=")</f>
        <v>#VALUE!</v>
      </c>
      <c r="I151" t="e">
        <f>AND('UP133'!FN113,"AAAAAH/mnwg=")</f>
        <v>#VALUE!</v>
      </c>
      <c r="J151" t="e">
        <f>AND('UP133'!FO113,"AAAAAH/mnwk=")</f>
        <v>#VALUE!</v>
      </c>
      <c r="K151" t="e">
        <f>AND('UP133'!FP113,"AAAAAH/mnwo=")</f>
        <v>#VALUE!</v>
      </c>
      <c r="L151" t="e">
        <f>AND('UP133'!FQ113,"AAAAAH/mnws=")</f>
        <v>#VALUE!</v>
      </c>
      <c r="M151" t="e">
        <f>AND('UP133'!FR113,"AAAAAH/mnww=")</f>
        <v>#VALUE!</v>
      </c>
      <c r="N151" t="e">
        <f>AND('UP133'!FS113,"AAAAAH/mnw0=")</f>
        <v>#VALUE!</v>
      </c>
      <c r="O151" t="e">
        <f>AND('UP133'!FT113,"AAAAAH/mnw4=")</f>
        <v>#VALUE!</v>
      </c>
      <c r="P151" t="e">
        <f>AND('UP133'!FU113,"AAAAAH/mnw8=")</f>
        <v>#VALUE!</v>
      </c>
      <c r="Q151" t="e">
        <f>AND('UP133'!FV113,"AAAAAH/mnxA=")</f>
        <v>#VALUE!</v>
      </c>
      <c r="R151" t="e">
        <f>AND('UP133'!FW113,"AAAAAH/mnxE=")</f>
        <v>#VALUE!</v>
      </c>
      <c r="S151" t="e">
        <f>AND('UP133'!FX113,"AAAAAH/mnxI=")</f>
        <v>#VALUE!</v>
      </c>
      <c r="T151" t="e">
        <f>AND('UP133'!FY113,"AAAAAH/mnxM=")</f>
        <v>#VALUE!</v>
      </c>
      <c r="U151" t="e">
        <f>AND('UP133'!FZ113,"AAAAAH/mnxQ=")</f>
        <v>#VALUE!</v>
      </c>
      <c r="V151" t="e">
        <f>AND('UP133'!GA113,"AAAAAH/mnxU=")</f>
        <v>#VALUE!</v>
      </c>
      <c r="W151" t="e">
        <f>AND('UP133'!GB113,"AAAAAH/mnxY=")</f>
        <v>#VALUE!</v>
      </c>
      <c r="X151" t="e">
        <f>AND('UP133'!GC113,"AAAAAH/mnxc=")</f>
        <v>#VALUE!</v>
      </c>
      <c r="Y151" t="e">
        <f>AND('UP133'!GD113,"AAAAAH/mnxg=")</f>
        <v>#VALUE!</v>
      </c>
      <c r="Z151" t="e">
        <f>AND('UP133'!GE113,"AAAAAH/mnxk=")</f>
        <v>#VALUE!</v>
      </c>
      <c r="AA151" t="e">
        <f>AND('UP133'!GF113,"AAAAAH/mnxo=")</f>
        <v>#VALUE!</v>
      </c>
      <c r="AB151" t="e">
        <f>AND('UP133'!GG113,"AAAAAH/mnxs=")</f>
        <v>#VALUE!</v>
      </c>
      <c r="AC151" t="e">
        <f>AND('UP133'!GH113,"AAAAAH/mnxw=")</f>
        <v>#VALUE!</v>
      </c>
      <c r="AD151" t="e">
        <f>AND('UP133'!GI113,"AAAAAH/mnx0=")</f>
        <v>#VALUE!</v>
      </c>
      <c r="AE151" t="e">
        <f>AND('UP133'!GJ113,"AAAAAH/mnx4=")</f>
        <v>#VALUE!</v>
      </c>
      <c r="AF151" t="e">
        <f>AND('UP133'!GK113,"AAAAAH/mnx8=")</f>
        <v>#VALUE!</v>
      </c>
      <c r="AG151" t="e">
        <f>AND('UP133'!GL113,"AAAAAH/mnyA=")</f>
        <v>#VALUE!</v>
      </c>
      <c r="AH151" t="e">
        <f>AND('UP133'!GM113,"AAAAAH/mnyE=")</f>
        <v>#VALUE!</v>
      </c>
      <c r="AI151" t="e">
        <f>AND('UP133'!GN113,"AAAAAH/mnyI=")</f>
        <v>#VALUE!</v>
      </c>
      <c r="AJ151" t="e">
        <f>AND('UP133'!GO113,"AAAAAH/mnyM=")</f>
        <v>#VALUE!</v>
      </c>
      <c r="AK151" t="e">
        <f>AND('UP133'!GP113,"AAAAAH/mnyQ=")</f>
        <v>#VALUE!</v>
      </c>
      <c r="AL151" t="e">
        <f>AND('UP133'!GQ113,"AAAAAH/mnyU=")</f>
        <v>#VALUE!</v>
      </c>
      <c r="AM151" t="e">
        <f>AND('UP133'!GR113,"AAAAAH/mnyY=")</f>
        <v>#VALUE!</v>
      </c>
      <c r="AN151" t="e">
        <f>AND('UP133'!GS113,"AAAAAH/mnyc=")</f>
        <v>#VALUE!</v>
      </c>
      <c r="AO151" t="e">
        <f>AND('UP133'!GT113,"AAAAAH/mnyg=")</f>
        <v>#VALUE!</v>
      </c>
      <c r="AP151" t="e">
        <f>AND('UP133'!GU113,"AAAAAH/mnyk=")</f>
        <v>#VALUE!</v>
      </c>
      <c r="AQ151" t="e">
        <f>AND('UP133'!GV113,"AAAAAH/mnyo=")</f>
        <v>#VALUE!</v>
      </c>
      <c r="AR151" t="e">
        <f>AND('UP133'!GW113,"AAAAAH/mnys=")</f>
        <v>#VALUE!</v>
      </c>
      <c r="AS151" t="e">
        <f>AND('UP133'!GX113,"AAAAAH/mnyw=")</f>
        <v>#VALUE!</v>
      </c>
      <c r="AT151" t="e">
        <f>AND('UP133'!GY113,"AAAAAH/mny0=")</f>
        <v>#VALUE!</v>
      </c>
      <c r="AU151" t="e">
        <f>AND('UP133'!GZ113,"AAAAAH/mny4=")</f>
        <v>#VALUE!</v>
      </c>
      <c r="AV151" t="e">
        <f>AND('UP133'!HA113,"AAAAAH/mny8=")</f>
        <v>#VALUE!</v>
      </c>
      <c r="AW151" t="e">
        <f>AND('UP133'!HB113,"AAAAAH/mnzA=")</f>
        <v>#VALUE!</v>
      </c>
      <c r="AX151" t="e">
        <f>AND('UP133'!HC113,"AAAAAH/mnzE=")</f>
        <v>#VALUE!</v>
      </c>
      <c r="AY151" t="e">
        <f>AND('UP133'!HD113,"AAAAAH/mnzI=")</f>
        <v>#VALUE!</v>
      </c>
      <c r="AZ151" t="e">
        <f>AND('UP133'!HE113,"AAAAAH/mnzM=")</f>
        <v>#VALUE!</v>
      </c>
      <c r="BA151" t="e">
        <f>AND('UP133'!HF113,"AAAAAH/mnzQ=")</f>
        <v>#VALUE!</v>
      </c>
      <c r="BB151" t="e">
        <f>AND('UP133'!HG113,"AAAAAH/mnzU=")</f>
        <v>#VALUE!</v>
      </c>
      <c r="BC151" t="e">
        <f>AND('UP133'!HH113,"AAAAAH/mnzY=")</f>
        <v>#VALUE!</v>
      </c>
      <c r="BD151" t="e">
        <f>AND('UP133'!HI113,"AAAAAH/mnzc=")</f>
        <v>#VALUE!</v>
      </c>
      <c r="BE151" t="e">
        <f>AND('UP133'!HJ113,"AAAAAH/mnzg=")</f>
        <v>#VALUE!</v>
      </c>
      <c r="BF151" t="e">
        <f>AND('UP133'!HK113,"AAAAAH/mnzk=")</f>
        <v>#VALUE!</v>
      </c>
      <c r="BG151" t="e">
        <f>AND('UP133'!HL113,"AAAAAH/mnzo=")</f>
        <v>#VALUE!</v>
      </c>
      <c r="BH151" t="e">
        <f>AND('UP133'!HM113,"AAAAAH/mnzs=")</f>
        <v>#VALUE!</v>
      </c>
      <c r="BI151" t="e">
        <f>AND('UP133'!HN113,"AAAAAH/mnzw=")</f>
        <v>#VALUE!</v>
      </c>
      <c r="BJ151" t="e">
        <f>AND('UP133'!HO113,"AAAAAH/mnz0=")</f>
        <v>#VALUE!</v>
      </c>
      <c r="BK151" t="e">
        <f>AND('UP133'!HP113,"AAAAAH/mnz4=")</f>
        <v>#VALUE!</v>
      </c>
      <c r="BL151" t="e">
        <f>AND('UP133'!HQ113,"AAAAAH/mnz8=")</f>
        <v>#VALUE!</v>
      </c>
      <c r="BM151" t="e">
        <f>AND('UP133'!HR113,"AAAAAH/mn0A=")</f>
        <v>#VALUE!</v>
      </c>
      <c r="BN151" t="e">
        <f>AND('UP133'!HS113,"AAAAAH/mn0E=")</f>
        <v>#VALUE!</v>
      </c>
      <c r="BO151" t="e">
        <f>AND('UP133'!HT113,"AAAAAH/mn0I=")</f>
        <v>#VALUE!</v>
      </c>
      <c r="BP151" t="e">
        <f>AND('UP133'!HU113,"AAAAAH/mn0M=")</f>
        <v>#VALUE!</v>
      </c>
      <c r="BQ151" t="e">
        <f>AND('UP133'!HV113,"AAAAAH/mn0Q=")</f>
        <v>#VALUE!</v>
      </c>
      <c r="BR151" t="e">
        <f>AND('UP133'!HW113,"AAAAAH/mn0U=")</f>
        <v>#VALUE!</v>
      </c>
      <c r="BS151" t="e">
        <f>AND('UP133'!HX113,"AAAAAH/mn0Y=")</f>
        <v>#VALUE!</v>
      </c>
      <c r="BT151" t="e">
        <f>AND('UP133'!HY113,"AAAAAH/mn0c=")</f>
        <v>#VALUE!</v>
      </c>
      <c r="BU151" t="e">
        <f>AND('UP133'!HZ113,"AAAAAH/mn0g=")</f>
        <v>#VALUE!</v>
      </c>
      <c r="BV151" t="e">
        <f>AND('UP133'!IA113,"AAAAAH/mn0k=")</f>
        <v>#VALUE!</v>
      </c>
      <c r="BW151" t="e">
        <f>AND('UP133'!IB113,"AAAAAH/mn0o=")</f>
        <v>#VALUE!</v>
      </c>
      <c r="BX151" t="e">
        <f>AND('UP133'!IC113,"AAAAAH/mn0s=")</f>
        <v>#VALUE!</v>
      </c>
      <c r="BY151" t="e">
        <f>AND('UP133'!ID113,"AAAAAH/mn0w=")</f>
        <v>#VALUE!</v>
      </c>
      <c r="BZ151" t="e">
        <f>AND('UP133'!IE113,"AAAAAH/mn00=")</f>
        <v>#VALUE!</v>
      </c>
      <c r="CA151" t="e">
        <f>AND('UP133'!IF113,"AAAAAH/mn04=")</f>
        <v>#VALUE!</v>
      </c>
      <c r="CB151" t="e">
        <f>AND('UP133'!IG113,"AAAAAH/mn08=")</f>
        <v>#VALUE!</v>
      </c>
      <c r="CC151" t="e">
        <f>AND('UP133'!IH113,"AAAAAH/mn1A=")</f>
        <v>#VALUE!</v>
      </c>
      <c r="CD151" t="e">
        <f>AND('UP133'!II113,"AAAAAH/mn1E=")</f>
        <v>#VALUE!</v>
      </c>
      <c r="CE151" t="e">
        <f>AND('UP133'!IJ113,"AAAAAH/mn1I=")</f>
        <v>#VALUE!</v>
      </c>
      <c r="CF151" t="e">
        <f>AND('UP133'!IK113,"AAAAAH/mn1M=")</f>
        <v>#VALUE!</v>
      </c>
      <c r="CG151" t="e">
        <f>AND('UP133'!IL113,"AAAAAH/mn1Q=")</f>
        <v>#VALUE!</v>
      </c>
      <c r="CH151" t="e">
        <f>AND('UP133'!IM113,"AAAAAH/mn1U=")</f>
        <v>#VALUE!</v>
      </c>
      <c r="CI151" t="e">
        <f>AND('UP133'!IN113,"AAAAAH/mn1Y=")</f>
        <v>#VALUE!</v>
      </c>
      <c r="CJ151" t="e">
        <f>AND('UP133'!IO113,"AAAAAH/mn1c=")</f>
        <v>#VALUE!</v>
      </c>
      <c r="CK151" t="e">
        <f>AND('UP133'!IP113,"AAAAAH/mn1g=")</f>
        <v>#VALUE!</v>
      </c>
      <c r="CL151" t="e">
        <f>AND('UP133'!IQ113,"AAAAAH/mn1k=")</f>
        <v>#VALUE!</v>
      </c>
      <c r="CM151">
        <f>IF('UP133'!114:114,"AAAAAH/mn1o=",0)</f>
        <v>0</v>
      </c>
      <c r="CN151" t="e">
        <f>AND('UP133'!A114,"AAAAAH/mn1s=")</f>
        <v>#VALUE!</v>
      </c>
      <c r="CO151" t="e">
        <f>AND('UP133'!B114,"AAAAAH/mn1w=")</f>
        <v>#VALUE!</v>
      </c>
      <c r="CP151" t="e">
        <f>AND('UP133'!C114,"AAAAAH/mn10=")</f>
        <v>#VALUE!</v>
      </c>
      <c r="CQ151" t="e">
        <f>AND('UP133'!D114,"AAAAAH/mn14=")</f>
        <v>#VALUE!</v>
      </c>
      <c r="CR151" t="e">
        <f>AND('UP133'!E114,"AAAAAH/mn18=")</f>
        <v>#VALUE!</v>
      </c>
      <c r="CS151" t="e">
        <f>AND('UP133'!F114,"AAAAAH/mn2A=")</f>
        <v>#VALUE!</v>
      </c>
      <c r="CT151" t="e">
        <f>AND('UP133'!G114,"AAAAAH/mn2E=")</f>
        <v>#VALUE!</v>
      </c>
      <c r="CU151" t="e">
        <f>AND('UP133'!H114,"AAAAAH/mn2I=")</f>
        <v>#VALUE!</v>
      </c>
      <c r="CV151" t="e">
        <f>AND('UP133'!I114,"AAAAAH/mn2M=")</f>
        <v>#VALUE!</v>
      </c>
      <c r="CW151" t="e">
        <f>AND('UP133'!J114,"AAAAAH/mn2Q=")</f>
        <v>#VALUE!</v>
      </c>
      <c r="CX151" t="e">
        <f>AND('UP133'!K114,"AAAAAH/mn2U=")</f>
        <v>#VALUE!</v>
      </c>
      <c r="CY151" t="e">
        <f>AND('UP133'!L114,"AAAAAH/mn2Y=")</f>
        <v>#VALUE!</v>
      </c>
      <c r="CZ151" t="e">
        <f>AND('UP133'!M114,"AAAAAH/mn2c=")</f>
        <v>#VALUE!</v>
      </c>
      <c r="DA151" t="e">
        <f>AND('UP133'!N114,"AAAAAH/mn2g=")</f>
        <v>#VALUE!</v>
      </c>
      <c r="DB151" t="e">
        <f>AND('UP133'!O114,"AAAAAH/mn2k=")</f>
        <v>#VALUE!</v>
      </c>
      <c r="DC151" t="e">
        <f>AND('UP133'!P114,"AAAAAH/mn2o=")</f>
        <v>#VALUE!</v>
      </c>
      <c r="DD151" t="e">
        <f>AND('UP133'!Q114,"AAAAAH/mn2s=")</f>
        <v>#VALUE!</v>
      </c>
      <c r="DE151" t="e">
        <f>AND('UP133'!R114,"AAAAAH/mn2w=")</f>
        <v>#VALUE!</v>
      </c>
      <c r="DF151" t="e">
        <f>AND('UP133'!S114,"AAAAAH/mn20=")</f>
        <v>#VALUE!</v>
      </c>
      <c r="DG151" t="e">
        <f>AND('UP133'!T114,"AAAAAH/mn24=")</f>
        <v>#VALUE!</v>
      </c>
      <c r="DH151" t="e">
        <f>AND('UP133'!U114,"AAAAAH/mn28=")</f>
        <v>#VALUE!</v>
      </c>
      <c r="DI151" t="e">
        <f>AND('UP133'!V114,"AAAAAH/mn3A=")</f>
        <v>#VALUE!</v>
      </c>
      <c r="DJ151" t="e">
        <f>AND('UP133'!W114,"AAAAAH/mn3E=")</f>
        <v>#VALUE!</v>
      </c>
      <c r="DK151" t="e">
        <f>AND('UP133'!X114,"AAAAAH/mn3I=")</f>
        <v>#VALUE!</v>
      </c>
      <c r="DL151" t="e">
        <f>AND('UP133'!Y114,"AAAAAH/mn3M=")</f>
        <v>#VALUE!</v>
      </c>
      <c r="DM151" t="e">
        <f>AND('UP133'!Z114,"AAAAAH/mn3Q=")</f>
        <v>#VALUE!</v>
      </c>
      <c r="DN151" t="e">
        <f>AND('UP133'!AA114,"AAAAAH/mn3U=")</f>
        <v>#VALUE!</v>
      </c>
      <c r="DO151" t="e">
        <f>AND('UP133'!AB114,"AAAAAH/mn3Y=")</f>
        <v>#VALUE!</v>
      </c>
      <c r="DP151" t="e">
        <f>AND('UP133'!AC114,"AAAAAH/mn3c=")</f>
        <v>#VALUE!</v>
      </c>
      <c r="DQ151" t="e">
        <f>AND('UP133'!AD114,"AAAAAH/mn3g=")</f>
        <v>#VALUE!</v>
      </c>
      <c r="DR151" t="e">
        <f>AND('UP133'!AE114,"AAAAAH/mn3k=")</f>
        <v>#VALUE!</v>
      </c>
      <c r="DS151" t="e">
        <f>AND('UP133'!AF114,"AAAAAH/mn3o=")</f>
        <v>#VALUE!</v>
      </c>
      <c r="DT151" t="e">
        <f>AND('UP133'!AG114,"AAAAAH/mn3s=")</f>
        <v>#VALUE!</v>
      </c>
      <c r="DU151" t="e">
        <f>AND('UP133'!AH114,"AAAAAH/mn3w=")</f>
        <v>#VALUE!</v>
      </c>
      <c r="DV151" t="e">
        <f>AND('UP133'!AI114,"AAAAAH/mn30=")</f>
        <v>#VALUE!</v>
      </c>
      <c r="DW151" t="e">
        <f>AND('UP133'!AJ114,"AAAAAH/mn34=")</f>
        <v>#VALUE!</v>
      </c>
      <c r="DX151" t="e">
        <f>AND('UP133'!AK114,"AAAAAH/mn38=")</f>
        <v>#VALUE!</v>
      </c>
      <c r="DY151" t="e">
        <f>AND('UP133'!AL114,"AAAAAH/mn4A=")</f>
        <v>#VALUE!</v>
      </c>
      <c r="DZ151" t="e">
        <f>AND('UP133'!AM114,"AAAAAH/mn4E=")</f>
        <v>#VALUE!</v>
      </c>
      <c r="EA151" t="e">
        <f>AND('UP133'!AN114,"AAAAAH/mn4I=")</f>
        <v>#VALUE!</v>
      </c>
      <c r="EB151" t="e">
        <f>AND('UP133'!AO114,"AAAAAH/mn4M=")</f>
        <v>#VALUE!</v>
      </c>
      <c r="EC151" t="e">
        <f>AND('UP133'!AP114,"AAAAAH/mn4Q=")</f>
        <v>#VALUE!</v>
      </c>
      <c r="ED151" t="e">
        <f>AND('UP133'!AQ114,"AAAAAH/mn4U=")</f>
        <v>#VALUE!</v>
      </c>
      <c r="EE151" t="e">
        <f>AND('UP133'!AR114,"AAAAAH/mn4Y=")</f>
        <v>#VALUE!</v>
      </c>
      <c r="EF151" t="e">
        <f>AND('UP133'!AS114,"AAAAAH/mn4c=")</f>
        <v>#VALUE!</v>
      </c>
      <c r="EG151" t="e">
        <f>AND('UP133'!AT114,"AAAAAH/mn4g=")</f>
        <v>#VALUE!</v>
      </c>
      <c r="EH151" t="e">
        <f>AND('UP133'!AU114,"AAAAAH/mn4k=")</f>
        <v>#VALUE!</v>
      </c>
      <c r="EI151" t="e">
        <f>AND('UP133'!AV114,"AAAAAH/mn4o=")</f>
        <v>#VALUE!</v>
      </c>
      <c r="EJ151" t="e">
        <f>AND('UP133'!AW114,"AAAAAH/mn4s=")</f>
        <v>#VALUE!</v>
      </c>
      <c r="EK151" t="e">
        <f>AND('UP133'!AX114,"AAAAAH/mn4w=")</f>
        <v>#VALUE!</v>
      </c>
      <c r="EL151" t="e">
        <f>AND('UP133'!AY114,"AAAAAH/mn40=")</f>
        <v>#VALUE!</v>
      </c>
      <c r="EM151" t="e">
        <f>AND('UP133'!AZ114,"AAAAAH/mn44=")</f>
        <v>#VALUE!</v>
      </c>
      <c r="EN151" t="e">
        <f>AND('UP133'!BA114,"AAAAAH/mn48=")</f>
        <v>#VALUE!</v>
      </c>
      <c r="EO151" t="e">
        <f>AND('UP133'!BB114,"AAAAAH/mn5A=")</f>
        <v>#VALUE!</v>
      </c>
      <c r="EP151" t="e">
        <f>AND('UP133'!BC114,"AAAAAH/mn5E=")</f>
        <v>#VALUE!</v>
      </c>
      <c r="EQ151" t="e">
        <f>AND('UP133'!BD114,"AAAAAH/mn5I=")</f>
        <v>#VALUE!</v>
      </c>
      <c r="ER151" t="e">
        <f>AND('UP133'!BE114,"AAAAAH/mn5M=")</f>
        <v>#VALUE!</v>
      </c>
      <c r="ES151" t="e">
        <f>AND('UP133'!BF114,"AAAAAH/mn5Q=")</f>
        <v>#VALUE!</v>
      </c>
      <c r="ET151" t="e">
        <f>AND('UP133'!BG114,"AAAAAH/mn5U=")</f>
        <v>#VALUE!</v>
      </c>
      <c r="EU151" t="e">
        <f>AND('UP133'!BH114,"AAAAAH/mn5Y=")</f>
        <v>#VALUE!</v>
      </c>
      <c r="EV151" t="e">
        <f>AND('UP133'!BI114,"AAAAAH/mn5c=")</f>
        <v>#VALUE!</v>
      </c>
      <c r="EW151" t="e">
        <f>AND('UP133'!BJ114,"AAAAAH/mn5g=")</f>
        <v>#VALUE!</v>
      </c>
      <c r="EX151" t="e">
        <f>AND('UP133'!BK114,"AAAAAH/mn5k=")</f>
        <v>#VALUE!</v>
      </c>
      <c r="EY151" t="e">
        <f>AND('UP133'!BL114,"AAAAAH/mn5o=")</f>
        <v>#VALUE!</v>
      </c>
      <c r="EZ151" t="e">
        <f>AND('UP133'!BM114,"AAAAAH/mn5s=")</f>
        <v>#VALUE!</v>
      </c>
      <c r="FA151" t="e">
        <f>AND('UP133'!BN114,"AAAAAH/mn5w=")</f>
        <v>#VALUE!</v>
      </c>
      <c r="FB151" t="e">
        <f>AND('UP133'!BO114,"AAAAAH/mn50=")</f>
        <v>#VALUE!</v>
      </c>
      <c r="FC151" t="e">
        <f>AND('UP133'!BP114,"AAAAAH/mn54=")</f>
        <v>#VALUE!</v>
      </c>
      <c r="FD151" t="e">
        <f>AND('UP133'!BQ114,"AAAAAH/mn58=")</f>
        <v>#VALUE!</v>
      </c>
      <c r="FE151" t="e">
        <f>AND('UP133'!BR114,"AAAAAH/mn6A=")</f>
        <v>#VALUE!</v>
      </c>
      <c r="FF151" t="e">
        <f>AND('UP133'!BS114,"AAAAAH/mn6E=")</f>
        <v>#VALUE!</v>
      </c>
      <c r="FG151" t="e">
        <f>AND('UP133'!BT114,"AAAAAH/mn6I=")</f>
        <v>#VALUE!</v>
      </c>
      <c r="FH151" t="e">
        <f>AND('UP133'!BU114,"AAAAAH/mn6M=")</f>
        <v>#VALUE!</v>
      </c>
      <c r="FI151" t="e">
        <f>AND('UP133'!BV114,"AAAAAH/mn6Q=")</f>
        <v>#VALUE!</v>
      </c>
      <c r="FJ151" t="e">
        <f>AND('UP133'!BW114,"AAAAAH/mn6U=")</f>
        <v>#VALUE!</v>
      </c>
      <c r="FK151" t="e">
        <f>AND('UP133'!BX114,"AAAAAH/mn6Y=")</f>
        <v>#VALUE!</v>
      </c>
      <c r="FL151" t="e">
        <f>AND('UP133'!BY114,"AAAAAH/mn6c=")</f>
        <v>#VALUE!</v>
      </c>
      <c r="FM151" t="e">
        <f>AND('UP133'!BZ114,"AAAAAH/mn6g=")</f>
        <v>#VALUE!</v>
      </c>
      <c r="FN151" t="e">
        <f>AND('UP133'!CA114,"AAAAAH/mn6k=")</f>
        <v>#VALUE!</v>
      </c>
      <c r="FO151" t="e">
        <f>AND('UP133'!CB114,"AAAAAH/mn6o=")</f>
        <v>#VALUE!</v>
      </c>
      <c r="FP151" t="e">
        <f>AND('UP133'!CC114,"AAAAAH/mn6s=")</f>
        <v>#VALUE!</v>
      </c>
      <c r="FQ151" t="e">
        <f>AND('UP133'!CD114,"AAAAAH/mn6w=")</f>
        <v>#VALUE!</v>
      </c>
      <c r="FR151" t="e">
        <f>AND('UP133'!CE114,"AAAAAH/mn60=")</f>
        <v>#VALUE!</v>
      </c>
      <c r="FS151" t="e">
        <f>AND('UP133'!CF114,"AAAAAH/mn64=")</f>
        <v>#VALUE!</v>
      </c>
      <c r="FT151" t="e">
        <f>AND('UP133'!CG114,"AAAAAH/mn68=")</f>
        <v>#VALUE!</v>
      </c>
      <c r="FU151" t="e">
        <f>AND('UP133'!CH114,"AAAAAH/mn7A=")</f>
        <v>#VALUE!</v>
      </c>
      <c r="FV151" t="e">
        <f>AND('UP133'!CI114,"AAAAAH/mn7E=")</f>
        <v>#VALUE!</v>
      </c>
      <c r="FW151" t="e">
        <f>AND('UP133'!CJ114,"AAAAAH/mn7I=")</f>
        <v>#VALUE!</v>
      </c>
      <c r="FX151" t="e">
        <f>AND('UP133'!CK114,"AAAAAH/mn7M=")</f>
        <v>#VALUE!</v>
      </c>
      <c r="FY151" t="e">
        <f>AND('UP133'!CL114,"AAAAAH/mn7Q=")</f>
        <v>#VALUE!</v>
      </c>
      <c r="FZ151" t="e">
        <f>AND('UP133'!CM114,"AAAAAH/mn7U=")</f>
        <v>#VALUE!</v>
      </c>
      <c r="GA151" t="e">
        <f>AND('UP133'!CN114,"AAAAAH/mn7Y=")</f>
        <v>#VALUE!</v>
      </c>
      <c r="GB151" t="e">
        <f>AND('UP133'!CO114,"AAAAAH/mn7c=")</f>
        <v>#VALUE!</v>
      </c>
      <c r="GC151" t="e">
        <f>AND('UP133'!CP114,"AAAAAH/mn7g=")</f>
        <v>#VALUE!</v>
      </c>
      <c r="GD151" t="e">
        <f>AND('UP133'!CQ114,"AAAAAH/mn7k=")</f>
        <v>#VALUE!</v>
      </c>
      <c r="GE151" t="e">
        <f>AND('UP133'!CR114,"AAAAAH/mn7o=")</f>
        <v>#VALUE!</v>
      </c>
      <c r="GF151" t="e">
        <f>AND('UP133'!CS114,"AAAAAH/mn7s=")</f>
        <v>#VALUE!</v>
      </c>
      <c r="GG151" t="e">
        <f>AND('UP133'!CT114,"AAAAAH/mn7w=")</f>
        <v>#VALUE!</v>
      </c>
      <c r="GH151" t="e">
        <f>AND('UP133'!CU114,"AAAAAH/mn70=")</f>
        <v>#VALUE!</v>
      </c>
      <c r="GI151" t="e">
        <f>AND('UP133'!CV114,"AAAAAH/mn74=")</f>
        <v>#VALUE!</v>
      </c>
      <c r="GJ151" t="e">
        <f>AND('UP133'!CW114,"AAAAAH/mn78=")</f>
        <v>#VALUE!</v>
      </c>
      <c r="GK151" t="e">
        <f>AND('UP133'!CX114,"AAAAAH/mn8A=")</f>
        <v>#VALUE!</v>
      </c>
      <c r="GL151" t="e">
        <f>AND('UP133'!CY114,"AAAAAH/mn8E=")</f>
        <v>#VALUE!</v>
      </c>
      <c r="GM151" t="e">
        <f>AND('UP133'!CZ114,"AAAAAH/mn8I=")</f>
        <v>#VALUE!</v>
      </c>
      <c r="GN151" t="e">
        <f>AND('UP133'!DA114,"AAAAAH/mn8M=")</f>
        <v>#VALUE!</v>
      </c>
      <c r="GO151" t="e">
        <f>AND('UP133'!DB114,"AAAAAH/mn8Q=")</f>
        <v>#VALUE!</v>
      </c>
      <c r="GP151" t="e">
        <f>AND('UP133'!DC114,"AAAAAH/mn8U=")</f>
        <v>#VALUE!</v>
      </c>
      <c r="GQ151" t="e">
        <f>AND('UP133'!DD114,"AAAAAH/mn8Y=")</f>
        <v>#VALUE!</v>
      </c>
      <c r="GR151" t="e">
        <f>AND('UP133'!DE114,"AAAAAH/mn8c=")</f>
        <v>#VALUE!</v>
      </c>
      <c r="GS151" t="e">
        <f>AND('UP133'!DF114,"AAAAAH/mn8g=")</f>
        <v>#VALUE!</v>
      </c>
      <c r="GT151" t="e">
        <f>AND('UP133'!DG114,"AAAAAH/mn8k=")</f>
        <v>#VALUE!</v>
      </c>
      <c r="GU151" t="e">
        <f>AND('UP133'!DH114,"AAAAAH/mn8o=")</f>
        <v>#VALUE!</v>
      </c>
      <c r="GV151" t="e">
        <f>AND('UP133'!DI114,"AAAAAH/mn8s=")</f>
        <v>#VALUE!</v>
      </c>
      <c r="GW151" t="e">
        <f>AND('UP133'!DJ114,"AAAAAH/mn8w=")</f>
        <v>#VALUE!</v>
      </c>
      <c r="GX151" t="e">
        <f>AND('UP133'!DK114,"AAAAAH/mn80=")</f>
        <v>#VALUE!</v>
      </c>
      <c r="GY151" t="e">
        <f>AND('UP133'!DL114,"AAAAAH/mn84=")</f>
        <v>#VALUE!</v>
      </c>
      <c r="GZ151" t="e">
        <f>AND('UP133'!DM114,"AAAAAH/mn88=")</f>
        <v>#VALUE!</v>
      </c>
      <c r="HA151" t="e">
        <f>AND('UP133'!DN114,"AAAAAH/mn9A=")</f>
        <v>#VALUE!</v>
      </c>
      <c r="HB151" t="e">
        <f>AND('UP133'!DO114,"AAAAAH/mn9E=")</f>
        <v>#VALUE!</v>
      </c>
      <c r="HC151" t="e">
        <f>AND('UP133'!DP114,"AAAAAH/mn9I=")</f>
        <v>#VALUE!</v>
      </c>
      <c r="HD151" t="e">
        <f>AND('UP133'!DQ114,"AAAAAH/mn9M=")</f>
        <v>#VALUE!</v>
      </c>
      <c r="HE151" t="e">
        <f>AND('UP133'!DR114,"AAAAAH/mn9Q=")</f>
        <v>#VALUE!</v>
      </c>
      <c r="HF151" t="e">
        <f>AND('UP133'!DS114,"AAAAAH/mn9U=")</f>
        <v>#VALUE!</v>
      </c>
      <c r="HG151" t="e">
        <f>AND('UP133'!DT114,"AAAAAH/mn9Y=")</f>
        <v>#VALUE!</v>
      </c>
      <c r="HH151" t="e">
        <f>AND('UP133'!DU114,"AAAAAH/mn9c=")</f>
        <v>#VALUE!</v>
      </c>
      <c r="HI151" t="e">
        <f>AND('UP133'!DV114,"AAAAAH/mn9g=")</f>
        <v>#VALUE!</v>
      </c>
      <c r="HJ151" t="e">
        <f>AND('UP133'!DW114,"AAAAAH/mn9k=")</f>
        <v>#VALUE!</v>
      </c>
      <c r="HK151" t="e">
        <f>AND('UP133'!DX114,"AAAAAH/mn9o=")</f>
        <v>#VALUE!</v>
      </c>
      <c r="HL151" t="e">
        <f>AND('UP133'!DY114,"AAAAAH/mn9s=")</f>
        <v>#VALUE!</v>
      </c>
      <c r="HM151" t="e">
        <f>AND('UP133'!DZ114,"AAAAAH/mn9w=")</f>
        <v>#VALUE!</v>
      </c>
      <c r="HN151" t="e">
        <f>AND('UP133'!EA114,"AAAAAH/mn90=")</f>
        <v>#VALUE!</v>
      </c>
      <c r="HO151" t="e">
        <f>AND('UP133'!EB114,"AAAAAH/mn94=")</f>
        <v>#VALUE!</v>
      </c>
      <c r="HP151" t="e">
        <f>AND('UP133'!EC114,"AAAAAH/mn98=")</f>
        <v>#VALUE!</v>
      </c>
      <c r="HQ151" t="e">
        <f>AND('UP133'!ED114,"AAAAAH/mn+A=")</f>
        <v>#VALUE!</v>
      </c>
      <c r="HR151" t="e">
        <f>AND('UP133'!EE114,"AAAAAH/mn+E=")</f>
        <v>#VALUE!</v>
      </c>
      <c r="HS151" t="e">
        <f>AND('UP133'!EF114,"AAAAAH/mn+I=")</f>
        <v>#VALUE!</v>
      </c>
      <c r="HT151" t="e">
        <f>AND('UP133'!EG114,"AAAAAH/mn+M=")</f>
        <v>#VALUE!</v>
      </c>
      <c r="HU151" t="e">
        <f>AND('UP133'!EH114,"AAAAAH/mn+Q=")</f>
        <v>#VALUE!</v>
      </c>
      <c r="HV151" t="e">
        <f>AND('UP133'!EI114,"AAAAAH/mn+U=")</f>
        <v>#VALUE!</v>
      </c>
      <c r="HW151" t="e">
        <f>AND('UP133'!EJ114,"AAAAAH/mn+Y=")</f>
        <v>#VALUE!</v>
      </c>
      <c r="HX151" t="e">
        <f>AND('UP133'!EK114,"AAAAAH/mn+c=")</f>
        <v>#VALUE!</v>
      </c>
      <c r="HY151" t="e">
        <f>AND('UP133'!EL114,"AAAAAH/mn+g=")</f>
        <v>#VALUE!</v>
      </c>
      <c r="HZ151" t="e">
        <f>AND('UP133'!EM114,"AAAAAH/mn+k=")</f>
        <v>#VALUE!</v>
      </c>
      <c r="IA151" t="e">
        <f>AND('UP133'!EN114,"AAAAAH/mn+o=")</f>
        <v>#VALUE!</v>
      </c>
      <c r="IB151" t="e">
        <f>AND('UP133'!EO114,"AAAAAH/mn+s=")</f>
        <v>#VALUE!</v>
      </c>
      <c r="IC151" t="e">
        <f>AND('UP133'!EP114,"AAAAAH/mn+w=")</f>
        <v>#VALUE!</v>
      </c>
      <c r="ID151" t="e">
        <f>AND('UP133'!EQ114,"AAAAAH/mn+0=")</f>
        <v>#VALUE!</v>
      </c>
      <c r="IE151" t="e">
        <f>AND('UP133'!ER114,"AAAAAH/mn+4=")</f>
        <v>#VALUE!</v>
      </c>
      <c r="IF151" t="e">
        <f>AND('UP133'!ES114,"AAAAAH/mn+8=")</f>
        <v>#VALUE!</v>
      </c>
      <c r="IG151" t="e">
        <f>AND('UP133'!ET114,"AAAAAH/mn/A=")</f>
        <v>#VALUE!</v>
      </c>
      <c r="IH151" t="e">
        <f>AND('UP133'!EU114,"AAAAAH/mn/E=")</f>
        <v>#VALUE!</v>
      </c>
      <c r="II151" t="e">
        <f>AND('UP133'!EV114,"AAAAAH/mn/I=")</f>
        <v>#VALUE!</v>
      </c>
      <c r="IJ151" t="e">
        <f>AND('UP133'!EW114,"AAAAAH/mn/M=")</f>
        <v>#VALUE!</v>
      </c>
      <c r="IK151" t="e">
        <f>AND('UP133'!EX114,"AAAAAH/mn/Q=")</f>
        <v>#VALUE!</v>
      </c>
      <c r="IL151" t="e">
        <f>AND('UP133'!EY114,"AAAAAH/mn/U=")</f>
        <v>#VALUE!</v>
      </c>
      <c r="IM151" t="e">
        <f>AND('UP133'!EZ114,"AAAAAH/mn/Y=")</f>
        <v>#VALUE!</v>
      </c>
      <c r="IN151" t="e">
        <f>AND('UP133'!FA114,"AAAAAH/mn/c=")</f>
        <v>#VALUE!</v>
      </c>
      <c r="IO151" t="e">
        <f>AND('UP133'!FB114,"AAAAAH/mn/g=")</f>
        <v>#VALUE!</v>
      </c>
      <c r="IP151" t="e">
        <f>AND('UP133'!FC114,"AAAAAH/mn/k=")</f>
        <v>#VALUE!</v>
      </c>
      <c r="IQ151" t="e">
        <f>AND('UP133'!FD114,"AAAAAH/mn/o=")</f>
        <v>#VALUE!</v>
      </c>
      <c r="IR151" t="e">
        <f>AND('UP133'!FE114,"AAAAAH/mn/s=")</f>
        <v>#VALUE!</v>
      </c>
      <c r="IS151" t="e">
        <f>AND('UP133'!FF114,"AAAAAH/mn/w=")</f>
        <v>#VALUE!</v>
      </c>
      <c r="IT151" t="e">
        <f>AND('UP133'!FG114,"AAAAAH/mn/0=")</f>
        <v>#VALUE!</v>
      </c>
      <c r="IU151" t="e">
        <f>AND('UP133'!FH114,"AAAAAH/mn/4=")</f>
        <v>#VALUE!</v>
      </c>
      <c r="IV151" t="e">
        <f>AND('UP133'!FI114,"AAAAAH/mn/8=")</f>
        <v>#VALUE!</v>
      </c>
    </row>
    <row r="152" spans="1:256">
      <c r="A152" t="e">
        <f>AND('UP133'!FJ114,"AAAAAH/d7QA=")</f>
        <v>#VALUE!</v>
      </c>
      <c r="B152" t="e">
        <f>AND('UP133'!FK114,"AAAAAH/d7QE=")</f>
        <v>#VALUE!</v>
      </c>
      <c r="C152" t="e">
        <f>AND('UP133'!FL114,"AAAAAH/d7QI=")</f>
        <v>#VALUE!</v>
      </c>
      <c r="D152" t="e">
        <f>AND('UP133'!FM114,"AAAAAH/d7QM=")</f>
        <v>#VALUE!</v>
      </c>
      <c r="E152" t="e">
        <f>AND('UP133'!FN114,"AAAAAH/d7QQ=")</f>
        <v>#VALUE!</v>
      </c>
      <c r="F152" t="e">
        <f>AND('UP133'!FO114,"AAAAAH/d7QU=")</f>
        <v>#VALUE!</v>
      </c>
      <c r="G152" t="e">
        <f>AND('UP133'!FP114,"AAAAAH/d7QY=")</f>
        <v>#VALUE!</v>
      </c>
      <c r="H152" t="e">
        <f>AND('UP133'!FQ114,"AAAAAH/d7Qc=")</f>
        <v>#VALUE!</v>
      </c>
      <c r="I152" t="e">
        <f>AND('UP133'!FR114,"AAAAAH/d7Qg=")</f>
        <v>#VALUE!</v>
      </c>
      <c r="J152" t="e">
        <f>AND('UP133'!FS114,"AAAAAH/d7Qk=")</f>
        <v>#VALUE!</v>
      </c>
      <c r="K152" t="e">
        <f>AND('UP133'!FT114,"AAAAAH/d7Qo=")</f>
        <v>#VALUE!</v>
      </c>
      <c r="L152" t="e">
        <f>AND('UP133'!FU114,"AAAAAH/d7Qs=")</f>
        <v>#VALUE!</v>
      </c>
      <c r="M152" t="e">
        <f>AND('UP133'!FV114,"AAAAAH/d7Qw=")</f>
        <v>#VALUE!</v>
      </c>
      <c r="N152" t="e">
        <f>AND('UP133'!FW114,"AAAAAH/d7Q0=")</f>
        <v>#VALUE!</v>
      </c>
      <c r="O152" t="e">
        <f>AND('UP133'!FX114,"AAAAAH/d7Q4=")</f>
        <v>#VALUE!</v>
      </c>
      <c r="P152" t="e">
        <f>AND('UP133'!FY114,"AAAAAH/d7Q8=")</f>
        <v>#VALUE!</v>
      </c>
      <c r="Q152" t="e">
        <f>AND('UP133'!FZ114,"AAAAAH/d7RA=")</f>
        <v>#VALUE!</v>
      </c>
      <c r="R152" t="e">
        <f>AND('UP133'!GA114,"AAAAAH/d7RE=")</f>
        <v>#VALUE!</v>
      </c>
      <c r="S152" t="e">
        <f>AND('UP133'!GB114,"AAAAAH/d7RI=")</f>
        <v>#VALUE!</v>
      </c>
      <c r="T152" t="e">
        <f>AND('UP133'!GC114,"AAAAAH/d7RM=")</f>
        <v>#VALUE!</v>
      </c>
      <c r="U152" t="e">
        <f>AND('UP133'!GD114,"AAAAAH/d7RQ=")</f>
        <v>#VALUE!</v>
      </c>
      <c r="V152" t="e">
        <f>AND('UP133'!GE114,"AAAAAH/d7RU=")</f>
        <v>#VALUE!</v>
      </c>
      <c r="W152" t="e">
        <f>AND('UP133'!GF114,"AAAAAH/d7RY=")</f>
        <v>#VALUE!</v>
      </c>
      <c r="X152" t="e">
        <f>AND('UP133'!GG114,"AAAAAH/d7Rc=")</f>
        <v>#VALUE!</v>
      </c>
      <c r="Y152" t="e">
        <f>AND('UP133'!GH114,"AAAAAH/d7Rg=")</f>
        <v>#VALUE!</v>
      </c>
      <c r="Z152" t="e">
        <f>AND('UP133'!GI114,"AAAAAH/d7Rk=")</f>
        <v>#VALUE!</v>
      </c>
      <c r="AA152" t="e">
        <f>AND('UP133'!GJ114,"AAAAAH/d7Ro=")</f>
        <v>#VALUE!</v>
      </c>
      <c r="AB152" t="e">
        <f>AND('UP133'!GK114,"AAAAAH/d7Rs=")</f>
        <v>#VALUE!</v>
      </c>
      <c r="AC152" t="e">
        <f>AND('UP133'!GL114,"AAAAAH/d7Rw=")</f>
        <v>#VALUE!</v>
      </c>
      <c r="AD152" t="e">
        <f>AND('UP133'!GM114,"AAAAAH/d7R0=")</f>
        <v>#VALUE!</v>
      </c>
      <c r="AE152" t="e">
        <f>AND('UP133'!GN114,"AAAAAH/d7R4=")</f>
        <v>#VALUE!</v>
      </c>
      <c r="AF152" t="e">
        <f>AND('UP133'!GO114,"AAAAAH/d7R8=")</f>
        <v>#VALUE!</v>
      </c>
      <c r="AG152" t="e">
        <f>AND('UP133'!GP114,"AAAAAH/d7SA=")</f>
        <v>#VALUE!</v>
      </c>
      <c r="AH152" t="e">
        <f>AND('UP133'!GQ114,"AAAAAH/d7SE=")</f>
        <v>#VALUE!</v>
      </c>
      <c r="AI152" t="e">
        <f>AND('UP133'!GR114,"AAAAAH/d7SI=")</f>
        <v>#VALUE!</v>
      </c>
      <c r="AJ152" t="e">
        <f>AND('UP133'!GS114,"AAAAAH/d7SM=")</f>
        <v>#VALUE!</v>
      </c>
      <c r="AK152" t="e">
        <f>AND('UP133'!GT114,"AAAAAH/d7SQ=")</f>
        <v>#VALUE!</v>
      </c>
      <c r="AL152" t="e">
        <f>AND('UP133'!GU114,"AAAAAH/d7SU=")</f>
        <v>#VALUE!</v>
      </c>
      <c r="AM152" t="e">
        <f>AND('UP133'!GV114,"AAAAAH/d7SY=")</f>
        <v>#VALUE!</v>
      </c>
      <c r="AN152" t="e">
        <f>AND('UP133'!GW114,"AAAAAH/d7Sc=")</f>
        <v>#VALUE!</v>
      </c>
      <c r="AO152" t="e">
        <f>AND('UP133'!GX114,"AAAAAH/d7Sg=")</f>
        <v>#VALUE!</v>
      </c>
      <c r="AP152" t="e">
        <f>AND('UP133'!GY114,"AAAAAH/d7Sk=")</f>
        <v>#VALUE!</v>
      </c>
      <c r="AQ152" t="e">
        <f>AND('UP133'!GZ114,"AAAAAH/d7So=")</f>
        <v>#VALUE!</v>
      </c>
      <c r="AR152" t="e">
        <f>AND('UP133'!HA114,"AAAAAH/d7Ss=")</f>
        <v>#VALUE!</v>
      </c>
      <c r="AS152" t="e">
        <f>AND('UP133'!HB114,"AAAAAH/d7Sw=")</f>
        <v>#VALUE!</v>
      </c>
      <c r="AT152" t="e">
        <f>AND('UP133'!HC114,"AAAAAH/d7S0=")</f>
        <v>#VALUE!</v>
      </c>
      <c r="AU152" t="e">
        <f>AND('UP133'!HD114,"AAAAAH/d7S4=")</f>
        <v>#VALUE!</v>
      </c>
      <c r="AV152" t="e">
        <f>AND('UP133'!HE114,"AAAAAH/d7S8=")</f>
        <v>#VALUE!</v>
      </c>
      <c r="AW152" t="e">
        <f>AND('UP133'!HF114,"AAAAAH/d7TA=")</f>
        <v>#VALUE!</v>
      </c>
      <c r="AX152" t="e">
        <f>AND('UP133'!HG114,"AAAAAH/d7TE=")</f>
        <v>#VALUE!</v>
      </c>
      <c r="AY152" t="e">
        <f>AND('UP133'!HH114,"AAAAAH/d7TI=")</f>
        <v>#VALUE!</v>
      </c>
      <c r="AZ152" t="e">
        <f>AND('UP133'!HI114,"AAAAAH/d7TM=")</f>
        <v>#VALUE!</v>
      </c>
      <c r="BA152" t="e">
        <f>AND('UP133'!HJ114,"AAAAAH/d7TQ=")</f>
        <v>#VALUE!</v>
      </c>
      <c r="BB152" t="e">
        <f>AND('UP133'!HK114,"AAAAAH/d7TU=")</f>
        <v>#VALUE!</v>
      </c>
      <c r="BC152" t="e">
        <f>AND('UP133'!HL114,"AAAAAH/d7TY=")</f>
        <v>#VALUE!</v>
      </c>
      <c r="BD152" t="e">
        <f>AND('UP133'!HM114,"AAAAAH/d7Tc=")</f>
        <v>#VALUE!</v>
      </c>
      <c r="BE152" t="e">
        <f>AND('UP133'!HN114,"AAAAAH/d7Tg=")</f>
        <v>#VALUE!</v>
      </c>
      <c r="BF152" t="e">
        <f>AND('UP133'!HO114,"AAAAAH/d7Tk=")</f>
        <v>#VALUE!</v>
      </c>
      <c r="BG152" t="e">
        <f>AND('UP133'!HP114,"AAAAAH/d7To=")</f>
        <v>#VALUE!</v>
      </c>
      <c r="BH152" t="e">
        <f>AND('UP133'!HQ114,"AAAAAH/d7Ts=")</f>
        <v>#VALUE!</v>
      </c>
      <c r="BI152" t="e">
        <f>AND('UP133'!HR114,"AAAAAH/d7Tw=")</f>
        <v>#VALUE!</v>
      </c>
      <c r="BJ152" t="e">
        <f>AND('UP133'!HS114,"AAAAAH/d7T0=")</f>
        <v>#VALUE!</v>
      </c>
      <c r="BK152" t="e">
        <f>AND('UP133'!HT114,"AAAAAH/d7T4=")</f>
        <v>#VALUE!</v>
      </c>
      <c r="BL152" t="e">
        <f>AND('UP133'!HU114,"AAAAAH/d7T8=")</f>
        <v>#VALUE!</v>
      </c>
      <c r="BM152" t="e">
        <f>AND('UP133'!HV114,"AAAAAH/d7UA=")</f>
        <v>#VALUE!</v>
      </c>
      <c r="BN152" t="e">
        <f>AND('UP133'!HW114,"AAAAAH/d7UE=")</f>
        <v>#VALUE!</v>
      </c>
      <c r="BO152" t="e">
        <f>AND('UP133'!HX114,"AAAAAH/d7UI=")</f>
        <v>#VALUE!</v>
      </c>
      <c r="BP152" t="e">
        <f>AND('UP133'!HY114,"AAAAAH/d7UM=")</f>
        <v>#VALUE!</v>
      </c>
      <c r="BQ152" t="e">
        <f>AND('UP133'!HZ114,"AAAAAH/d7UQ=")</f>
        <v>#VALUE!</v>
      </c>
      <c r="BR152" t="e">
        <f>AND('UP133'!IA114,"AAAAAH/d7UU=")</f>
        <v>#VALUE!</v>
      </c>
      <c r="BS152" t="e">
        <f>AND('UP133'!IB114,"AAAAAH/d7UY=")</f>
        <v>#VALUE!</v>
      </c>
      <c r="BT152" t="e">
        <f>AND('UP133'!IC114,"AAAAAH/d7Uc=")</f>
        <v>#VALUE!</v>
      </c>
      <c r="BU152" t="e">
        <f>AND('UP133'!ID114,"AAAAAH/d7Ug=")</f>
        <v>#VALUE!</v>
      </c>
      <c r="BV152" t="e">
        <f>AND('UP133'!IE114,"AAAAAH/d7Uk=")</f>
        <v>#VALUE!</v>
      </c>
      <c r="BW152" t="e">
        <f>AND('UP133'!IF114,"AAAAAH/d7Uo=")</f>
        <v>#VALUE!</v>
      </c>
      <c r="BX152" t="e">
        <f>AND('UP133'!IG114,"AAAAAH/d7Us=")</f>
        <v>#VALUE!</v>
      </c>
      <c r="BY152" t="e">
        <f>AND('UP133'!IH114,"AAAAAH/d7Uw=")</f>
        <v>#VALUE!</v>
      </c>
      <c r="BZ152" t="e">
        <f>AND('UP133'!II114,"AAAAAH/d7U0=")</f>
        <v>#VALUE!</v>
      </c>
      <c r="CA152" t="e">
        <f>AND('UP133'!IJ114,"AAAAAH/d7U4=")</f>
        <v>#VALUE!</v>
      </c>
      <c r="CB152" t="e">
        <f>AND('UP133'!IK114,"AAAAAH/d7U8=")</f>
        <v>#VALUE!</v>
      </c>
      <c r="CC152" t="e">
        <f>AND('UP133'!IL114,"AAAAAH/d7VA=")</f>
        <v>#VALUE!</v>
      </c>
      <c r="CD152" t="e">
        <f>AND('UP133'!IM114,"AAAAAH/d7VE=")</f>
        <v>#VALUE!</v>
      </c>
      <c r="CE152" t="e">
        <f>AND('UP133'!IN114,"AAAAAH/d7VI=")</f>
        <v>#VALUE!</v>
      </c>
      <c r="CF152" t="e">
        <f>AND('UP133'!IO114,"AAAAAH/d7VM=")</f>
        <v>#VALUE!</v>
      </c>
      <c r="CG152" t="e">
        <f>AND('UP133'!IP114,"AAAAAH/d7VQ=")</f>
        <v>#VALUE!</v>
      </c>
      <c r="CH152" t="e">
        <f>AND('UP133'!IQ114,"AAAAAH/d7VU=")</f>
        <v>#VALUE!</v>
      </c>
      <c r="CI152">
        <f>IF('UP133'!115:115,"AAAAAH/d7VY=",0)</f>
        <v>0</v>
      </c>
      <c r="CJ152" t="e">
        <f>AND('UP133'!A115,"AAAAAH/d7Vc=")</f>
        <v>#VALUE!</v>
      </c>
      <c r="CK152" t="e">
        <f>AND('UP133'!B115,"AAAAAH/d7Vg=")</f>
        <v>#VALUE!</v>
      </c>
      <c r="CL152" t="e">
        <f>AND('UP133'!C115,"AAAAAH/d7Vk=")</f>
        <v>#VALUE!</v>
      </c>
      <c r="CM152" t="e">
        <f>AND('UP133'!D115,"AAAAAH/d7Vo=")</f>
        <v>#VALUE!</v>
      </c>
      <c r="CN152" t="e">
        <f>AND('UP133'!E115,"AAAAAH/d7Vs=")</f>
        <v>#VALUE!</v>
      </c>
      <c r="CO152" t="e">
        <f>AND('UP133'!F115,"AAAAAH/d7Vw=")</f>
        <v>#VALUE!</v>
      </c>
      <c r="CP152" t="e">
        <f>AND('UP133'!G115,"AAAAAH/d7V0=")</f>
        <v>#VALUE!</v>
      </c>
      <c r="CQ152" t="e">
        <f>AND('UP133'!H115,"AAAAAH/d7V4=")</f>
        <v>#VALUE!</v>
      </c>
      <c r="CR152" t="e">
        <f>AND('UP133'!I115,"AAAAAH/d7V8=")</f>
        <v>#VALUE!</v>
      </c>
      <c r="CS152" t="e">
        <f>AND('UP133'!J115,"AAAAAH/d7WA=")</f>
        <v>#VALUE!</v>
      </c>
      <c r="CT152" t="e">
        <f>AND('UP133'!K115,"AAAAAH/d7WE=")</f>
        <v>#VALUE!</v>
      </c>
      <c r="CU152" t="e">
        <f>AND('UP133'!L115,"AAAAAH/d7WI=")</f>
        <v>#VALUE!</v>
      </c>
      <c r="CV152" t="e">
        <f>AND('UP133'!M115,"AAAAAH/d7WM=")</f>
        <v>#VALUE!</v>
      </c>
      <c r="CW152" t="e">
        <f>AND('UP133'!N115,"AAAAAH/d7WQ=")</f>
        <v>#VALUE!</v>
      </c>
      <c r="CX152" t="e">
        <f>AND('UP133'!O115,"AAAAAH/d7WU=")</f>
        <v>#VALUE!</v>
      </c>
      <c r="CY152" t="e">
        <f>AND('UP133'!P115,"AAAAAH/d7WY=")</f>
        <v>#VALUE!</v>
      </c>
      <c r="CZ152" t="e">
        <f>AND('UP133'!Q115,"AAAAAH/d7Wc=")</f>
        <v>#VALUE!</v>
      </c>
      <c r="DA152" t="e">
        <f>AND('UP133'!R115,"AAAAAH/d7Wg=")</f>
        <v>#VALUE!</v>
      </c>
      <c r="DB152" t="e">
        <f>AND('UP133'!S115,"AAAAAH/d7Wk=")</f>
        <v>#VALUE!</v>
      </c>
      <c r="DC152" t="e">
        <f>AND('UP133'!T115,"AAAAAH/d7Wo=")</f>
        <v>#VALUE!</v>
      </c>
      <c r="DD152" t="e">
        <f>AND('UP133'!U115,"AAAAAH/d7Ws=")</f>
        <v>#VALUE!</v>
      </c>
      <c r="DE152" t="e">
        <f>AND('UP133'!V115,"AAAAAH/d7Ww=")</f>
        <v>#VALUE!</v>
      </c>
      <c r="DF152" t="e">
        <f>AND('UP133'!W115,"AAAAAH/d7W0=")</f>
        <v>#VALUE!</v>
      </c>
      <c r="DG152" t="e">
        <f>AND('UP133'!X115,"AAAAAH/d7W4=")</f>
        <v>#VALUE!</v>
      </c>
      <c r="DH152" t="e">
        <f>AND('UP133'!Y115,"AAAAAH/d7W8=")</f>
        <v>#VALUE!</v>
      </c>
      <c r="DI152" t="e">
        <f>AND('UP133'!Z115,"AAAAAH/d7XA=")</f>
        <v>#VALUE!</v>
      </c>
      <c r="DJ152" t="e">
        <f>AND('UP133'!AA115,"AAAAAH/d7XE=")</f>
        <v>#VALUE!</v>
      </c>
      <c r="DK152" t="e">
        <f>AND('UP133'!AB115,"AAAAAH/d7XI=")</f>
        <v>#VALUE!</v>
      </c>
      <c r="DL152" t="e">
        <f>AND('UP133'!AC115,"AAAAAH/d7XM=")</f>
        <v>#VALUE!</v>
      </c>
      <c r="DM152" t="e">
        <f>AND('UP133'!AD115,"AAAAAH/d7XQ=")</f>
        <v>#VALUE!</v>
      </c>
      <c r="DN152" t="e">
        <f>AND('UP133'!AE115,"AAAAAH/d7XU=")</f>
        <v>#VALUE!</v>
      </c>
      <c r="DO152" t="e">
        <f>AND('UP133'!AF115,"AAAAAH/d7XY=")</f>
        <v>#VALUE!</v>
      </c>
      <c r="DP152" t="e">
        <f>AND('UP133'!AG115,"AAAAAH/d7Xc=")</f>
        <v>#VALUE!</v>
      </c>
      <c r="DQ152" t="e">
        <f>AND('UP133'!AH115,"AAAAAH/d7Xg=")</f>
        <v>#VALUE!</v>
      </c>
      <c r="DR152" t="e">
        <f>AND('UP133'!AI115,"AAAAAH/d7Xk=")</f>
        <v>#VALUE!</v>
      </c>
      <c r="DS152" t="e">
        <f>AND('UP133'!AJ115,"AAAAAH/d7Xo=")</f>
        <v>#VALUE!</v>
      </c>
      <c r="DT152" t="e">
        <f>AND('UP133'!AK115,"AAAAAH/d7Xs=")</f>
        <v>#VALUE!</v>
      </c>
      <c r="DU152" t="e">
        <f>AND('UP133'!AL115,"AAAAAH/d7Xw=")</f>
        <v>#VALUE!</v>
      </c>
      <c r="DV152" t="e">
        <f>AND('UP133'!AM115,"AAAAAH/d7X0=")</f>
        <v>#VALUE!</v>
      </c>
      <c r="DW152" t="e">
        <f>AND('UP133'!AN115,"AAAAAH/d7X4=")</f>
        <v>#VALUE!</v>
      </c>
      <c r="DX152" t="e">
        <f>AND('UP133'!AO115,"AAAAAH/d7X8=")</f>
        <v>#VALUE!</v>
      </c>
      <c r="DY152" t="e">
        <f>AND('UP133'!AP115,"AAAAAH/d7YA=")</f>
        <v>#VALUE!</v>
      </c>
      <c r="DZ152" t="e">
        <f>AND('UP133'!AQ115,"AAAAAH/d7YE=")</f>
        <v>#VALUE!</v>
      </c>
      <c r="EA152" t="e">
        <f>AND('UP133'!AR115,"AAAAAH/d7YI=")</f>
        <v>#VALUE!</v>
      </c>
      <c r="EB152" t="e">
        <f>AND('UP133'!AS115,"AAAAAH/d7YM=")</f>
        <v>#VALUE!</v>
      </c>
      <c r="EC152" t="e">
        <f>AND('UP133'!AT115,"AAAAAH/d7YQ=")</f>
        <v>#VALUE!</v>
      </c>
      <c r="ED152" t="e">
        <f>AND('UP133'!AU115,"AAAAAH/d7YU=")</f>
        <v>#VALUE!</v>
      </c>
      <c r="EE152" t="e">
        <f>AND('UP133'!AV115,"AAAAAH/d7YY=")</f>
        <v>#VALUE!</v>
      </c>
      <c r="EF152" t="e">
        <f>AND('UP133'!AW115,"AAAAAH/d7Yc=")</f>
        <v>#VALUE!</v>
      </c>
      <c r="EG152" t="e">
        <f>AND('UP133'!AX115,"AAAAAH/d7Yg=")</f>
        <v>#VALUE!</v>
      </c>
      <c r="EH152" t="e">
        <f>AND('UP133'!AY115,"AAAAAH/d7Yk=")</f>
        <v>#VALUE!</v>
      </c>
      <c r="EI152" t="e">
        <f>AND('UP133'!AZ115,"AAAAAH/d7Yo=")</f>
        <v>#VALUE!</v>
      </c>
      <c r="EJ152" t="e">
        <f>AND('UP133'!BA115,"AAAAAH/d7Ys=")</f>
        <v>#VALUE!</v>
      </c>
      <c r="EK152" t="e">
        <f>AND('UP133'!BB115,"AAAAAH/d7Yw=")</f>
        <v>#VALUE!</v>
      </c>
      <c r="EL152" t="e">
        <f>AND('UP133'!BC115,"AAAAAH/d7Y0=")</f>
        <v>#VALUE!</v>
      </c>
      <c r="EM152" t="e">
        <f>AND('UP133'!BD115,"AAAAAH/d7Y4=")</f>
        <v>#VALUE!</v>
      </c>
      <c r="EN152" t="e">
        <f>AND('UP133'!BE115,"AAAAAH/d7Y8=")</f>
        <v>#VALUE!</v>
      </c>
      <c r="EO152" t="e">
        <f>AND('UP133'!BF115,"AAAAAH/d7ZA=")</f>
        <v>#VALUE!</v>
      </c>
      <c r="EP152" t="e">
        <f>AND('UP133'!BG115,"AAAAAH/d7ZE=")</f>
        <v>#VALUE!</v>
      </c>
      <c r="EQ152" t="e">
        <f>AND('UP133'!BH115,"AAAAAH/d7ZI=")</f>
        <v>#VALUE!</v>
      </c>
      <c r="ER152" t="e">
        <f>AND('UP133'!BI115,"AAAAAH/d7ZM=")</f>
        <v>#VALUE!</v>
      </c>
      <c r="ES152" t="e">
        <f>AND('UP133'!BJ115,"AAAAAH/d7ZQ=")</f>
        <v>#VALUE!</v>
      </c>
      <c r="ET152" t="e">
        <f>AND('UP133'!BK115,"AAAAAH/d7ZU=")</f>
        <v>#VALUE!</v>
      </c>
      <c r="EU152" t="e">
        <f>AND('UP133'!BL115,"AAAAAH/d7ZY=")</f>
        <v>#VALUE!</v>
      </c>
      <c r="EV152" t="e">
        <f>AND('UP133'!BM115,"AAAAAH/d7Zc=")</f>
        <v>#VALUE!</v>
      </c>
      <c r="EW152" t="e">
        <f>AND('UP133'!BN115,"AAAAAH/d7Zg=")</f>
        <v>#VALUE!</v>
      </c>
      <c r="EX152" t="e">
        <f>AND('UP133'!BO115,"AAAAAH/d7Zk=")</f>
        <v>#VALUE!</v>
      </c>
      <c r="EY152" t="e">
        <f>AND('UP133'!BP115,"AAAAAH/d7Zo=")</f>
        <v>#VALUE!</v>
      </c>
      <c r="EZ152" t="e">
        <f>AND('UP133'!BQ115,"AAAAAH/d7Zs=")</f>
        <v>#VALUE!</v>
      </c>
      <c r="FA152" t="e">
        <f>AND('UP133'!BR115,"AAAAAH/d7Zw=")</f>
        <v>#VALUE!</v>
      </c>
      <c r="FB152" t="e">
        <f>AND('UP133'!BS115,"AAAAAH/d7Z0=")</f>
        <v>#VALUE!</v>
      </c>
      <c r="FC152" t="e">
        <f>AND('UP133'!BT115,"AAAAAH/d7Z4=")</f>
        <v>#VALUE!</v>
      </c>
      <c r="FD152" t="e">
        <f>AND('UP133'!BU115,"AAAAAH/d7Z8=")</f>
        <v>#VALUE!</v>
      </c>
      <c r="FE152" t="e">
        <f>AND('UP133'!BV115,"AAAAAH/d7aA=")</f>
        <v>#VALUE!</v>
      </c>
      <c r="FF152" t="e">
        <f>AND('UP133'!BW115,"AAAAAH/d7aE=")</f>
        <v>#VALUE!</v>
      </c>
      <c r="FG152" t="e">
        <f>AND('UP133'!BX115,"AAAAAH/d7aI=")</f>
        <v>#VALUE!</v>
      </c>
      <c r="FH152" t="e">
        <f>AND('UP133'!BY115,"AAAAAH/d7aM=")</f>
        <v>#VALUE!</v>
      </c>
      <c r="FI152" t="e">
        <f>AND('UP133'!BZ115,"AAAAAH/d7aQ=")</f>
        <v>#VALUE!</v>
      </c>
      <c r="FJ152" t="e">
        <f>AND('UP133'!CA115,"AAAAAH/d7aU=")</f>
        <v>#VALUE!</v>
      </c>
      <c r="FK152" t="e">
        <f>AND('UP133'!CB115,"AAAAAH/d7aY=")</f>
        <v>#VALUE!</v>
      </c>
      <c r="FL152" t="e">
        <f>AND('UP133'!CC115,"AAAAAH/d7ac=")</f>
        <v>#VALUE!</v>
      </c>
      <c r="FM152" t="e">
        <f>AND('UP133'!CD115,"AAAAAH/d7ag=")</f>
        <v>#VALUE!</v>
      </c>
      <c r="FN152" t="e">
        <f>AND('UP133'!CE115,"AAAAAH/d7ak=")</f>
        <v>#VALUE!</v>
      </c>
      <c r="FO152" t="e">
        <f>AND('UP133'!CF115,"AAAAAH/d7ao=")</f>
        <v>#VALUE!</v>
      </c>
      <c r="FP152" t="e">
        <f>AND('UP133'!CG115,"AAAAAH/d7as=")</f>
        <v>#VALUE!</v>
      </c>
      <c r="FQ152" t="e">
        <f>AND('UP133'!CH115,"AAAAAH/d7aw=")</f>
        <v>#VALUE!</v>
      </c>
      <c r="FR152" t="e">
        <f>AND('UP133'!CI115,"AAAAAH/d7a0=")</f>
        <v>#VALUE!</v>
      </c>
      <c r="FS152" t="e">
        <f>AND('UP133'!CJ115,"AAAAAH/d7a4=")</f>
        <v>#VALUE!</v>
      </c>
      <c r="FT152" t="e">
        <f>AND('UP133'!CK115,"AAAAAH/d7a8=")</f>
        <v>#VALUE!</v>
      </c>
      <c r="FU152" t="e">
        <f>AND('UP133'!CL115,"AAAAAH/d7bA=")</f>
        <v>#VALUE!</v>
      </c>
      <c r="FV152" t="e">
        <f>AND('UP133'!CM115,"AAAAAH/d7bE=")</f>
        <v>#VALUE!</v>
      </c>
      <c r="FW152" t="e">
        <f>AND('UP133'!CN115,"AAAAAH/d7bI=")</f>
        <v>#VALUE!</v>
      </c>
      <c r="FX152" t="e">
        <f>AND('UP133'!CO115,"AAAAAH/d7bM=")</f>
        <v>#VALUE!</v>
      </c>
      <c r="FY152" t="e">
        <f>AND('UP133'!CP115,"AAAAAH/d7bQ=")</f>
        <v>#VALUE!</v>
      </c>
      <c r="FZ152" t="e">
        <f>AND('UP133'!CQ115,"AAAAAH/d7bU=")</f>
        <v>#VALUE!</v>
      </c>
      <c r="GA152" t="e">
        <f>AND('UP133'!CR115,"AAAAAH/d7bY=")</f>
        <v>#VALUE!</v>
      </c>
      <c r="GB152" t="e">
        <f>AND('UP133'!CS115,"AAAAAH/d7bc=")</f>
        <v>#VALUE!</v>
      </c>
      <c r="GC152" t="e">
        <f>AND('UP133'!CT115,"AAAAAH/d7bg=")</f>
        <v>#VALUE!</v>
      </c>
      <c r="GD152" t="e">
        <f>AND('UP133'!CU115,"AAAAAH/d7bk=")</f>
        <v>#VALUE!</v>
      </c>
      <c r="GE152" t="e">
        <f>AND('UP133'!CV115,"AAAAAH/d7bo=")</f>
        <v>#VALUE!</v>
      </c>
      <c r="GF152" t="e">
        <f>AND('UP133'!CW115,"AAAAAH/d7bs=")</f>
        <v>#VALUE!</v>
      </c>
      <c r="GG152" t="e">
        <f>AND('UP133'!CX115,"AAAAAH/d7bw=")</f>
        <v>#VALUE!</v>
      </c>
      <c r="GH152" t="e">
        <f>AND('UP133'!CY115,"AAAAAH/d7b0=")</f>
        <v>#VALUE!</v>
      </c>
      <c r="GI152" t="e">
        <f>AND('UP133'!CZ115,"AAAAAH/d7b4=")</f>
        <v>#VALUE!</v>
      </c>
      <c r="GJ152" t="e">
        <f>AND('UP133'!DA115,"AAAAAH/d7b8=")</f>
        <v>#VALUE!</v>
      </c>
      <c r="GK152" t="e">
        <f>AND('UP133'!DB115,"AAAAAH/d7cA=")</f>
        <v>#VALUE!</v>
      </c>
      <c r="GL152" t="e">
        <f>AND('UP133'!DC115,"AAAAAH/d7cE=")</f>
        <v>#VALUE!</v>
      </c>
      <c r="GM152" t="e">
        <f>AND('UP133'!DD115,"AAAAAH/d7cI=")</f>
        <v>#VALUE!</v>
      </c>
      <c r="GN152" t="e">
        <f>AND('UP133'!DE115,"AAAAAH/d7cM=")</f>
        <v>#VALUE!</v>
      </c>
      <c r="GO152" t="e">
        <f>AND('UP133'!DF115,"AAAAAH/d7cQ=")</f>
        <v>#VALUE!</v>
      </c>
      <c r="GP152" t="e">
        <f>AND('UP133'!DG115,"AAAAAH/d7cU=")</f>
        <v>#VALUE!</v>
      </c>
      <c r="GQ152" t="e">
        <f>AND('UP133'!DH115,"AAAAAH/d7cY=")</f>
        <v>#VALUE!</v>
      </c>
      <c r="GR152" t="e">
        <f>AND('UP133'!DI115,"AAAAAH/d7cc=")</f>
        <v>#VALUE!</v>
      </c>
      <c r="GS152" t="e">
        <f>AND('UP133'!DJ115,"AAAAAH/d7cg=")</f>
        <v>#VALUE!</v>
      </c>
      <c r="GT152" t="e">
        <f>AND('UP133'!DK115,"AAAAAH/d7ck=")</f>
        <v>#VALUE!</v>
      </c>
      <c r="GU152" t="e">
        <f>AND('UP133'!DL115,"AAAAAH/d7co=")</f>
        <v>#VALUE!</v>
      </c>
      <c r="GV152" t="e">
        <f>AND('UP133'!DM115,"AAAAAH/d7cs=")</f>
        <v>#VALUE!</v>
      </c>
      <c r="GW152" t="e">
        <f>AND('UP133'!DN115,"AAAAAH/d7cw=")</f>
        <v>#VALUE!</v>
      </c>
      <c r="GX152" t="e">
        <f>AND('UP133'!DO115,"AAAAAH/d7c0=")</f>
        <v>#VALUE!</v>
      </c>
      <c r="GY152" t="e">
        <f>AND('UP133'!DP115,"AAAAAH/d7c4=")</f>
        <v>#VALUE!</v>
      </c>
      <c r="GZ152" t="e">
        <f>AND('UP133'!DQ115,"AAAAAH/d7c8=")</f>
        <v>#VALUE!</v>
      </c>
      <c r="HA152" t="e">
        <f>AND('UP133'!DR115,"AAAAAH/d7dA=")</f>
        <v>#VALUE!</v>
      </c>
      <c r="HB152" t="e">
        <f>AND('UP133'!DS115,"AAAAAH/d7dE=")</f>
        <v>#VALUE!</v>
      </c>
      <c r="HC152" t="e">
        <f>AND('UP133'!DT115,"AAAAAH/d7dI=")</f>
        <v>#VALUE!</v>
      </c>
      <c r="HD152" t="e">
        <f>AND('UP133'!DU115,"AAAAAH/d7dM=")</f>
        <v>#VALUE!</v>
      </c>
      <c r="HE152" t="e">
        <f>AND('UP133'!DV115,"AAAAAH/d7dQ=")</f>
        <v>#VALUE!</v>
      </c>
      <c r="HF152" t="e">
        <f>AND('UP133'!DW115,"AAAAAH/d7dU=")</f>
        <v>#VALUE!</v>
      </c>
      <c r="HG152" t="e">
        <f>AND('UP133'!DX115,"AAAAAH/d7dY=")</f>
        <v>#VALUE!</v>
      </c>
      <c r="HH152" t="e">
        <f>AND('UP133'!DY115,"AAAAAH/d7dc=")</f>
        <v>#VALUE!</v>
      </c>
      <c r="HI152" t="e">
        <f>AND('UP133'!DZ115,"AAAAAH/d7dg=")</f>
        <v>#VALUE!</v>
      </c>
      <c r="HJ152" t="e">
        <f>AND('UP133'!EA115,"AAAAAH/d7dk=")</f>
        <v>#VALUE!</v>
      </c>
      <c r="HK152" t="e">
        <f>AND('UP133'!EB115,"AAAAAH/d7do=")</f>
        <v>#VALUE!</v>
      </c>
      <c r="HL152" t="e">
        <f>AND('UP133'!EC115,"AAAAAH/d7ds=")</f>
        <v>#VALUE!</v>
      </c>
      <c r="HM152" t="e">
        <f>AND('UP133'!ED115,"AAAAAH/d7dw=")</f>
        <v>#VALUE!</v>
      </c>
      <c r="HN152" t="e">
        <f>AND('UP133'!EE115,"AAAAAH/d7d0=")</f>
        <v>#VALUE!</v>
      </c>
      <c r="HO152" t="e">
        <f>AND('UP133'!EF115,"AAAAAH/d7d4=")</f>
        <v>#VALUE!</v>
      </c>
      <c r="HP152" t="e">
        <f>AND('UP133'!EG115,"AAAAAH/d7d8=")</f>
        <v>#VALUE!</v>
      </c>
      <c r="HQ152" t="e">
        <f>AND('UP133'!EH115,"AAAAAH/d7eA=")</f>
        <v>#VALUE!</v>
      </c>
      <c r="HR152" t="e">
        <f>AND('UP133'!EI115,"AAAAAH/d7eE=")</f>
        <v>#VALUE!</v>
      </c>
      <c r="HS152" t="e">
        <f>AND('UP133'!EJ115,"AAAAAH/d7eI=")</f>
        <v>#VALUE!</v>
      </c>
      <c r="HT152" t="e">
        <f>AND('UP133'!EK115,"AAAAAH/d7eM=")</f>
        <v>#VALUE!</v>
      </c>
      <c r="HU152" t="e">
        <f>AND('UP133'!EL115,"AAAAAH/d7eQ=")</f>
        <v>#VALUE!</v>
      </c>
      <c r="HV152" t="e">
        <f>AND('UP133'!EM115,"AAAAAH/d7eU=")</f>
        <v>#VALUE!</v>
      </c>
      <c r="HW152" t="e">
        <f>AND('UP133'!EN115,"AAAAAH/d7eY=")</f>
        <v>#VALUE!</v>
      </c>
      <c r="HX152" t="e">
        <f>AND('UP133'!EO115,"AAAAAH/d7ec=")</f>
        <v>#VALUE!</v>
      </c>
      <c r="HY152" t="e">
        <f>AND('UP133'!EP115,"AAAAAH/d7eg=")</f>
        <v>#VALUE!</v>
      </c>
      <c r="HZ152" t="e">
        <f>AND('UP133'!EQ115,"AAAAAH/d7ek=")</f>
        <v>#VALUE!</v>
      </c>
      <c r="IA152" t="e">
        <f>AND('UP133'!ER115,"AAAAAH/d7eo=")</f>
        <v>#VALUE!</v>
      </c>
      <c r="IB152" t="e">
        <f>AND('UP133'!ES115,"AAAAAH/d7es=")</f>
        <v>#VALUE!</v>
      </c>
      <c r="IC152" t="e">
        <f>AND('UP133'!ET115,"AAAAAH/d7ew=")</f>
        <v>#VALUE!</v>
      </c>
      <c r="ID152" t="e">
        <f>AND('UP133'!EU115,"AAAAAH/d7e0=")</f>
        <v>#VALUE!</v>
      </c>
      <c r="IE152" t="e">
        <f>AND('UP133'!EV115,"AAAAAH/d7e4=")</f>
        <v>#VALUE!</v>
      </c>
      <c r="IF152" t="e">
        <f>AND('UP133'!EW115,"AAAAAH/d7e8=")</f>
        <v>#VALUE!</v>
      </c>
      <c r="IG152" t="e">
        <f>AND('UP133'!EX115,"AAAAAH/d7fA=")</f>
        <v>#VALUE!</v>
      </c>
      <c r="IH152" t="e">
        <f>AND('UP133'!EY115,"AAAAAH/d7fE=")</f>
        <v>#VALUE!</v>
      </c>
      <c r="II152" t="e">
        <f>AND('UP133'!EZ115,"AAAAAH/d7fI=")</f>
        <v>#VALUE!</v>
      </c>
      <c r="IJ152" t="e">
        <f>AND('UP133'!FA115,"AAAAAH/d7fM=")</f>
        <v>#VALUE!</v>
      </c>
      <c r="IK152" t="e">
        <f>AND('UP133'!FB115,"AAAAAH/d7fQ=")</f>
        <v>#VALUE!</v>
      </c>
      <c r="IL152" t="e">
        <f>AND('UP133'!FC115,"AAAAAH/d7fU=")</f>
        <v>#VALUE!</v>
      </c>
      <c r="IM152" t="e">
        <f>AND('UP133'!FD115,"AAAAAH/d7fY=")</f>
        <v>#VALUE!</v>
      </c>
      <c r="IN152" t="e">
        <f>AND('UP133'!FE115,"AAAAAH/d7fc=")</f>
        <v>#VALUE!</v>
      </c>
      <c r="IO152" t="e">
        <f>AND('UP133'!FF115,"AAAAAH/d7fg=")</f>
        <v>#VALUE!</v>
      </c>
      <c r="IP152" t="e">
        <f>AND('UP133'!FG115,"AAAAAH/d7fk=")</f>
        <v>#VALUE!</v>
      </c>
      <c r="IQ152" t="e">
        <f>AND('UP133'!FH115,"AAAAAH/d7fo=")</f>
        <v>#VALUE!</v>
      </c>
      <c r="IR152" t="e">
        <f>AND('UP133'!FI115,"AAAAAH/d7fs=")</f>
        <v>#VALUE!</v>
      </c>
      <c r="IS152" t="e">
        <f>AND('UP133'!FJ115,"AAAAAH/d7fw=")</f>
        <v>#VALUE!</v>
      </c>
      <c r="IT152" t="e">
        <f>AND('UP133'!FK115,"AAAAAH/d7f0=")</f>
        <v>#VALUE!</v>
      </c>
      <c r="IU152" t="e">
        <f>AND('UP133'!FL115,"AAAAAH/d7f4=")</f>
        <v>#VALUE!</v>
      </c>
      <c r="IV152" t="e">
        <f>AND('UP133'!FM115,"AAAAAH/d7f8=")</f>
        <v>#VALUE!</v>
      </c>
    </row>
    <row r="153" spans="1:256">
      <c r="A153" t="e">
        <f>AND('UP133'!FN115,"AAAAAGh+7QA=")</f>
        <v>#VALUE!</v>
      </c>
      <c r="B153" t="e">
        <f>AND('UP133'!FO115,"AAAAAGh+7QE=")</f>
        <v>#VALUE!</v>
      </c>
      <c r="C153" t="e">
        <f>AND('UP133'!FP115,"AAAAAGh+7QI=")</f>
        <v>#VALUE!</v>
      </c>
      <c r="D153" t="e">
        <f>AND('UP133'!FQ115,"AAAAAGh+7QM=")</f>
        <v>#VALUE!</v>
      </c>
      <c r="E153" t="e">
        <f>AND('UP133'!FR115,"AAAAAGh+7QQ=")</f>
        <v>#VALUE!</v>
      </c>
      <c r="F153" t="e">
        <f>AND('UP133'!FS115,"AAAAAGh+7QU=")</f>
        <v>#VALUE!</v>
      </c>
      <c r="G153" t="e">
        <f>AND('UP133'!FT115,"AAAAAGh+7QY=")</f>
        <v>#VALUE!</v>
      </c>
      <c r="H153" t="e">
        <f>AND('UP133'!FU115,"AAAAAGh+7Qc=")</f>
        <v>#VALUE!</v>
      </c>
      <c r="I153" t="e">
        <f>AND('UP133'!FV115,"AAAAAGh+7Qg=")</f>
        <v>#VALUE!</v>
      </c>
      <c r="J153" t="e">
        <f>AND('UP133'!FW115,"AAAAAGh+7Qk=")</f>
        <v>#VALUE!</v>
      </c>
      <c r="K153" t="e">
        <f>AND('UP133'!FX115,"AAAAAGh+7Qo=")</f>
        <v>#VALUE!</v>
      </c>
      <c r="L153" t="e">
        <f>AND('UP133'!FY115,"AAAAAGh+7Qs=")</f>
        <v>#VALUE!</v>
      </c>
      <c r="M153" t="e">
        <f>AND('UP133'!FZ115,"AAAAAGh+7Qw=")</f>
        <v>#VALUE!</v>
      </c>
      <c r="N153" t="e">
        <f>AND('UP133'!GA115,"AAAAAGh+7Q0=")</f>
        <v>#VALUE!</v>
      </c>
      <c r="O153" t="e">
        <f>AND('UP133'!GB115,"AAAAAGh+7Q4=")</f>
        <v>#VALUE!</v>
      </c>
      <c r="P153" t="e">
        <f>AND('UP133'!GC115,"AAAAAGh+7Q8=")</f>
        <v>#VALUE!</v>
      </c>
      <c r="Q153" t="e">
        <f>AND('UP133'!GD115,"AAAAAGh+7RA=")</f>
        <v>#VALUE!</v>
      </c>
      <c r="R153" t="e">
        <f>AND('UP133'!GE115,"AAAAAGh+7RE=")</f>
        <v>#VALUE!</v>
      </c>
      <c r="S153" t="e">
        <f>AND('UP133'!GF115,"AAAAAGh+7RI=")</f>
        <v>#VALUE!</v>
      </c>
      <c r="T153" t="e">
        <f>AND('UP133'!GG115,"AAAAAGh+7RM=")</f>
        <v>#VALUE!</v>
      </c>
      <c r="U153" t="e">
        <f>AND('UP133'!GH115,"AAAAAGh+7RQ=")</f>
        <v>#VALUE!</v>
      </c>
      <c r="V153" t="e">
        <f>AND('UP133'!GI115,"AAAAAGh+7RU=")</f>
        <v>#VALUE!</v>
      </c>
      <c r="W153" t="e">
        <f>AND('UP133'!GJ115,"AAAAAGh+7RY=")</f>
        <v>#VALUE!</v>
      </c>
      <c r="X153" t="e">
        <f>AND('UP133'!GK115,"AAAAAGh+7Rc=")</f>
        <v>#VALUE!</v>
      </c>
      <c r="Y153" t="e">
        <f>AND('UP133'!GL115,"AAAAAGh+7Rg=")</f>
        <v>#VALUE!</v>
      </c>
      <c r="Z153" t="e">
        <f>AND('UP133'!GM115,"AAAAAGh+7Rk=")</f>
        <v>#VALUE!</v>
      </c>
      <c r="AA153" t="e">
        <f>AND('UP133'!GN115,"AAAAAGh+7Ro=")</f>
        <v>#VALUE!</v>
      </c>
      <c r="AB153" t="e">
        <f>AND('UP133'!GO115,"AAAAAGh+7Rs=")</f>
        <v>#VALUE!</v>
      </c>
      <c r="AC153" t="e">
        <f>AND('UP133'!GP115,"AAAAAGh+7Rw=")</f>
        <v>#VALUE!</v>
      </c>
      <c r="AD153" t="e">
        <f>AND('UP133'!GQ115,"AAAAAGh+7R0=")</f>
        <v>#VALUE!</v>
      </c>
      <c r="AE153" t="e">
        <f>AND('UP133'!GR115,"AAAAAGh+7R4=")</f>
        <v>#VALUE!</v>
      </c>
      <c r="AF153" t="e">
        <f>AND('UP133'!GS115,"AAAAAGh+7R8=")</f>
        <v>#VALUE!</v>
      </c>
      <c r="AG153" t="e">
        <f>AND('UP133'!GT115,"AAAAAGh+7SA=")</f>
        <v>#VALUE!</v>
      </c>
      <c r="AH153" t="e">
        <f>AND('UP133'!GU115,"AAAAAGh+7SE=")</f>
        <v>#VALUE!</v>
      </c>
      <c r="AI153" t="e">
        <f>AND('UP133'!GV115,"AAAAAGh+7SI=")</f>
        <v>#VALUE!</v>
      </c>
      <c r="AJ153" t="e">
        <f>AND('UP133'!GW115,"AAAAAGh+7SM=")</f>
        <v>#VALUE!</v>
      </c>
      <c r="AK153" t="e">
        <f>AND('UP133'!GX115,"AAAAAGh+7SQ=")</f>
        <v>#VALUE!</v>
      </c>
      <c r="AL153" t="e">
        <f>AND('UP133'!GY115,"AAAAAGh+7SU=")</f>
        <v>#VALUE!</v>
      </c>
      <c r="AM153" t="e">
        <f>AND('UP133'!GZ115,"AAAAAGh+7SY=")</f>
        <v>#VALUE!</v>
      </c>
      <c r="AN153" t="e">
        <f>AND('UP133'!HA115,"AAAAAGh+7Sc=")</f>
        <v>#VALUE!</v>
      </c>
      <c r="AO153" t="e">
        <f>AND('UP133'!HB115,"AAAAAGh+7Sg=")</f>
        <v>#VALUE!</v>
      </c>
      <c r="AP153" t="e">
        <f>AND('UP133'!HC115,"AAAAAGh+7Sk=")</f>
        <v>#VALUE!</v>
      </c>
      <c r="AQ153" t="e">
        <f>AND('UP133'!HD115,"AAAAAGh+7So=")</f>
        <v>#VALUE!</v>
      </c>
      <c r="AR153" t="e">
        <f>AND('UP133'!HE115,"AAAAAGh+7Ss=")</f>
        <v>#VALUE!</v>
      </c>
      <c r="AS153" t="e">
        <f>AND('UP133'!HF115,"AAAAAGh+7Sw=")</f>
        <v>#VALUE!</v>
      </c>
      <c r="AT153" t="e">
        <f>AND('UP133'!HG115,"AAAAAGh+7S0=")</f>
        <v>#VALUE!</v>
      </c>
      <c r="AU153" t="e">
        <f>AND('UP133'!HH115,"AAAAAGh+7S4=")</f>
        <v>#VALUE!</v>
      </c>
      <c r="AV153" t="e">
        <f>AND('UP133'!HI115,"AAAAAGh+7S8=")</f>
        <v>#VALUE!</v>
      </c>
      <c r="AW153" t="e">
        <f>AND('UP133'!HJ115,"AAAAAGh+7TA=")</f>
        <v>#VALUE!</v>
      </c>
      <c r="AX153" t="e">
        <f>AND('UP133'!HK115,"AAAAAGh+7TE=")</f>
        <v>#VALUE!</v>
      </c>
      <c r="AY153" t="e">
        <f>AND('UP133'!HL115,"AAAAAGh+7TI=")</f>
        <v>#VALUE!</v>
      </c>
      <c r="AZ153" t="e">
        <f>AND('UP133'!HM115,"AAAAAGh+7TM=")</f>
        <v>#VALUE!</v>
      </c>
      <c r="BA153" t="e">
        <f>AND('UP133'!HN115,"AAAAAGh+7TQ=")</f>
        <v>#VALUE!</v>
      </c>
      <c r="BB153" t="e">
        <f>AND('UP133'!HO115,"AAAAAGh+7TU=")</f>
        <v>#VALUE!</v>
      </c>
      <c r="BC153" t="e">
        <f>AND('UP133'!HP115,"AAAAAGh+7TY=")</f>
        <v>#VALUE!</v>
      </c>
      <c r="BD153" t="e">
        <f>AND('UP133'!HQ115,"AAAAAGh+7Tc=")</f>
        <v>#VALUE!</v>
      </c>
      <c r="BE153" t="e">
        <f>AND('UP133'!HR115,"AAAAAGh+7Tg=")</f>
        <v>#VALUE!</v>
      </c>
      <c r="BF153" t="e">
        <f>AND('UP133'!HS115,"AAAAAGh+7Tk=")</f>
        <v>#VALUE!</v>
      </c>
      <c r="BG153" t="e">
        <f>AND('UP133'!HT115,"AAAAAGh+7To=")</f>
        <v>#VALUE!</v>
      </c>
      <c r="BH153" t="e">
        <f>AND('UP133'!HU115,"AAAAAGh+7Ts=")</f>
        <v>#VALUE!</v>
      </c>
      <c r="BI153" t="e">
        <f>AND('UP133'!HV115,"AAAAAGh+7Tw=")</f>
        <v>#VALUE!</v>
      </c>
      <c r="BJ153" t="e">
        <f>AND('UP133'!HW115,"AAAAAGh+7T0=")</f>
        <v>#VALUE!</v>
      </c>
      <c r="BK153" t="e">
        <f>AND('UP133'!HX115,"AAAAAGh+7T4=")</f>
        <v>#VALUE!</v>
      </c>
      <c r="BL153" t="e">
        <f>AND('UP133'!HY115,"AAAAAGh+7T8=")</f>
        <v>#VALUE!</v>
      </c>
      <c r="BM153" t="e">
        <f>AND('UP133'!HZ115,"AAAAAGh+7UA=")</f>
        <v>#VALUE!</v>
      </c>
      <c r="BN153" t="e">
        <f>AND('UP133'!IA115,"AAAAAGh+7UE=")</f>
        <v>#VALUE!</v>
      </c>
      <c r="BO153" t="e">
        <f>AND('UP133'!IB115,"AAAAAGh+7UI=")</f>
        <v>#VALUE!</v>
      </c>
      <c r="BP153" t="e">
        <f>AND('UP133'!IC115,"AAAAAGh+7UM=")</f>
        <v>#VALUE!</v>
      </c>
      <c r="BQ153" t="e">
        <f>AND('UP133'!ID115,"AAAAAGh+7UQ=")</f>
        <v>#VALUE!</v>
      </c>
      <c r="BR153" t="e">
        <f>AND('UP133'!IE115,"AAAAAGh+7UU=")</f>
        <v>#VALUE!</v>
      </c>
      <c r="BS153" t="e">
        <f>AND('UP133'!IF115,"AAAAAGh+7UY=")</f>
        <v>#VALUE!</v>
      </c>
      <c r="BT153" t="e">
        <f>AND('UP133'!IG115,"AAAAAGh+7Uc=")</f>
        <v>#VALUE!</v>
      </c>
      <c r="BU153" t="e">
        <f>AND('UP133'!IH115,"AAAAAGh+7Ug=")</f>
        <v>#VALUE!</v>
      </c>
      <c r="BV153" t="e">
        <f>AND('UP133'!II115,"AAAAAGh+7Uk=")</f>
        <v>#VALUE!</v>
      </c>
      <c r="BW153" t="e">
        <f>AND('UP133'!IJ115,"AAAAAGh+7Uo=")</f>
        <v>#VALUE!</v>
      </c>
      <c r="BX153" t="e">
        <f>AND('UP133'!IK115,"AAAAAGh+7Us=")</f>
        <v>#VALUE!</v>
      </c>
      <c r="BY153" t="e">
        <f>AND('UP133'!IL115,"AAAAAGh+7Uw=")</f>
        <v>#VALUE!</v>
      </c>
      <c r="BZ153" t="e">
        <f>AND('UP133'!IM115,"AAAAAGh+7U0=")</f>
        <v>#VALUE!</v>
      </c>
      <c r="CA153" t="e">
        <f>AND('UP133'!IN115,"AAAAAGh+7U4=")</f>
        <v>#VALUE!</v>
      </c>
      <c r="CB153" t="e">
        <f>AND('UP133'!IO115,"AAAAAGh+7U8=")</f>
        <v>#VALUE!</v>
      </c>
      <c r="CC153" t="e">
        <f>AND('UP133'!IP115,"AAAAAGh+7VA=")</f>
        <v>#VALUE!</v>
      </c>
      <c r="CD153" t="e">
        <f>AND('UP133'!IQ115,"AAAAAGh+7VE=")</f>
        <v>#VALUE!</v>
      </c>
      <c r="CE153">
        <f>IF('UP133'!116:116,"AAAAAGh+7VI=",0)</f>
        <v>0</v>
      </c>
      <c r="CF153" t="e">
        <f>AND('UP133'!A116,"AAAAAGh+7VM=")</f>
        <v>#VALUE!</v>
      </c>
      <c r="CG153" t="e">
        <f>AND('UP133'!B116,"AAAAAGh+7VQ=")</f>
        <v>#VALUE!</v>
      </c>
      <c r="CH153" t="e">
        <f>AND('UP133'!C116,"AAAAAGh+7VU=")</f>
        <v>#VALUE!</v>
      </c>
      <c r="CI153" t="e">
        <f>AND('UP133'!D116,"AAAAAGh+7VY=")</f>
        <v>#VALUE!</v>
      </c>
      <c r="CJ153" t="e">
        <f>AND('UP133'!E116,"AAAAAGh+7Vc=")</f>
        <v>#VALUE!</v>
      </c>
      <c r="CK153" t="e">
        <f>AND('UP133'!F116,"AAAAAGh+7Vg=")</f>
        <v>#VALUE!</v>
      </c>
      <c r="CL153" t="e">
        <f>AND('UP133'!G116,"AAAAAGh+7Vk=")</f>
        <v>#VALUE!</v>
      </c>
      <c r="CM153" t="e">
        <f>AND('UP133'!H116,"AAAAAGh+7Vo=")</f>
        <v>#VALUE!</v>
      </c>
      <c r="CN153" t="e">
        <f>AND('UP133'!I116,"AAAAAGh+7Vs=")</f>
        <v>#VALUE!</v>
      </c>
      <c r="CO153" t="e">
        <f>AND('UP133'!J116,"AAAAAGh+7Vw=")</f>
        <v>#VALUE!</v>
      </c>
      <c r="CP153" t="e">
        <f>AND('UP133'!K116,"AAAAAGh+7V0=")</f>
        <v>#VALUE!</v>
      </c>
      <c r="CQ153" t="e">
        <f>AND('UP133'!L116,"AAAAAGh+7V4=")</f>
        <v>#VALUE!</v>
      </c>
      <c r="CR153" t="e">
        <f>AND('UP133'!M116,"AAAAAGh+7V8=")</f>
        <v>#VALUE!</v>
      </c>
      <c r="CS153" t="e">
        <f>AND('UP133'!N116,"AAAAAGh+7WA=")</f>
        <v>#VALUE!</v>
      </c>
      <c r="CT153" t="e">
        <f>AND('UP133'!O116,"AAAAAGh+7WE=")</f>
        <v>#VALUE!</v>
      </c>
      <c r="CU153" t="e">
        <f>AND('UP133'!P116,"AAAAAGh+7WI=")</f>
        <v>#VALUE!</v>
      </c>
      <c r="CV153" t="e">
        <f>AND('UP133'!Q116,"AAAAAGh+7WM=")</f>
        <v>#VALUE!</v>
      </c>
      <c r="CW153" t="e">
        <f>AND('UP133'!R116,"AAAAAGh+7WQ=")</f>
        <v>#VALUE!</v>
      </c>
      <c r="CX153" t="e">
        <f>AND('UP133'!S116,"AAAAAGh+7WU=")</f>
        <v>#VALUE!</v>
      </c>
      <c r="CY153" t="e">
        <f>AND('UP133'!T116,"AAAAAGh+7WY=")</f>
        <v>#VALUE!</v>
      </c>
      <c r="CZ153" t="e">
        <f>AND('UP133'!U116,"AAAAAGh+7Wc=")</f>
        <v>#VALUE!</v>
      </c>
      <c r="DA153" t="e">
        <f>AND('UP133'!V116,"AAAAAGh+7Wg=")</f>
        <v>#VALUE!</v>
      </c>
      <c r="DB153" t="e">
        <f>AND('UP133'!W116,"AAAAAGh+7Wk=")</f>
        <v>#VALUE!</v>
      </c>
      <c r="DC153" t="e">
        <f>AND('UP133'!X116,"AAAAAGh+7Wo=")</f>
        <v>#VALUE!</v>
      </c>
      <c r="DD153" t="e">
        <f>AND('UP133'!Y116,"AAAAAGh+7Ws=")</f>
        <v>#VALUE!</v>
      </c>
      <c r="DE153" t="e">
        <f>AND('UP133'!Z116,"AAAAAGh+7Ww=")</f>
        <v>#VALUE!</v>
      </c>
      <c r="DF153" t="e">
        <f>AND('UP133'!AA116,"AAAAAGh+7W0=")</f>
        <v>#VALUE!</v>
      </c>
      <c r="DG153" t="e">
        <f>AND('UP133'!AB116,"AAAAAGh+7W4=")</f>
        <v>#VALUE!</v>
      </c>
      <c r="DH153" t="e">
        <f>AND('UP133'!AC116,"AAAAAGh+7W8=")</f>
        <v>#VALUE!</v>
      </c>
      <c r="DI153" t="e">
        <f>AND('UP133'!AD116,"AAAAAGh+7XA=")</f>
        <v>#VALUE!</v>
      </c>
      <c r="DJ153" t="e">
        <f>AND('UP133'!AE116,"AAAAAGh+7XE=")</f>
        <v>#VALUE!</v>
      </c>
      <c r="DK153" t="e">
        <f>AND('UP133'!AF116,"AAAAAGh+7XI=")</f>
        <v>#VALUE!</v>
      </c>
      <c r="DL153" t="e">
        <f>AND('UP133'!AG116,"AAAAAGh+7XM=")</f>
        <v>#VALUE!</v>
      </c>
      <c r="DM153" t="e">
        <f>AND('UP133'!AH116,"AAAAAGh+7XQ=")</f>
        <v>#VALUE!</v>
      </c>
      <c r="DN153" t="e">
        <f>AND('UP133'!AI116,"AAAAAGh+7XU=")</f>
        <v>#VALUE!</v>
      </c>
      <c r="DO153" t="e">
        <f>AND('UP133'!AJ116,"AAAAAGh+7XY=")</f>
        <v>#VALUE!</v>
      </c>
      <c r="DP153" t="e">
        <f>AND('UP133'!AK116,"AAAAAGh+7Xc=")</f>
        <v>#VALUE!</v>
      </c>
      <c r="DQ153" t="e">
        <f>AND('UP133'!AL116,"AAAAAGh+7Xg=")</f>
        <v>#VALUE!</v>
      </c>
      <c r="DR153" t="e">
        <f>AND('UP133'!AM116,"AAAAAGh+7Xk=")</f>
        <v>#VALUE!</v>
      </c>
      <c r="DS153" t="e">
        <f>AND('UP133'!AN116,"AAAAAGh+7Xo=")</f>
        <v>#VALUE!</v>
      </c>
      <c r="DT153" t="e">
        <f>AND('UP133'!AO116,"AAAAAGh+7Xs=")</f>
        <v>#VALUE!</v>
      </c>
      <c r="DU153" t="e">
        <f>AND('UP133'!AP116,"AAAAAGh+7Xw=")</f>
        <v>#VALUE!</v>
      </c>
      <c r="DV153" t="e">
        <f>AND('UP133'!AQ116,"AAAAAGh+7X0=")</f>
        <v>#VALUE!</v>
      </c>
      <c r="DW153" t="e">
        <f>AND('UP133'!AR116,"AAAAAGh+7X4=")</f>
        <v>#VALUE!</v>
      </c>
      <c r="DX153" t="e">
        <f>AND('UP133'!AS116,"AAAAAGh+7X8=")</f>
        <v>#VALUE!</v>
      </c>
      <c r="DY153" t="e">
        <f>AND('UP133'!AT116,"AAAAAGh+7YA=")</f>
        <v>#VALUE!</v>
      </c>
      <c r="DZ153" t="e">
        <f>AND('UP133'!AU116,"AAAAAGh+7YE=")</f>
        <v>#VALUE!</v>
      </c>
      <c r="EA153" t="e">
        <f>AND('UP133'!AV116,"AAAAAGh+7YI=")</f>
        <v>#VALUE!</v>
      </c>
      <c r="EB153" t="e">
        <f>AND('UP133'!AW116,"AAAAAGh+7YM=")</f>
        <v>#VALUE!</v>
      </c>
      <c r="EC153" t="e">
        <f>AND('UP133'!AX116,"AAAAAGh+7YQ=")</f>
        <v>#VALUE!</v>
      </c>
      <c r="ED153" t="e">
        <f>AND('UP133'!AY116,"AAAAAGh+7YU=")</f>
        <v>#VALUE!</v>
      </c>
      <c r="EE153" t="e">
        <f>AND('UP133'!AZ116,"AAAAAGh+7YY=")</f>
        <v>#VALUE!</v>
      </c>
      <c r="EF153" t="e">
        <f>AND('UP133'!BA116,"AAAAAGh+7Yc=")</f>
        <v>#VALUE!</v>
      </c>
      <c r="EG153" t="e">
        <f>AND('UP133'!BB116,"AAAAAGh+7Yg=")</f>
        <v>#VALUE!</v>
      </c>
      <c r="EH153" t="e">
        <f>AND('UP133'!BC116,"AAAAAGh+7Yk=")</f>
        <v>#VALUE!</v>
      </c>
      <c r="EI153" t="e">
        <f>AND('UP133'!BD116,"AAAAAGh+7Yo=")</f>
        <v>#VALUE!</v>
      </c>
      <c r="EJ153" t="e">
        <f>AND('UP133'!BE116,"AAAAAGh+7Ys=")</f>
        <v>#VALUE!</v>
      </c>
      <c r="EK153" t="e">
        <f>AND('UP133'!BF116,"AAAAAGh+7Yw=")</f>
        <v>#VALUE!</v>
      </c>
      <c r="EL153" t="e">
        <f>AND('UP133'!BG116,"AAAAAGh+7Y0=")</f>
        <v>#VALUE!</v>
      </c>
      <c r="EM153" t="e">
        <f>AND('UP133'!BH116,"AAAAAGh+7Y4=")</f>
        <v>#VALUE!</v>
      </c>
      <c r="EN153" t="e">
        <f>AND('UP133'!BI116,"AAAAAGh+7Y8=")</f>
        <v>#VALUE!</v>
      </c>
      <c r="EO153" t="e">
        <f>AND('UP133'!BJ116,"AAAAAGh+7ZA=")</f>
        <v>#VALUE!</v>
      </c>
      <c r="EP153" t="e">
        <f>AND('UP133'!BK116,"AAAAAGh+7ZE=")</f>
        <v>#VALUE!</v>
      </c>
      <c r="EQ153" t="e">
        <f>AND('UP133'!BL116,"AAAAAGh+7ZI=")</f>
        <v>#VALUE!</v>
      </c>
      <c r="ER153" t="e">
        <f>AND('UP133'!BM116,"AAAAAGh+7ZM=")</f>
        <v>#VALUE!</v>
      </c>
      <c r="ES153" t="e">
        <f>AND('UP133'!BN116,"AAAAAGh+7ZQ=")</f>
        <v>#VALUE!</v>
      </c>
      <c r="ET153" t="e">
        <f>AND('UP133'!BO116,"AAAAAGh+7ZU=")</f>
        <v>#VALUE!</v>
      </c>
      <c r="EU153" t="e">
        <f>AND('UP133'!BP116,"AAAAAGh+7ZY=")</f>
        <v>#VALUE!</v>
      </c>
      <c r="EV153" t="e">
        <f>AND('UP133'!BQ116,"AAAAAGh+7Zc=")</f>
        <v>#VALUE!</v>
      </c>
      <c r="EW153" t="e">
        <f>AND('UP133'!BR116,"AAAAAGh+7Zg=")</f>
        <v>#VALUE!</v>
      </c>
      <c r="EX153" t="e">
        <f>AND('UP133'!BS116,"AAAAAGh+7Zk=")</f>
        <v>#VALUE!</v>
      </c>
      <c r="EY153" t="e">
        <f>AND('UP133'!BT116,"AAAAAGh+7Zo=")</f>
        <v>#VALUE!</v>
      </c>
      <c r="EZ153" t="e">
        <f>AND('UP133'!BU116,"AAAAAGh+7Zs=")</f>
        <v>#VALUE!</v>
      </c>
      <c r="FA153" t="e">
        <f>AND('UP133'!BV116,"AAAAAGh+7Zw=")</f>
        <v>#VALUE!</v>
      </c>
      <c r="FB153" t="e">
        <f>AND('UP133'!BW116,"AAAAAGh+7Z0=")</f>
        <v>#VALUE!</v>
      </c>
      <c r="FC153" t="e">
        <f>AND('UP133'!BX116,"AAAAAGh+7Z4=")</f>
        <v>#VALUE!</v>
      </c>
      <c r="FD153" t="e">
        <f>AND('UP133'!BY116,"AAAAAGh+7Z8=")</f>
        <v>#VALUE!</v>
      </c>
      <c r="FE153" t="e">
        <f>AND('UP133'!BZ116,"AAAAAGh+7aA=")</f>
        <v>#VALUE!</v>
      </c>
      <c r="FF153" t="e">
        <f>AND('UP133'!CA116,"AAAAAGh+7aE=")</f>
        <v>#VALUE!</v>
      </c>
      <c r="FG153" t="e">
        <f>AND('UP133'!CB116,"AAAAAGh+7aI=")</f>
        <v>#VALUE!</v>
      </c>
      <c r="FH153" t="e">
        <f>AND('UP133'!CC116,"AAAAAGh+7aM=")</f>
        <v>#VALUE!</v>
      </c>
      <c r="FI153" t="e">
        <f>AND('UP133'!CD116,"AAAAAGh+7aQ=")</f>
        <v>#VALUE!</v>
      </c>
      <c r="FJ153" t="e">
        <f>AND('UP133'!CE116,"AAAAAGh+7aU=")</f>
        <v>#VALUE!</v>
      </c>
      <c r="FK153" t="e">
        <f>AND('UP133'!CF116,"AAAAAGh+7aY=")</f>
        <v>#VALUE!</v>
      </c>
      <c r="FL153" t="e">
        <f>AND('UP133'!CG116,"AAAAAGh+7ac=")</f>
        <v>#VALUE!</v>
      </c>
      <c r="FM153" t="e">
        <f>AND('UP133'!CH116,"AAAAAGh+7ag=")</f>
        <v>#VALUE!</v>
      </c>
      <c r="FN153" t="e">
        <f>AND('UP133'!CI116,"AAAAAGh+7ak=")</f>
        <v>#VALUE!</v>
      </c>
      <c r="FO153" t="e">
        <f>AND('UP133'!CJ116,"AAAAAGh+7ao=")</f>
        <v>#VALUE!</v>
      </c>
      <c r="FP153" t="e">
        <f>AND('UP133'!CK116,"AAAAAGh+7as=")</f>
        <v>#VALUE!</v>
      </c>
      <c r="FQ153" t="e">
        <f>AND('UP133'!CL116,"AAAAAGh+7aw=")</f>
        <v>#VALUE!</v>
      </c>
      <c r="FR153" t="e">
        <f>AND('UP133'!CM116,"AAAAAGh+7a0=")</f>
        <v>#VALUE!</v>
      </c>
      <c r="FS153" t="e">
        <f>AND('UP133'!CN116,"AAAAAGh+7a4=")</f>
        <v>#VALUE!</v>
      </c>
      <c r="FT153" t="e">
        <f>AND('UP133'!CO116,"AAAAAGh+7a8=")</f>
        <v>#VALUE!</v>
      </c>
      <c r="FU153" t="e">
        <f>AND('UP133'!CP116,"AAAAAGh+7bA=")</f>
        <v>#VALUE!</v>
      </c>
      <c r="FV153" t="e">
        <f>AND('UP133'!CQ116,"AAAAAGh+7bE=")</f>
        <v>#VALUE!</v>
      </c>
      <c r="FW153" t="e">
        <f>AND('UP133'!CR116,"AAAAAGh+7bI=")</f>
        <v>#VALUE!</v>
      </c>
      <c r="FX153" t="e">
        <f>AND('UP133'!CS116,"AAAAAGh+7bM=")</f>
        <v>#VALUE!</v>
      </c>
      <c r="FY153" t="e">
        <f>AND('UP133'!CT116,"AAAAAGh+7bQ=")</f>
        <v>#VALUE!</v>
      </c>
      <c r="FZ153" t="e">
        <f>AND('UP133'!CU116,"AAAAAGh+7bU=")</f>
        <v>#VALUE!</v>
      </c>
      <c r="GA153" t="e">
        <f>AND('UP133'!CV116,"AAAAAGh+7bY=")</f>
        <v>#VALUE!</v>
      </c>
      <c r="GB153" t="e">
        <f>AND('UP133'!CW116,"AAAAAGh+7bc=")</f>
        <v>#VALUE!</v>
      </c>
      <c r="GC153" t="e">
        <f>AND('UP133'!CX116,"AAAAAGh+7bg=")</f>
        <v>#VALUE!</v>
      </c>
      <c r="GD153" t="e">
        <f>AND('UP133'!CY116,"AAAAAGh+7bk=")</f>
        <v>#VALUE!</v>
      </c>
      <c r="GE153" t="e">
        <f>AND('UP133'!CZ116,"AAAAAGh+7bo=")</f>
        <v>#VALUE!</v>
      </c>
      <c r="GF153" t="e">
        <f>AND('UP133'!DA116,"AAAAAGh+7bs=")</f>
        <v>#VALUE!</v>
      </c>
      <c r="GG153" t="e">
        <f>AND('UP133'!DB116,"AAAAAGh+7bw=")</f>
        <v>#VALUE!</v>
      </c>
      <c r="GH153" t="e">
        <f>AND('UP133'!DC116,"AAAAAGh+7b0=")</f>
        <v>#VALUE!</v>
      </c>
      <c r="GI153" t="e">
        <f>AND('UP133'!DD116,"AAAAAGh+7b4=")</f>
        <v>#VALUE!</v>
      </c>
      <c r="GJ153" t="e">
        <f>AND('UP133'!DE116,"AAAAAGh+7b8=")</f>
        <v>#VALUE!</v>
      </c>
      <c r="GK153" t="e">
        <f>AND('UP133'!DF116,"AAAAAGh+7cA=")</f>
        <v>#VALUE!</v>
      </c>
      <c r="GL153" t="e">
        <f>AND('UP133'!DG116,"AAAAAGh+7cE=")</f>
        <v>#VALUE!</v>
      </c>
      <c r="GM153" t="e">
        <f>AND('UP133'!DH116,"AAAAAGh+7cI=")</f>
        <v>#VALUE!</v>
      </c>
      <c r="GN153" t="e">
        <f>AND('UP133'!DI116,"AAAAAGh+7cM=")</f>
        <v>#VALUE!</v>
      </c>
      <c r="GO153" t="e">
        <f>AND('UP133'!DJ116,"AAAAAGh+7cQ=")</f>
        <v>#VALUE!</v>
      </c>
      <c r="GP153" t="e">
        <f>AND('UP133'!DK116,"AAAAAGh+7cU=")</f>
        <v>#VALUE!</v>
      </c>
      <c r="GQ153" t="e">
        <f>AND('UP133'!DL116,"AAAAAGh+7cY=")</f>
        <v>#VALUE!</v>
      </c>
      <c r="GR153" t="e">
        <f>AND('UP133'!DM116,"AAAAAGh+7cc=")</f>
        <v>#VALUE!</v>
      </c>
      <c r="GS153" t="e">
        <f>AND('UP133'!DN116,"AAAAAGh+7cg=")</f>
        <v>#VALUE!</v>
      </c>
      <c r="GT153" t="e">
        <f>AND('UP133'!DO116,"AAAAAGh+7ck=")</f>
        <v>#VALUE!</v>
      </c>
      <c r="GU153" t="e">
        <f>AND('UP133'!DP116,"AAAAAGh+7co=")</f>
        <v>#VALUE!</v>
      </c>
      <c r="GV153" t="e">
        <f>AND('UP133'!DQ116,"AAAAAGh+7cs=")</f>
        <v>#VALUE!</v>
      </c>
      <c r="GW153" t="e">
        <f>AND('UP133'!DR116,"AAAAAGh+7cw=")</f>
        <v>#VALUE!</v>
      </c>
      <c r="GX153" t="e">
        <f>AND('UP133'!DS116,"AAAAAGh+7c0=")</f>
        <v>#VALUE!</v>
      </c>
      <c r="GY153" t="e">
        <f>AND('UP133'!DT116,"AAAAAGh+7c4=")</f>
        <v>#VALUE!</v>
      </c>
      <c r="GZ153" t="e">
        <f>AND('UP133'!DU116,"AAAAAGh+7c8=")</f>
        <v>#VALUE!</v>
      </c>
      <c r="HA153" t="e">
        <f>AND('UP133'!DV116,"AAAAAGh+7dA=")</f>
        <v>#VALUE!</v>
      </c>
      <c r="HB153" t="e">
        <f>AND('UP133'!DW116,"AAAAAGh+7dE=")</f>
        <v>#VALUE!</v>
      </c>
      <c r="HC153" t="e">
        <f>AND('UP133'!DX116,"AAAAAGh+7dI=")</f>
        <v>#VALUE!</v>
      </c>
      <c r="HD153" t="e">
        <f>AND('UP133'!DY116,"AAAAAGh+7dM=")</f>
        <v>#VALUE!</v>
      </c>
      <c r="HE153" t="e">
        <f>AND('UP133'!DZ116,"AAAAAGh+7dQ=")</f>
        <v>#VALUE!</v>
      </c>
      <c r="HF153" t="e">
        <f>AND('UP133'!EA116,"AAAAAGh+7dU=")</f>
        <v>#VALUE!</v>
      </c>
      <c r="HG153" t="e">
        <f>AND('UP133'!EB116,"AAAAAGh+7dY=")</f>
        <v>#VALUE!</v>
      </c>
      <c r="HH153" t="e">
        <f>AND('UP133'!EC116,"AAAAAGh+7dc=")</f>
        <v>#VALUE!</v>
      </c>
      <c r="HI153" t="e">
        <f>AND('UP133'!ED116,"AAAAAGh+7dg=")</f>
        <v>#VALUE!</v>
      </c>
      <c r="HJ153" t="e">
        <f>AND('UP133'!EE116,"AAAAAGh+7dk=")</f>
        <v>#VALUE!</v>
      </c>
      <c r="HK153" t="e">
        <f>AND('UP133'!EF116,"AAAAAGh+7do=")</f>
        <v>#VALUE!</v>
      </c>
      <c r="HL153" t="e">
        <f>AND('UP133'!EG116,"AAAAAGh+7ds=")</f>
        <v>#VALUE!</v>
      </c>
      <c r="HM153" t="e">
        <f>AND('UP133'!EH116,"AAAAAGh+7dw=")</f>
        <v>#VALUE!</v>
      </c>
      <c r="HN153" t="e">
        <f>AND('UP133'!EI116,"AAAAAGh+7d0=")</f>
        <v>#VALUE!</v>
      </c>
      <c r="HO153" t="e">
        <f>AND('UP133'!EJ116,"AAAAAGh+7d4=")</f>
        <v>#VALUE!</v>
      </c>
      <c r="HP153" t="e">
        <f>AND('UP133'!EK116,"AAAAAGh+7d8=")</f>
        <v>#VALUE!</v>
      </c>
      <c r="HQ153" t="e">
        <f>AND('UP133'!EL116,"AAAAAGh+7eA=")</f>
        <v>#VALUE!</v>
      </c>
      <c r="HR153" t="e">
        <f>AND('UP133'!EM116,"AAAAAGh+7eE=")</f>
        <v>#VALUE!</v>
      </c>
      <c r="HS153" t="e">
        <f>AND('UP133'!EN116,"AAAAAGh+7eI=")</f>
        <v>#VALUE!</v>
      </c>
      <c r="HT153" t="e">
        <f>AND('UP133'!EO116,"AAAAAGh+7eM=")</f>
        <v>#VALUE!</v>
      </c>
      <c r="HU153" t="e">
        <f>AND('UP133'!EP116,"AAAAAGh+7eQ=")</f>
        <v>#VALUE!</v>
      </c>
      <c r="HV153" t="e">
        <f>AND('UP133'!EQ116,"AAAAAGh+7eU=")</f>
        <v>#VALUE!</v>
      </c>
      <c r="HW153" t="e">
        <f>AND('UP133'!ER116,"AAAAAGh+7eY=")</f>
        <v>#VALUE!</v>
      </c>
      <c r="HX153" t="e">
        <f>AND('UP133'!ES116,"AAAAAGh+7ec=")</f>
        <v>#VALUE!</v>
      </c>
      <c r="HY153" t="e">
        <f>AND('UP133'!ET116,"AAAAAGh+7eg=")</f>
        <v>#VALUE!</v>
      </c>
      <c r="HZ153" t="e">
        <f>AND('UP133'!EU116,"AAAAAGh+7ek=")</f>
        <v>#VALUE!</v>
      </c>
      <c r="IA153" t="e">
        <f>AND('UP133'!EV116,"AAAAAGh+7eo=")</f>
        <v>#VALUE!</v>
      </c>
      <c r="IB153" t="e">
        <f>AND('UP133'!EW116,"AAAAAGh+7es=")</f>
        <v>#VALUE!</v>
      </c>
      <c r="IC153" t="e">
        <f>AND('UP133'!EX116,"AAAAAGh+7ew=")</f>
        <v>#VALUE!</v>
      </c>
      <c r="ID153" t="e">
        <f>AND('UP133'!EY116,"AAAAAGh+7e0=")</f>
        <v>#VALUE!</v>
      </c>
      <c r="IE153" t="e">
        <f>AND('UP133'!EZ116,"AAAAAGh+7e4=")</f>
        <v>#VALUE!</v>
      </c>
      <c r="IF153" t="e">
        <f>AND('UP133'!FA116,"AAAAAGh+7e8=")</f>
        <v>#VALUE!</v>
      </c>
      <c r="IG153" t="e">
        <f>AND('UP133'!FB116,"AAAAAGh+7fA=")</f>
        <v>#VALUE!</v>
      </c>
      <c r="IH153" t="e">
        <f>AND('UP133'!FC116,"AAAAAGh+7fE=")</f>
        <v>#VALUE!</v>
      </c>
      <c r="II153" t="e">
        <f>AND('UP133'!FD116,"AAAAAGh+7fI=")</f>
        <v>#VALUE!</v>
      </c>
      <c r="IJ153" t="e">
        <f>AND('UP133'!FE116,"AAAAAGh+7fM=")</f>
        <v>#VALUE!</v>
      </c>
      <c r="IK153" t="e">
        <f>AND('UP133'!FF116,"AAAAAGh+7fQ=")</f>
        <v>#VALUE!</v>
      </c>
      <c r="IL153" t="e">
        <f>AND('UP133'!FG116,"AAAAAGh+7fU=")</f>
        <v>#VALUE!</v>
      </c>
      <c r="IM153" t="e">
        <f>AND('UP133'!FH116,"AAAAAGh+7fY=")</f>
        <v>#VALUE!</v>
      </c>
      <c r="IN153" t="e">
        <f>AND('UP133'!FI116,"AAAAAGh+7fc=")</f>
        <v>#VALUE!</v>
      </c>
      <c r="IO153" t="e">
        <f>AND('UP133'!FJ116,"AAAAAGh+7fg=")</f>
        <v>#VALUE!</v>
      </c>
      <c r="IP153" t="e">
        <f>AND('UP133'!FK116,"AAAAAGh+7fk=")</f>
        <v>#VALUE!</v>
      </c>
      <c r="IQ153" t="e">
        <f>AND('UP133'!FL116,"AAAAAGh+7fo=")</f>
        <v>#VALUE!</v>
      </c>
      <c r="IR153" t="e">
        <f>AND('UP133'!FM116,"AAAAAGh+7fs=")</f>
        <v>#VALUE!</v>
      </c>
      <c r="IS153" t="e">
        <f>AND('UP133'!FN116,"AAAAAGh+7fw=")</f>
        <v>#VALUE!</v>
      </c>
      <c r="IT153" t="e">
        <f>AND('UP133'!FO116,"AAAAAGh+7f0=")</f>
        <v>#VALUE!</v>
      </c>
      <c r="IU153" t="e">
        <f>AND('UP133'!FP116,"AAAAAGh+7f4=")</f>
        <v>#VALUE!</v>
      </c>
      <c r="IV153" t="e">
        <f>AND('UP133'!FQ116,"AAAAAGh+7f8=")</f>
        <v>#VALUE!</v>
      </c>
    </row>
    <row r="154" spans="1:256">
      <c r="A154" t="e">
        <f>AND('UP133'!FR116,"AAAAAGzd/wA=")</f>
        <v>#VALUE!</v>
      </c>
      <c r="B154" t="e">
        <f>AND('UP133'!FS116,"AAAAAGzd/wE=")</f>
        <v>#VALUE!</v>
      </c>
      <c r="C154" t="e">
        <f>AND('UP133'!FT116,"AAAAAGzd/wI=")</f>
        <v>#VALUE!</v>
      </c>
      <c r="D154" t="e">
        <f>AND('UP133'!FU116,"AAAAAGzd/wM=")</f>
        <v>#VALUE!</v>
      </c>
      <c r="E154" t="e">
        <f>AND('UP133'!FV116,"AAAAAGzd/wQ=")</f>
        <v>#VALUE!</v>
      </c>
      <c r="F154" t="e">
        <f>AND('UP133'!FW116,"AAAAAGzd/wU=")</f>
        <v>#VALUE!</v>
      </c>
      <c r="G154" t="e">
        <f>AND('UP133'!FX116,"AAAAAGzd/wY=")</f>
        <v>#VALUE!</v>
      </c>
      <c r="H154" t="e">
        <f>AND('UP133'!FY116,"AAAAAGzd/wc=")</f>
        <v>#VALUE!</v>
      </c>
      <c r="I154" t="e">
        <f>AND('UP133'!FZ116,"AAAAAGzd/wg=")</f>
        <v>#VALUE!</v>
      </c>
      <c r="J154" t="e">
        <f>AND('UP133'!GA116,"AAAAAGzd/wk=")</f>
        <v>#VALUE!</v>
      </c>
      <c r="K154" t="e">
        <f>AND('UP133'!GB116,"AAAAAGzd/wo=")</f>
        <v>#VALUE!</v>
      </c>
      <c r="L154" t="e">
        <f>AND('UP133'!GC116,"AAAAAGzd/ws=")</f>
        <v>#VALUE!</v>
      </c>
      <c r="M154" t="e">
        <f>AND('UP133'!GD116,"AAAAAGzd/ww=")</f>
        <v>#VALUE!</v>
      </c>
      <c r="N154" t="e">
        <f>AND('UP133'!GE116,"AAAAAGzd/w0=")</f>
        <v>#VALUE!</v>
      </c>
      <c r="O154" t="e">
        <f>AND('UP133'!GF116,"AAAAAGzd/w4=")</f>
        <v>#VALUE!</v>
      </c>
      <c r="P154" t="e">
        <f>AND('UP133'!GG116,"AAAAAGzd/w8=")</f>
        <v>#VALUE!</v>
      </c>
      <c r="Q154" t="e">
        <f>AND('UP133'!GH116,"AAAAAGzd/xA=")</f>
        <v>#VALUE!</v>
      </c>
      <c r="R154" t="e">
        <f>AND('UP133'!GI116,"AAAAAGzd/xE=")</f>
        <v>#VALUE!</v>
      </c>
      <c r="S154" t="e">
        <f>AND('UP133'!GJ116,"AAAAAGzd/xI=")</f>
        <v>#VALUE!</v>
      </c>
      <c r="T154" t="e">
        <f>AND('UP133'!GK116,"AAAAAGzd/xM=")</f>
        <v>#VALUE!</v>
      </c>
      <c r="U154" t="e">
        <f>AND('UP133'!GL116,"AAAAAGzd/xQ=")</f>
        <v>#VALUE!</v>
      </c>
      <c r="V154" t="e">
        <f>AND('UP133'!GM116,"AAAAAGzd/xU=")</f>
        <v>#VALUE!</v>
      </c>
      <c r="W154" t="e">
        <f>AND('UP133'!GN116,"AAAAAGzd/xY=")</f>
        <v>#VALUE!</v>
      </c>
      <c r="X154" t="e">
        <f>AND('UP133'!GO116,"AAAAAGzd/xc=")</f>
        <v>#VALUE!</v>
      </c>
      <c r="Y154" t="e">
        <f>AND('UP133'!GP116,"AAAAAGzd/xg=")</f>
        <v>#VALUE!</v>
      </c>
      <c r="Z154" t="e">
        <f>AND('UP133'!GQ116,"AAAAAGzd/xk=")</f>
        <v>#VALUE!</v>
      </c>
      <c r="AA154" t="e">
        <f>AND('UP133'!GR116,"AAAAAGzd/xo=")</f>
        <v>#VALUE!</v>
      </c>
      <c r="AB154" t="e">
        <f>AND('UP133'!GS116,"AAAAAGzd/xs=")</f>
        <v>#VALUE!</v>
      </c>
      <c r="AC154" t="e">
        <f>AND('UP133'!GT116,"AAAAAGzd/xw=")</f>
        <v>#VALUE!</v>
      </c>
      <c r="AD154" t="e">
        <f>AND('UP133'!GU116,"AAAAAGzd/x0=")</f>
        <v>#VALUE!</v>
      </c>
      <c r="AE154" t="e">
        <f>AND('UP133'!GV116,"AAAAAGzd/x4=")</f>
        <v>#VALUE!</v>
      </c>
      <c r="AF154" t="e">
        <f>AND('UP133'!GW116,"AAAAAGzd/x8=")</f>
        <v>#VALUE!</v>
      </c>
      <c r="AG154" t="e">
        <f>AND('UP133'!GX116,"AAAAAGzd/yA=")</f>
        <v>#VALUE!</v>
      </c>
      <c r="AH154" t="e">
        <f>AND('UP133'!GY116,"AAAAAGzd/yE=")</f>
        <v>#VALUE!</v>
      </c>
      <c r="AI154" t="e">
        <f>AND('UP133'!GZ116,"AAAAAGzd/yI=")</f>
        <v>#VALUE!</v>
      </c>
      <c r="AJ154" t="e">
        <f>AND('UP133'!HA116,"AAAAAGzd/yM=")</f>
        <v>#VALUE!</v>
      </c>
      <c r="AK154" t="e">
        <f>AND('UP133'!HB116,"AAAAAGzd/yQ=")</f>
        <v>#VALUE!</v>
      </c>
      <c r="AL154" t="e">
        <f>AND('UP133'!HC116,"AAAAAGzd/yU=")</f>
        <v>#VALUE!</v>
      </c>
      <c r="AM154" t="e">
        <f>AND('UP133'!HD116,"AAAAAGzd/yY=")</f>
        <v>#VALUE!</v>
      </c>
      <c r="AN154" t="e">
        <f>AND('UP133'!HE116,"AAAAAGzd/yc=")</f>
        <v>#VALUE!</v>
      </c>
      <c r="AO154" t="e">
        <f>AND('UP133'!HF116,"AAAAAGzd/yg=")</f>
        <v>#VALUE!</v>
      </c>
      <c r="AP154" t="e">
        <f>AND('UP133'!HG116,"AAAAAGzd/yk=")</f>
        <v>#VALUE!</v>
      </c>
      <c r="AQ154" t="e">
        <f>AND('UP133'!HH116,"AAAAAGzd/yo=")</f>
        <v>#VALUE!</v>
      </c>
      <c r="AR154" t="e">
        <f>AND('UP133'!HI116,"AAAAAGzd/ys=")</f>
        <v>#VALUE!</v>
      </c>
      <c r="AS154" t="e">
        <f>AND('UP133'!HJ116,"AAAAAGzd/yw=")</f>
        <v>#VALUE!</v>
      </c>
      <c r="AT154" t="e">
        <f>AND('UP133'!HK116,"AAAAAGzd/y0=")</f>
        <v>#VALUE!</v>
      </c>
      <c r="AU154" t="e">
        <f>AND('UP133'!HL116,"AAAAAGzd/y4=")</f>
        <v>#VALUE!</v>
      </c>
      <c r="AV154" t="e">
        <f>AND('UP133'!HM116,"AAAAAGzd/y8=")</f>
        <v>#VALUE!</v>
      </c>
      <c r="AW154" t="e">
        <f>AND('UP133'!HN116,"AAAAAGzd/zA=")</f>
        <v>#VALUE!</v>
      </c>
      <c r="AX154" t="e">
        <f>AND('UP133'!HO116,"AAAAAGzd/zE=")</f>
        <v>#VALUE!</v>
      </c>
      <c r="AY154" t="e">
        <f>AND('UP133'!HP116,"AAAAAGzd/zI=")</f>
        <v>#VALUE!</v>
      </c>
      <c r="AZ154" t="e">
        <f>AND('UP133'!HQ116,"AAAAAGzd/zM=")</f>
        <v>#VALUE!</v>
      </c>
      <c r="BA154" t="e">
        <f>AND('UP133'!HR116,"AAAAAGzd/zQ=")</f>
        <v>#VALUE!</v>
      </c>
      <c r="BB154" t="e">
        <f>AND('UP133'!HS116,"AAAAAGzd/zU=")</f>
        <v>#VALUE!</v>
      </c>
      <c r="BC154" t="e">
        <f>AND('UP133'!HT116,"AAAAAGzd/zY=")</f>
        <v>#VALUE!</v>
      </c>
      <c r="BD154" t="e">
        <f>AND('UP133'!HU116,"AAAAAGzd/zc=")</f>
        <v>#VALUE!</v>
      </c>
      <c r="BE154" t="e">
        <f>AND('UP133'!HV116,"AAAAAGzd/zg=")</f>
        <v>#VALUE!</v>
      </c>
      <c r="BF154" t="e">
        <f>AND('UP133'!HW116,"AAAAAGzd/zk=")</f>
        <v>#VALUE!</v>
      </c>
      <c r="BG154" t="e">
        <f>AND('UP133'!HX116,"AAAAAGzd/zo=")</f>
        <v>#VALUE!</v>
      </c>
      <c r="BH154" t="e">
        <f>AND('UP133'!HY116,"AAAAAGzd/zs=")</f>
        <v>#VALUE!</v>
      </c>
      <c r="BI154" t="e">
        <f>AND('UP133'!HZ116,"AAAAAGzd/zw=")</f>
        <v>#VALUE!</v>
      </c>
      <c r="BJ154" t="e">
        <f>AND('UP133'!IA116,"AAAAAGzd/z0=")</f>
        <v>#VALUE!</v>
      </c>
      <c r="BK154" t="e">
        <f>AND('UP133'!IB116,"AAAAAGzd/z4=")</f>
        <v>#VALUE!</v>
      </c>
      <c r="BL154" t="e">
        <f>AND('UP133'!IC116,"AAAAAGzd/z8=")</f>
        <v>#VALUE!</v>
      </c>
      <c r="BM154" t="e">
        <f>AND('UP133'!ID116,"AAAAAGzd/0A=")</f>
        <v>#VALUE!</v>
      </c>
      <c r="BN154" t="e">
        <f>AND('UP133'!IE116,"AAAAAGzd/0E=")</f>
        <v>#VALUE!</v>
      </c>
      <c r="BO154" t="e">
        <f>AND('UP133'!IF116,"AAAAAGzd/0I=")</f>
        <v>#VALUE!</v>
      </c>
      <c r="BP154" t="e">
        <f>AND('UP133'!IG116,"AAAAAGzd/0M=")</f>
        <v>#VALUE!</v>
      </c>
      <c r="BQ154" t="e">
        <f>AND('UP133'!IH116,"AAAAAGzd/0Q=")</f>
        <v>#VALUE!</v>
      </c>
      <c r="BR154" t="e">
        <f>AND('UP133'!II116,"AAAAAGzd/0U=")</f>
        <v>#VALUE!</v>
      </c>
      <c r="BS154" t="e">
        <f>AND('UP133'!IJ116,"AAAAAGzd/0Y=")</f>
        <v>#VALUE!</v>
      </c>
      <c r="BT154" t="e">
        <f>AND('UP133'!IK116,"AAAAAGzd/0c=")</f>
        <v>#VALUE!</v>
      </c>
      <c r="BU154" t="e">
        <f>AND('UP133'!IL116,"AAAAAGzd/0g=")</f>
        <v>#VALUE!</v>
      </c>
      <c r="BV154" t="e">
        <f>AND('UP133'!IM116,"AAAAAGzd/0k=")</f>
        <v>#VALUE!</v>
      </c>
      <c r="BW154" t="e">
        <f>AND('UP133'!IN116,"AAAAAGzd/0o=")</f>
        <v>#VALUE!</v>
      </c>
      <c r="BX154" t="e">
        <f>AND('UP133'!IO116,"AAAAAGzd/0s=")</f>
        <v>#VALUE!</v>
      </c>
      <c r="BY154" t="e">
        <f>AND('UP133'!IP116,"AAAAAGzd/0w=")</f>
        <v>#VALUE!</v>
      </c>
      <c r="BZ154" t="e">
        <f>AND('UP133'!IQ116,"AAAAAGzd/00=")</f>
        <v>#VALUE!</v>
      </c>
      <c r="CA154">
        <f>IF('UP133'!117:117,"AAAAAGzd/04=",0)</f>
        <v>0</v>
      </c>
      <c r="CB154" t="e">
        <f>AND('UP133'!A117,"AAAAAGzd/08=")</f>
        <v>#VALUE!</v>
      </c>
      <c r="CC154" t="e">
        <f>AND('UP133'!B117,"AAAAAGzd/1A=")</f>
        <v>#VALUE!</v>
      </c>
      <c r="CD154" t="e">
        <f>AND('UP133'!C117,"AAAAAGzd/1E=")</f>
        <v>#VALUE!</v>
      </c>
      <c r="CE154" t="e">
        <f>AND('UP133'!D117,"AAAAAGzd/1I=")</f>
        <v>#VALUE!</v>
      </c>
      <c r="CF154" t="e">
        <f>AND('UP133'!E117,"AAAAAGzd/1M=")</f>
        <v>#VALUE!</v>
      </c>
      <c r="CG154" t="e">
        <f>AND('UP133'!F117,"AAAAAGzd/1Q=")</f>
        <v>#VALUE!</v>
      </c>
      <c r="CH154" t="e">
        <f>AND('UP133'!G117,"AAAAAGzd/1U=")</f>
        <v>#VALUE!</v>
      </c>
      <c r="CI154" t="e">
        <f>AND('UP133'!H117,"AAAAAGzd/1Y=")</f>
        <v>#VALUE!</v>
      </c>
      <c r="CJ154" t="e">
        <f>AND('UP133'!I117,"AAAAAGzd/1c=")</f>
        <v>#VALUE!</v>
      </c>
      <c r="CK154" t="e">
        <f>AND('UP133'!J117,"AAAAAGzd/1g=")</f>
        <v>#VALUE!</v>
      </c>
      <c r="CL154" t="e">
        <f>AND('UP133'!K117,"AAAAAGzd/1k=")</f>
        <v>#VALUE!</v>
      </c>
      <c r="CM154" t="e">
        <f>AND('UP133'!L117,"AAAAAGzd/1o=")</f>
        <v>#VALUE!</v>
      </c>
      <c r="CN154" t="e">
        <f>AND('UP133'!M117,"AAAAAGzd/1s=")</f>
        <v>#VALUE!</v>
      </c>
      <c r="CO154" t="e">
        <f>AND('UP133'!N117,"AAAAAGzd/1w=")</f>
        <v>#VALUE!</v>
      </c>
      <c r="CP154" t="e">
        <f>AND('UP133'!O117,"AAAAAGzd/10=")</f>
        <v>#VALUE!</v>
      </c>
      <c r="CQ154" t="e">
        <f>AND('UP133'!P117,"AAAAAGzd/14=")</f>
        <v>#VALUE!</v>
      </c>
      <c r="CR154" t="e">
        <f>AND('UP133'!Q117,"AAAAAGzd/18=")</f>
        <v>#VALUE!</v>
      </c>
      <c r="CS154" t="e">
        <f>AND('UP133'!R117,"AAAAAGzd/2A=")</f>
        <v>#VALUE!</v>
      </c>
      <c r="CT154" t="e">
        <f>AND('UP133'!S117,"AAAAAGzd/2E=")</f>
        <v>#VALUE!</v>
      </c>
      <c r="CU154" t="e">
        <f>AND('UP133'!T117,"AAAAAGzd/2I=")</f>
        <v>#VALUE!</v>
      </c>
      <c r="CV154" t="e">
        <f>AND('UP133'!U117,"AAAAAGzd/2M=")</f>
        <v>#VALUE!</v>
      </c>
      <c r="CW154" t="e">
        <f>AND('UP133'!V117,"AAAAAGzd/2Q=")</f>
        <v>#VALUE!</v>
      </c>
      <c r="CX154" t="e">
        <f>AND('UP133'!W117,"AAAAAGzd/2U=")</f>
        <v>#VALUE!</v>
      </c>
      <c r="CY154" t="e">
        <f>AND('UP133'!X117,"AAAAAGzd/2Y=")</f>
        <v>#VALUE!</v>
      </c>
      <c r="CZ154" t="e">
        <f>AND('UP133'!Y117,"AAAAAGzd/2c=")</f>
        <v>#VALUE!</v>
      </c>
      <c r="DA154" t="e">
        <f>AND('UP133'!Z117,"AAAAAGzd/2g=")</f>
        <v>#VALUE!</v>
      </c>
      <c r="DB154" t="e">
        <f>AND('UP133'!AA117,"AAAAAGzd/2k=")</f>
        <v>#VALUE!</v>
      </c>
      <c r="DC154" t="e">
        <f>AND('UP133'!AB117,"AAAAAGzd/2o=")</f>
        <v>#VALUE!</v>
      </c>
      <c r="DD154" t="e">
        <f>AND('UP133'!AC117,"AAAAAGzd/2s=")</f>
        <v>#VALUE!</v>
      </c>
      <c r="DE154" t="e">
        <f>AND('UP133'!AD117,"AAAAAGzd/2w=")</f>
        <v>#VALUE!</v>
      </c>
      <c r="DF154" t="e">
        <f>AND('UP133'!AE117,"AAAAAGzd/20=")</f>
        <v>#VALUE!</v>
      </c>
      <c r="DG154" t="e">
        <f>AND('UP133'!AF117,"AAAAAGzd/24=")</f>
        <v>#VALUE!</v>
      </c>
      <c r="DH154" t="e">
        <f>AND('UP133'!AG117,"AAAAAGzd/28=")</f>
        <v>#VALUE!</v>
      </c>
      <c r="DI154" t="e">
        <f>AND('UP133'!AH117,"AAAAAGzd/3A=")</f>
        <v>#VALUE!</v>
      </c>
      <c r="DJ154" t="e">
        <f>AND('UP133'!AI117,"AAAAAGzd/3E=")</f>
        <v>#VALUE!</v>
      </c>
      <c r="DK154" t="e">
        <f>AND('UP133'!AJ117,"AAAAAGzd/3I=")</f>
        <v>#VALUE!</v>
      </c>
      <c r="DL154" t="e">
        <f>AND('UP133'!AK117,"AAAAAGzd/3M=")</f>
        <v>#VALUE!</v>
      </c>
      <c r="DM154" t="e">
        <f>AND('UP133'!AL117,"AAAAAGzd/3Q=")</f>
        <v>#VALUE!</v>
      </c>
      <c r="DN154" t="e">
        <f>AND('UP133'!AM117,"AAAAAGzd/3U=")</f>
        <v>#VALUE!</v>
      </c>
      <c r="DO154" t="e">
        <f>AND('UP133'!AN117,"AAAAAGzd/3Y=")</f>
        <v>#VALUE!</v>
      </c>
      <c r="DP154" t="e">
        <f>AND('UP133'!AO117,"AAAAAGzd/3c=")</f>
        <v>#VALUE!</v>
      </c>
      <c r="DQ154" t="e">
        <f>AND('UP133'!AP117,"AAAAAGzd/3g=")</f>
        <v>#VALUE!</v>
      </c>
      <c r="DR154" t="e">
        <f>AND('UP133'!AQ117,"AAAAAGzd/3k=")</f>
        <v>#VALUE!</v>
      </c>
      <c r="DS154" t="e">
        <f>AND('UP133'!AR117,"AAAAAGzd/3o=")</f>
        <v>#VALUE!</v>
      </c>
      <c r="DT154" t="e">
        <f>AND('UP133'!AS117,"AAAAAGzd/3s=")</f>
        <v>#VALUE!</v>
      </c>
      <c r="DU154" t="e">
        <f>AND('UP133'!AT117,"AAAAAGzd/3w=")</f>
        <v>#VALUE!</v>
      </c>
      <c r="DV154" t="e">
        <f>AND('UP133'!AU117,"AAAAAGzd/30=")</f>
        <v>#VALUE!</v>
      </c>
      <c r="DW154" t="e">
        <f>AND('UP133'!AV117,"AAAAAGzd/34=")</f>
        <v>#VALUE!</v>
      </c>
      <c r="DX154" t="e">
        <f>AND('UP133'!AW117,"AAAAAGzd/38=")</f>
        <v>#VALUE!</v>
      </c>
      <c r="DY154" t="e">
        <f>AND('UP133'!AX117,"AAAAAGzd/4A=")</f>
        <v>#VALUE!</v>
      </c>
      <c r="DZ154" t="e">
        <f>AND('UP133'!AY117,"AAAAAGzd/4E=")</f>
        <v>#VALUE!</v>
      </c>
      <c r="EA154" t="e">
        <f>AND('UP133'!AZ117,"AAAAAGzd/4I=")</f>
        <v>#VALUE!</v>
      </c>
      <c r="EB154" t="e">
        <f>AND('UP133'!BA117,"AAAAAGzd/4M=")</f>
        <v>#VALUE!</v>
      </c>
      <c r="EC154" t="e">
        <f>AND('UP133'!BB117,"AAAAAGzd/4Q=")</f>
        <v>#VALUE!</v>
      </c>
      <c r="ED154" t="e">
        <f>AND('UP133'!BC117,"AAAAAGzd/4U=")</f>
        <v>#VALUE!</v>
      </c>
      <c r="EE154" t="e">
        <f>AND('UP133'!BD117,"AAAAAGzd/4Y=")</f>
        <v>#VALUE!</v>
      </c>
      <c r="EF154" t="e">
        <f>AND('UP133'!BE117,"AAAAAGzd/4c=")</f>
        <v>#VALUE!</v>
      </c>
      <c r="EG154" t="e">
        <f>AND('UP133'!BF117,"AAAAAGzd/4g=")</f>
        <v>#VALUE!</v>
      </c>
      <c r="EH154" t="e">
        <f>AND('UP133'!BG117,"AAAAAGzd/4k=")</f>
        <v>#VALUE!</v>
      </c>
      <c r="EI154" t="e">
        <f>AND('UP133'!BH117,"AAAAAGzd/4o=")</f>
        <v>#VALUE!</v>
      </c>
      <c r="EJ154" t="e">
        <f>AND('UP133'!BI117,"AAAAAGzd/4s=")</f>
        <v>#VALUE!</v>
      </c>
      <c r="EK154" t="e">
        <f>AND('UP133'!BJ117,"AAAAAGzd/4w=")</f>
        <v>#VALUE!</v>
      </c>
      <c r="EL154" t="e">
        <f>AND('UP133'!BK117,"AAAAAGzd/40=")</f>
        <v>#VALUE!</v>
      </c>
      <c r="EM154" t="e">
        <f>AND('UP133'!BL117,"AAAAAGzd/44=")</f>
        <v>#VALUE!</v>
      </c>
      <c r="EN154" t="e">
        <f>AND('UP133'!BM117,"AAAAAGzd/48=")</f>
        <v>#VALUE!</v>
      </c>
      <c r="EO154" t="e">
        <f>AND('UP133'!BN117,"AAAAAGzd/5A=")</f>
        <v>#VALUE!</v>
      </c>
      <c r="EP154" t="e">
        <f>AND('UP133'!BO117,"AAAAAGzd/5E=")</f>
        <v>#VALUE!</v>
      </c>
      <c r="EQ154" t="e">
        <f>AND('UP133'!BP117,"AAAAAGzd/5I=")</f>
        <v>#VALUE!</v>
      </c>
      <c r="ER154" t="e">
        <f>AND('UP133'!BQ117,"AAAAAGzd/5M=")</f>
        <v>#VALUE!</v>
      </c>
      <c r="ES154" t="e">
        <f>AND('UP133'!BR117,"AAAAAGzd/5Q=")</f>
        <v>#VALUE!</v>
      </c>
      <c r="ET154" t="e">
        <f>AND('UP133'!BS117,"AAAAAGzd/5U=")</f>
        <v>#VALUE!</v>
      </c>
      <c r="EU154" t="e">
        <f>AND('UP133'!BT117,"AAAAAGzd/5Y=")</f>
        <v>#VALUE!</v>
      </c>
      <c r="EV154" t="e">
        <f>AND('UP133'!BU117,"AAAAAGzd/5c=")</f>
        <v>#VALUE!</v>
      </c>
      <c r="EW154" t="e">
        <f>AND('UP133'!BV117,"AAAAAGzd/5g=")</f>
        <v>#VALUE!</v>
      </c>
      <c r="EX154" t="e">
        <f>AND('UP133'!BW117,"AAAAAGzd/5k=")</f>
        <v>#VALUE!</v>
      </c>
      <c r="EY154" t="e">
        <f>AND('UP133'!BX117,"AAAAAGzd/5o=")</f>
        <v>#VALUE!</v>
      </c>
      <c r="EZ154" t="e">
        <f>AND('UP133'!BY117,"AAAAAGzd/5s=")</f>
        <v>#VALUE!</v>
      </c>
      <c r="FA154" t="e">
        <f>AND('UP133'!BZ117,"AAAAAGzd/5w=")</f>
        <v>#VALUE!</v>
      </c>
      <c r="FB154" t="e">
        <f>AND('UP133'!CA117,"AAAAAGzd/50=")</f>
        <v>#VALUE!</v>
      </c>
      <c r="FC154" t="e">
        <f>AND('UP133'!CB117,"AAAAAGzd/54=")</f>
        <v>#VALUE!</v>
      </c>
      <c r="FD154" t="e">
        <f>AND('UP133'!CC117,"AAAAAGzd/58=")</f>
        <v>#VALUE!</v>
      </c>
      <c r="FE154" t="e">
        <f>AND('UP133'!CD117,"AAAAAGzd/6A=")</f>
        <v>#VALUE!</v>
      </c>
      <c r="FF154" t="e">
        <f>AND('UP133'!CE117,"AAAAAGzd/6E=")</f>
        <v>#VALUE!</v>
      </c>
      <c r="FG154" t="e">
        <f>AND('UP133'!CF117,"AAAAAGzd/6I=")</f>
        <v>#VALUE!</v>
      </c>
      <c r="FH154" t="e">
        <f>AND('UP133'!CG117,"AAAAAGzd/6M=")</f>
        <v>#VALUE!</v>
      </c>
      <c r="FI154" t="e">
        <f>AND('UP133'!CH117,"AAAAAGzd/6Q=")</f>
        <v>#VALUE!</v>
      </c>
      <c r="FJ154" t="e">
        <f>AND('UP133'!CI117,"AAAAAGzd/6U=")</f>
        <v>#VALUE!</v>
      </c>
      <c r="FK154" t="e">
        <f>AND('UP133'!CJ117,"AAAAAGzd/6Y=")</f>
        <v>#VALUE!</v>
      </c>
      <c r="FL154" t="e">
        <f>AND('UP133'!CK117,"AAAAAGzd/6c=")</f>
        <v>#VALUE!</v>
      </c>
      <c r="FM154" t="e">
        <f>AND('UP133'!CL117,"AAAAAGzd/6g=")</f>
        <v>#VALUE!</v>
      </c>
      <c r="FN154" t="e">
        <f>AND('UP133'!CM117,"AAAAAGzd/6k=")</f>
        <v>#VALUE!</v>
      </c>
      <c r="FO154" t="e">
        <f>AND('UP133'!CN117,"AAAAAGzd/6o=")</f>
        <v>#VALUE!</v>
      </c>
      <c r="FP154" t="e">
        <f>AND('UP133'!CO117,"AAAAAGzd/6s=")</f>
        <v>#VALUE!</v>
      </c>
      <c r="FQ154" t="e">
        <f>AND('UP133'!CP117,"AAAAAGzd/6w=")</f>
        <v>#VALUE!</v>
      </c>
      <c r="FR154" t="e">
        <f>AND('UP133'!CQ117,"AAAAAGzd/60=")</f>
        <v>#VALUE!</v>
      </c>
      <c r="FS154" t="e">
        <f>AND('UP133'!CR117,"AAAAAGzd/64=")</f>
        <v>#VALUE!</v>
      </c>
      <c r="FT154" t="e">
        <f>AND('UP133'!CS117,"AAAAAGzd/68=")</f>
        <v>#VALUE!</v>
      </c>
      <c r="FU154" t="e">
        <f>AND('UP133'!CT117,"AAAAAGzd/7A=")</f>
        <v>#VALUE!</v>
      </c>
      <c r="FV154" t="e">
        <f>AND('UP133'!CU117,"AAAAAGzd/7E=")</f>
        <v>#VALUE!</v>
      </c>
      <c r="FW154" t="e">
        <f>AND('UP133'!CV117,"AAAAAGzd/7I=")</f>
        <v>#VALUE!</v>
      </c>
      <c r="FX154" t="e">
        <f>AND('UP133'!CW117,"AAAAAGzd/7M=")</f>
        <v>#VALUE!</v>
      </c>
      <c r="FY154" t="e">
        <f>AND('UP133'!CX117,"AAAAAGzd/7Q=")</f>
        <v>#VALUE!</v>
      </c>
      <c r="FZ154" t="e">
        <f>AND('UP133'!CY117,"AAAAAGzd/7U=")</f>
        <v>#VALUE!</v>
      </c>
      <c r="GA154" t="e">
        <f>AND('UP133'!CZ117,"AAAAAGzd/7Y=")</f>
        <v>#VALUE!</v>
      </c>
      <c r="GB154" t="e">
        <f>AND('UP133'!DA117,"AAAAAGzd/7c=")</f>
        <v>#VALUE!</v>
      </c>
      <c r="GC154" t="e">
        <f>AND('UP133'!DB117,"AAAAAGzd/7g=")</f>
        <v>#VALUE!</v>
      </c>
      <c r="GD154" t="e">
        <f>AND('UP133'!DC117,"AAAAAGzd/7k=")</f>
        <v>#VALUE!</v>
      </c>
      <c r="GE154" t="e">
        <f>AND('UP133'!DD117,"AAAAAGzd/7o=")</f>
        <v>#VALUE!</v>
      </c>
      <c r="GF154" t="e">
        <f>AND('UP133'!DE117,"AAAAAGzd/7s=")</f>
        <v>#VALUE!</v>
      </c>
      <c r="GG154" t="e">
        <f>AND('UP133'!DF117,"AAAAAGzd/7w=")</f>
        <v>#VALUE!</v>
      </c>
      <c r="GH154" t="e">
        <f>AND('UP133'!DG117,"AAAAAGzd/70=")</f>
        <v>#VALUE!</v>
      </c>
      <c r="GI154" t="e">
        <f>AND('UP133'!DH117,"AAAAAGzd/74=")</f>
        <v>#VALUE!</v>
      </c>
      <c r="GJ154" t="e">
        <f>AND('UP133'!DI117,"AAAAAGzd/78=")</f>
        <v>#VALUE!</v>
      </c>
      <c r="GK154" t="e">
        <f>AND('UP133'!DJ117,"AAAAAGzd/8A=")</f>
        <v>#VALUE!</v>
      </c>
      <c r="GL154" t="e">
        <f>AND('UP133'!DK117,"AAAAAGzd/8E=")</f>
        <v>#VALUE!</v>
      </c>
      <c r="GM154" t="e">
        <f>AND('UP133'!DL117,"AAAAAGzd/8I=")</f>
        <v>#VALUE!</v>
      </c>
      <c r="GN154" t="e">
        <f>AND('UP133'!DM117,"AAAAAGzd/8M=")</f>
        <v>#VALUE!</v>
      </c>
      <c r="GO154" t="e">
        <f>AND('UP133'!DN117,"AAAAAGzd/8Q=")</f>
        <v>#VALUE!</v>
      </c>
      <c r="GP154" t="e">
        <f>AND('UP133'!DO117,"AAAAAGzd/8U=")</f>
        <v>#VALUE!</v>
      </c>
      <c r="GQ154" t="e">
        <f>AND('UP133'!DP117,"AAAAAGzd/8Y=")</f>
        <v>#VALUE!</v>
      </c>
      <c r="GR154" t="e">
        <f>AND('UP133'!DQ117,"AAAAAGzd/8c=")</f>
        <v>#VALUE!</v>
      </c>
      <c r="GS154" t="e">
        <f>AND('UP133'!DR117,"AAAAAGzd/8g=")</f>
        <v>#VALUE!</v>
      </c>
      <c r="GT154" t="e">
        <f>AND('UP133'!DS117,"AAAAAGzd/8k=")</f>
        <v>#VALUE!</v>
      </c>
      <c r="GU154" t="e">
        <f>AND('UP133'!DT117,"AAAAAGzd/8o=")</f>
        <v>#VALUE!</v>
      </c>
      <c r="GV154" t="e">
        <f>AND('UP133'!DU117,"AAAAAGzd/8s=")</f>
        <v>#VALUE!</v>
      </c>
      <c r="GW154" t="e">
        <f>AND('UP133'!DV117,"AAAAAGzd/8w=")</f>
        <v>#VALUE!</v>
      </c>
      <c r="GX154" t="e">
        <f>AND('UP133'!DW117,"AAAAAGzd/80=")</f>
        <v>#VALUE!</v>
      </c>
      <c r="GY154" t="e">
        <f>AND('UP133'!DX117,"AAAAAGzd/84=")</f>
        <v>#VALUE!</v>
      </c>
      <c r="GZ154" t="e">
        <f>AND('UP133'!DY117,"AAAAAGzd/88=")</f>
        <v>#VALUE!</v>
      </c>
      <c r="HA154" t="e">
        <f>AND('UP133'!DZ117,"AAAAAGzd/9A=")</f>
        <v>#VALUE!</v>
      </c>
      <c r="HB154" t="e">
        <f>AND('UP133'!EA117,"AAAAAGzd/9E=")</f>
        <v>#VALUE!</v>
      </c>
      <c r="HC154" t="e">
        <f>AND('UP133'!EB117,"AAAAAGzd/9I=")</f>
        <v>#VALUE!</v>
      </c>
      <c r="HD154" t="e">
        <f>AND('UP133'!EC117,"AAAAAGzd/9M=")</f>
        <v>#VALUE!</v>
      </c>
      <c r="HE154" t="e">
        <f>AND('UP133'!ED117,"AAAAAGzd/9Q=")</f>
        <v>#VALUE!</v>
      </c>
      <c r="HF154" t="e">
        <f>AND('UP133'!EE117,"AAAAAGzd/9U=")</f>
        <v>#VALUE!</v>
      </c>
      <c r="HG154" t="e">
        <f>AND('UP133'!EF117,"AAAAAGzd/9Y=")</f>
        <v>#VALUE!</v>
      </c>
      <c r="HH154" t="e">
        <f>AND('UP133'!EG117,"AAAAAGzd/9c=")</f>
        <v>#VALUE!</v>
      </c>
      <c r="HI154" t="e">
        <f>AND('UP133'!EH117,"AAAAAGzd/9g=")</f>
        <v>#VALUE!</v>
      </c>
      <c r="HJ154" t="e">
        <f>AND('UP133'!EI117,"AAAAAGzd/9k=")</f>
        <v>#VALUE!</v>
      </c>
      <c r="HK154" t="e">
        <f>AND('UP133'!EJ117,"AAAAAGzd/9o=")</f>
        <v>#VALUE!</v>
      </c>
      <c r="HL154" t="e">
        <f>AND('UP133'!EK117,"AAAAAGzd/9s=")</f>
        <v>#VALUE!</v>
      </c>
      <c r="HM154" t="e">
        <f>AND('UP133'!EL117,"AAAAAGzd/9w=")</f>
        <v>#VALUE!</v>
      </c>
      <c r="HN154" t="e">
        <f>AND('UP133'!EM117,"AAAAAGzd/90=")</f>
        <v>#VALUE!</v>
      </c>
      <c r="HO154" t="e">
        <f>AND('UP133'!EN117,"AAAAAGzd/94=")</f>
        <v>#VALUE!</v>
      </c>
      <c r="HP154" t="e">
        <f>AND('UP133'!EO117,"AAAAAGzd/98=")</f>
        <v>#VALUE!</v>
      </c>
      <c r="HQ154" t="e">
        <f>AND('UP133'!EP117,"AAAAAGzd/+A=")</f>
        <v>#VALUE!</v>
      </c>
      <c r="HR154" t="e">
        <f>AND('UP133'!EQ117,"AAAAAGzd/+E=")</f>
        <v>#VALUE!</v>
      </c>
      <c r="HS154" t="e">
        <f>AND('UP133'!ER117,"AAAAAGzd/+I=")</f>
        <v>#VALUE!</v>
      </c>
      <c r="HT154" t="e">
        <f>AND('UP133'!ES117,"AAAAAGzd/+M=")</f>
        <v>#VALUE!</v>
      </c>
      <c r="HU154" t="e">
        <f>AND('UP133'!ET117,"AAAAAGzd/+Q=")</f>
        <v>#VALUE!</v>
      </c>
      <c r="HV154" t="e">
        <f>AND('UP133'!EU117,"AAAAAGzd/+U=")</f>
        <v>#VALUE!</v>
      </c>
      <c r="HW154" t="e">
        <f>AND('UP133'!EV117,"AAAAAGzd/+Y=")</f>
        <v>#VALUE!</v>
      </c>
      <c r="HX154" t="e">
        <f>AND('UP133'!EW117,"AAAAAGzd/+c=")</f>
        <v>#VALUE!</v>
      </c>
      <c r="HY154" t="e">
        <f>AND('UP133'!EX117,"AAAAAGzd/+g=")</f>
        <v>#VALUE!</v>
      </c>
      <c r="HZ154" t="e">
        <f>AND('UP133'!EY117,"AAAAAGzd/+k=")</f>
        <v>#VALUE!</v>
      </c>
      <c r="IA154" t="e">
        <f>AND('UP133'!EZ117,"AAAAAGzd/+o=")</f>
        <v>#VALUE!</v>
      </c>
      <c r="IB154" t="e">
        <f>AND('UP133'!FA117,"AAAAAGzd/+s=")</f>
        <v>#VALUE!</v>
      </c>
      <c r="IC154" t="e">
        <f>AND('UP133'!FB117,"AAAAAGzd/+w=")</f>
        <v>#VALUE!</v>
      </c>
      <c r="ID154" t="e">
        <f>AND('UP133'!FC117,"AAAAAGzd/+0=")</f>
        <v>#VALUE!</v>
      </c>
      <c r="IE154" t="e">
        <f>AND('UP133'!FD117,"AAAAAGzd/+4=")</f>
        <v>#VALUE!</v>
      </c>
      <c r="IF154" t="e">
        <f>AND('UP133'!FE117,"AAAAAGzd/+8=")</f>
        <v>#VALUE!</v>
      </c>
      <c r="IG154" t="e">
        <f>AND('UP133'!FF117,"AAAAAGzd//A=")</f>
        <v>#VALUE!</v>
      </c>
      <c r="IH154" t="e">
        <f>AND('UP133'!FG117,"AAAAAGzd//E=")</f>
        <v>#VALUE!</v>
      </c>
      <c r="II154" t="e">
        <f>AND('UP133'!FH117,"AAAAAGzd//I=")</f>
        <v>#VALUE!</v>
      </c>
      <c r="IJ154" t="e">
        <f>AND('UP133'!FI117,"AAAAAGzd//M=")</f>
        <v>#VALUE!</v>
      </c>
      <c r="IK154" t="e">
        <f>AND('UP133'!FJ117,"AAAAAGzd//Q=")</f>
        <v>#VALUE!</v>
      </c>
      <c r="IL154" t="e">
        <f>AND('UP133'!FK117,"AAAAAGzd//U=")</f>
        <v>#VALUE!</v>
      </c>
      <c r="IM154" t="e">
        <f>AND('UP133'!FL117,"AAAAAGzd//Y=")</f>
        <v>#VALUE!</v>
      </c>
      <c r="IN154" t="e">
        <f>AND('UP133'!FM117,"AAAAAGzd//c=")</f>
        <v>#VALUE!</v>
      </c>
      <c r="IO154" t="e">
        <f>AND('UP133'!FN117,"AAAAAGzd//g=")</f>
        <v>#VALUE!</v>
      </c>
      <c r="IP154" t="e">
        <f>AND('UP133'!FO117,"AAAAAGzd//k=")</f>
        <v>#VALUE!</v>
      </c>
      <c r="IQ154" t="e">
        <f>AND('UP133'!FP117,"AAAAAGzd//o=")</f>
        <v>#VALUE!</v>
      </c>
      <c r="IR154" t="e">
        <f>AND('UP133'!FQ117,"AAAAAGzd//s=")</f>
        <v>#VALUE!</v>
      </c>
      <c r="IS154" t="e">
        <f>AND('UP133'!FR117,"AAAAAGzd//w=")</f>
        <v>#VALUE!</v>
      </c>
      <c r="IT154" t="e">
        <f>AND('UP133'!FS117,"AAAAAGzd//0=")</f>
        <v>#VALUE!</v>
      </c>
      <c r="IU154" t="e">
        <f>AND('UP133'!FT117,"AAAAAGzd//4=")</f>
        <v>#VALUE!</v>
      </c>
      <c r="IV154" t="e">
        <f>AND('UP133'!FU117,"AAAAAGzd//8=")</f>
        <v>#VALUE!</v>
      </c>
    </row>
    <row r="155" spans="1:256">
      <c r="A155" t="e">
        <f>AND('UP133'!FV117,"AAAAAEe/dwA=")</f>
        <v>#VALUE!</v>
      </c>
      <c r="B155" t="e">
        <f>AND('UP133'!FW117,"AAAAAEe/dwE=")</f>
        <v>#VALUE!</v>
      </c>
      <c r="C155" t="e">
        <f>AND('UP133'!FX117,"AAAAAEe/dwI=")</f>
        <v>#VALUE!</v>
      </c>
      <c r="D155" t="e">
        <f>AND('UP133'!FY117,"AAAAAEe/dwM=")</f>
        <v>#VALUE!</v>
      </c>
      <c r="E155" t="e">
        <f>AND('UP133'!FZ117,"AAAAAEe/dwQ=")</f>
        <v>#VALUE!</v>
      </c>
      <c r="F155" t="e">
        <f>AND('UP133'!GA117,"AAAAAEe/dwU=")</f>
        <v>#VALUE!</v>
      </c>
      <c r="G155" t="e">
        <f>AND('UP133'!GB117,"AAAAAEe/dwY=")</f>
        <v>#VALUE!</v>
      </c>
      <c r="H155" t="e">
        <f>AND('UP133'!GC117,"AAAAAEe/dwc=")</f>
        <v>#VALUE!</v>
      </c>
      <c r="I155" t="e">
        <f>AND('UP133'!GD117,"AAAAAEe/dwg=")</f>
        <v>#VALUE!</v>
      </c>
      <c r="J155" t="e">
        <f>AND('UP133'!GE117,"AAAAAEe/dwk=")</f>
        <v>#VALUE!</v>
      </c>
      <c r="K155" t="e">
        <f>AND('UP133'!GF117,"AAAAAEe/dwo=")</f>
        <v>#VALUE!</v>
      </c>
      <c r="L155" t="e">
        <f>AND('UP133'!GG117,"AAAAAEe/dws=")</f>
        <v>#VALUE!</v>
      </c>
      <c r="M155" t="e">
        <f>AND('UP133'!GH117,"AAAAAEe/dww=")</f>
        <v>#VALUE!</v>
      </c>
      <c r="N155" t="e">
        <f>AND('UP133'!GI117,"AAAAAEe/dw0=")</f>
        <v>#VALUE!</v>
      </c>
      <c r="O155" t="e">
        <f>AND('UP133'!GJ117,"AAAAAEe/dw4=")</f>
        <v>#VALUE!</v>
      </c>
      <c r="P155" t="e">
        <f>AND('UP133'!GK117,"AAAAAEe/dw8=")</f>
        <v>#VALUE!</v>
      </c>
      <c r="Q155" t="e">
        <f>AND('UP133'!GL117,"AAAAAEe/dxA=")</f>
        <v>#VALUE!</v>
      </c>
      <c r="R155" t="e">
        <f>AND('UP133'!GM117,"AAAAAEe/dxE=")</f>
        <v>#VALUE!</v>
      </c>
      <c r="S155" t="e">
        <f>AND('UP133'!GN117,"AAAAAEe/dxI=")</f>
        <v>#VALUE!</v>
      </c>
      <c r="T155" t="e">
        <f>AND('UP133'!GO117,"AAAAAEe/dxM=")</f>
        <v>#VALUE!</v>
      </c>
      <c r="U155" t="e">
        <f>AND('UP133'!GP117,"AAAAAEe/dxQ=")</f>
        <v>#VALUE!</v>
      </c>
      <c r="V155" t="e">
        <f>AND('UP133'!GQ117,"AAAAAEe/dxU=")</f>
        <v>#VALUE!</v>
      </c>
      <c r="W155" t="e">
        <f>AND('UP133'!GR117,"AAAAAEe/dxY=")</f>
        <v>#VALUE!</v>
      </c>
      <c r="X155" t="e">
        <f>AND('UP133'!GS117,"AAAAAEe/dxc=")</f>
        <v>#VALUE!</v>
      </c>
      <c r="Y155" t="e">
        <f>AND('UP133'!GT117,"AAAAAEe/dxg=")</f>
        <v>#VALUE!</v>
      </c>
      <c r="Z155" t="e">
        <f>AND('UP133'!GU117,"AAAAAEe/dxk=")</f>
        <v>#VALUE!</v>
      </c>
      <c r="AA155" t="e">
        <f>AND('UP133'!GV117,"AAAAAEe/dxo=")</f>
        <v>#VALUE!</v>
      </c>
      <c r="AB155" t="e">
        <f>AND('UP133'!GW117,"AAAAAEe/dxs=")</f>
        <v>#VALUE!</v>
      </c>
      <c r="AC155" t="e">
        <f>AND('UP133'!GX117,"AAAAAEe/dxw=")</f>
        <v>#VALUE!</v>
      </c>
      <c r="AD155" t="e">
        <f>AND('UP133'!GY117,"AAAAAEe/dx0=")</f>
        <v>#VALUE!</v>
      </c>
      <c r="AE155" t="e">
        <f>AND('UP133'!GZ117,"AAAAAEe/dx4=")</f>
        <v>#VALUE!</v>
      </c>
      <c r="AF155" t="e">
        <f>AND('UP133'!HA117,"AAAAAEe/dx8=")</f>
        <v>#VALUE!</v>
      </c>
      <c r="AG155" t="e">
        <f>AND('UP133'!HB117,"AAAAAEe/dyA=")</f>
        <v>#VALUE!</v>
      </c>
      <c r="AH155" t="e">
        <f>AND('UP133'!HC117,"AAAAAEe/dyE=")</f>
        <v>#VALUE!</v>
      </c>
      <c r="AI155" t="e">
        <f>AND('UP133'!HD117,"AAAAAEe/dyI=")</f>
        <v>#VALUE!</v>
      </c>
      <c r="AJ155" t="e">
        <f>AND('UP133'!HE117,"AAAAAEe/dyM=")</f>
        <v>#VALUE!</v>
      </c>
      <c r="AK155" t="e">
        <f>AND('UP133'!HF117,"AAAAAEe/dyQ=")</f>
        <v>#VALUE!</v>
      </c>
      <c r="AL155" t="e">
        <f>AND('UP133'!HG117,"AAAAAEe/dyU=")</f>
        <v>#VALUE!</v>
      </c>
      <c r="AM155" t="e">
        <f>AND('UP133'!HH117,"AAAAAEe/dyY=")</f>
        <v>#VALUE!</v>
      </c>
      <c r="AN155" t="e">
        <f>AND('UP133'!HI117,"AAAAAEe/dyc=")</f>
        <v>#VALUE!</v>
      </c>
      <c r="AO155" t="e">
        <f>AND('UP133'!HJ117,"AAAAAEe/dyg=")</f>
        <v>#VALUE!</v>
      </c>
      <c r="AP155" t="e">
        <f>AND('UP133'!HK117,"AAAAAEe/dyk=")</f>
        <v>#VALUE!</v>
      </c>
      <c r="AQ155" t="e">
        <f>AND('UP133'!HL117,"AAAAAEe/dyo=")</f>
        <v>#VALUE!</v>
      </c>
      <c r="AR155" t="e">
        <f>AND('UP133'!HM117,"AAAAAEe/dys=")</f>
        <v>#VALUE!</v>
      </c>
      <c r="AS155" t="e">
        <f>AND('UP133'!HN117,"AAAAAEe/dyw=")</f>
        <v>#VALUE!</v>
      </c>
      <c r="AT155" t="e">
        <f>AND('UP133'!HO117,"AAAAAEe/dy0=")</f>
        <v>#VALUE!</v>
      </c>
      <c r="AU155" t="e">
        <f>AND('UP133'!HP117,"AAAAAEe/dy4=")</f>
        <v>#VALUE!</v>
      </c>
      <c r="AV155" t="e">
        <f>AND('UP133'!HQ117,"AAAAAEe/dy8=")</f>
        <v>#VALUE!</v>
      </c>
      <c r="AW155" t="e">
        <f>AND('UP133'!HR117,"AAAAAEe/dzA=")</f>
        <v>#VALUE!</v>
      </c>
      <c r="AX155" t="e">
        <f>AND('UP133'!HS117,"AAAAAEe/dzE=")</f>
        <v>#VALUE!</v>
      </c>
      <c r="AY155" t="e">
        <f>AND('UP133'!HT117,"AAAAAEe/dzI=")</f>
        <v>#VALUE!</v>
      </c>
      <c r="AZ155" t="e">
        <f>AND('UP133'!HU117,"AAAAAEe/dzM=")</f>
        <v>#VALUE!</v>
      </c>
      <c r="BA155" t="e">
        <f>AND('UP133'!HV117,"AAAAAEe/dzQ=")</f>
        <v>#VALUE!</v>
      </c>
      <c r="BB155" t="e">
        <f>AND('UP133'!HW117,"AAAAAEe/dzU=")</f>
        <v>#VALUE!</v>
      </c>
      <c r="BC155" t="e">
        <f>AND('UP133'!HX117,"AAAAAEe/dzY=")</f>
        <v>#VALUE!</v>
      </c>
      <c r="BD155" t="e">
        <f>AND('UP133'!HY117,"AAAAAEe/dzc=")</f>
        <v>#VALUE!</v>
      </c>
      <c r="BE155" t="e">
        <f>AND('UP133'!HZ117,"AAAAAEe/dzg=")</f>
        <v>#VALUE!</v>
      </c>
      <c r="BF155" t="e">
        <f>AND('UP133'!IA117,"AAAAAEe/dzk=")</f>
        <v>#VALUE!</v>
      </c>
      <c r="BG155" t="e">
        <f>AND('UP133'!IB117,"AAAAAEe/dzo=")</f>
        <v>#VALUE!</v>
      </c>
      <c r="BH155" t="e">
        <f>AND('UP133'!IC117,"AAAAAEe/dzs=")</f>
        <v>#VALUE!</v>
      </c>
      <c r="BI155" t="e">
        <f>AND('UP133'!ID117,"AAAAAEe/dzw=")</f>
        <v>#VALUE!</v>
      </c>
      <c r="BJ155" t="e">
        <f>AND('UP133'!IE117,"AAAAAEe/dz0=")</f>
        <v>#VALUE!</v>
      </c>
      <c r="BK155" t="e">
        <f>AND('UP133'!IF117,"AAAAAEe/dz4=")</f>
        <v>#VALUE!</v>
      </c>
      <c r="BL155" t="e">
        <f>AND('UP133'!IG117,"AAAAAEe/dz8=")</f>
        <v>#VALUE!</v>
      </c>
      <c r="BM155" t="e">
        <f>AND('UP133'!IH117,"AAAAAEe/d0A=")</f>
        <v>#VALUE!</v>
      </c>
      <c r="BN155" t="e">
        <f>AND('UP133'!II117,"AAAAAEe/d0E=")</f>
        <v>#VALUE!</v>
      </c>
      <c r="BO155" t="e">
        <f>AND('UP133'!IJ117,"AAAAAEe/d0I=")</f>
        <v>#VALUE!</v>
      </c>
      <c r="BP155" t="e">
        <f>AND('UP133'!IK117,"AAAAAEe/d0M=")</f>
        <v>#VALUE!</v>
      </c>
      <c r="BQ155" t="e">
        <f>AND('UP133'!IL117,"AAAAAEe/d0Q=")</f>
        <v>#VALUE!</v>
      </c>
      <c r="BR155" t="e">
        <f>AND('UP133'!IM117,"AAAAAEe/d0U=")</f>
        <v>#VALUE!</v>
      </c>
      <c r="BS155" t="e">
        <f>AND('UP133'!IN117,"AAAAAEe/d0Y=")</f>
        <v>#VALUE!</v>
      </c>
      <c r="BT155" t="e">
        <f>AND('UP133'!IO117,"AAAAAEe/d0c=")</f>
        <v>#VALUE!</v>
      </c>
      <c r="BU155" t="e">
        <f>AND('UP133'!IP117,"AAAAAEe/d0g=")</f>
        <v>#VALUE!</v>
      </c>
      <c r="BV155" t="e">
        <f>AND('UP133'!IQ117,"AAAAAEe/d0k=")</f>
        <v>#VALUE!</v>
      </c>
      <c r="BW155">
        <f>IF('UP133'!118:118,"AAAAAEe/d0o=",0)</f>
        <v>0</v>
      </c>
      <c r="BX155" t="e">
        <f>AND('UP133'!A118,"AAAAAEe/d0s=")</f>
        <v>#VALUE!</v>
      </c>
      <c r="BY155" t="e">
        <f>AND('UP133'!B118,"AAAAAEe/d0w=")</f>
        <v>#VALUE!</v>
      </c>
      <c r="BZ155" t="e">
        <f>AND('UP133'!C118,"AAAAAEe/d00=")</f>
        <v>#VALUE!</v>
      </c>
      <c r="CA155" t="e">
        <f>AND('UP133'!D118,"AAAAAEe/d04=")</f>
        <v>#VALUE!</v>
      </c>
      <c r="CB155" t="e">
        <f>AND('UP133'!E118,"AAAAAEe/d08=")</f>
        <v>#VALUE!</v>
      </c>
      <c r="CC155" t="e">
        <f>AND('UP133'!F118,"AAAAAEe/d1A=")</f>
        <v>#VALUE!</v>
      </c>
      <c r="CD155" t="e">
        <f>AND('UP133'!G118,"AAAAAEe/d1E=")</f>
        <v>#VALUE!</v>
      </c>
      <c r="CE155" t="e">
        <f>AND('UP133'!H118,"AAAAAEe/d1I=")</f>
        <v>#VALUE!</v>
      </c>
      <c r="CF155" t="e">
        <f>AND('UP133'!I118,"AAAAAEe/d1M=")</f>
        <v>#VALUE!</v>
      </c>
      <c r="CG155" t="e">
        <f>AND('UP133'!J118,"AAAAAEe/d1Q=")</f>
        <v>#VALUE!</v>
      </c>
      <c r="CH155" t="e">
        <f>AND('UP133'!K118,"AAAAAEe/d1U=")</f>
        <v>#VALUE!</v>
      </c>
      <c r="CI155" t="e">
        <f>AND('UP133'!L118,"AAAAAEe/d1Y=")</f>
        <v>#VALUE!</v>
      </c>
      <c r="CJ155" t="e">
        <f>AND('UP133'!M118,"AAAAAEe/d1c=")</f>
        <v>#VALUE!</v>
      </c>
      <c r="CK155" t="e">
        <f>AND('UP133'!N118,"AAAAAEe/d1g=")</f>
        <v>#VALUE!</v>
      </c>
      <c r="CL155" t="e">
        <f>AND('UP133'!O118,"AAAAAEe/d1k=")</f>
        <v>#VALUE!</v>
      </c>
      <c r="CM155" t="e">
        <f>AND('UP133'!P118,"AAAAAEe/d1o=")</f>
        <v>#VALUE!</v>
      </c>
      <c r="CN155" t="e">
        <f>AND('UP133'!Q118,"AAAAAEe/d1s=")</f>
        <v>#VALUE!</v>
      </c>
      <c r="CO155" t="e">
        <f>AND('UP133'!R118,"AAAAAEe/d1w=")</f>
        <v>#VALUE!</v>
      </c>
      <c r="CP155" t="e">
        <f>AND('UP133'!S118,"AAAAAEe/d10=")</f>
        <v>#VALUE!</v>
      </c>
      <c r="CQ155" t="e">
        <f>AND('UP133'!T118,"AAAAAEe/d14=")</f>
        <v>#VALUE!</v>
      </c>
      <c r="CR155" t="e">
        <f>AND('UP133'!U118,"AAAAAEe/d18=")</f>
        <v>#VALUE!</v>
      </c>
      <c r="CS155" t="e">
        <f>AND('UP133'!V118,"AAAAAEe/d2A=")</f>
        <v>#VALUE!</v>
      </c>
      <c r="CT155" t="e">
        <f>AND('UP133'!W118,"AAAAAEe/d2E=")</f>
        <v>#VALUE!</v>
      </c>
      <c r="CU155" t="e">
        <f>AND('UP133'!X118,"AAAAAEe/d2I=")</f>
        <v>#VALUE!</v>
      </c>
      <c r="CV155" t="e">
        <f>AND('UP133'!Y118,"AAAAAEe/d2M=")</f>
        <v>#VALUE!</v>
      </c>
      <c r="CW155" t="e">
        <f>AND('UP133'!Z118,"AAAAAEe/d2Q=")</f>
        <v>#VALUE!</v>
      </c>
      <c r="CX155" t="e">
        <f>AND('UP133'!AA118,"AAAAAEe/d2U=")</f>
        <v>#VALUE!</v>
      </c>
      <c r="CY155" t="e">
        <f>AND('UP133'!AB118,"AAAAAEe/d2Y=")</f>
        <v>#VALUE!</v>
      </c>
      <c r="CZ155" t="e">
        <f>AND('UP133'!AC118,"AAAAAEe/d2c=")</f>
        <v>#VALUE!</v>
      </c>
      <c r="DA155" t="e">
        <f>AND('UP133'!AD118,"AAAAAEe/d2g=")</f>
        <v>#VALUE!</v>
      </c>
      <c r="DB155" t="e">
        <f>AND('UP133'!AE118,"AAAAAEe/d2k=")</f>
        <v>#VALUE!</v>
      </c>
      <c r="DC155" t="e">
        <f>AND('UP133'!AF118,"AAAAAEe/d2o=")</f>
        <v>#VALUE!</v>
      </c>
      <c r="DD155" t="e">
        <f>AND('UP133'!AG118,"AAAAAEe/d2s=")</f>
        <v>#VALUE!</v>
      </c>
      <c r="DE155" t="e">
        <f>AND('UP133'!AH118,"AAAAAEe/d2w=")</f>
        <v>#VALUE!</v>
      </c>
      <c r="DF155" t="e">
        <f>AND('UP133'!AI118,"AAAAAEe/d20=")</f>
        <v>#VALUE!</v>
      </c>
      <c r="DG155" t="e">
        <f>AND('UP133'!AJ118,"AAAAAEe/d24=")</f>
        <v>#VALUE!</v>
      </c>
      <c r="DH155" t="e">
        <f>AND('UP133'!AK118,"AAAAAEe/d28=")</f>
        <v>#VALUE!</v>
      </c>
      <c r="DI155" t="e">
        <f>AND('UP133'!AL118,"AAAAAEe/d3A=")</f>
        <v>#VALUE!</v>
      </c>
      <c r="DJ155" t="e">
        <f>AND('UP133'!AM118,"AAAAAEe/d3E=")</f>
        <v>#VALUE!</v>
      </c>
      <c r="DK155" t="e">
        <f>AND('UP133'!AN118,"AAAAAEe/d3I=")</f>
        <v>#VALUE!</v>
      </c>
      <c r="DL155" t="e">
        <f>AND('UP133'!AO118,"AAAAAEe/d3M=")</f>
        <v>#VALUE!</v>
      </c>
      <c r="DM155" t="e">
        <f>AND('UP133'!AP118,"AAAAAEe/d3Q=")</f>
        <v>#VALUE!</v>
      </c>
      <c r="DN155" t="e">
        <f>AND('UP133'!AQ118,"AAAAAEe/d3U=")</f>
        <v>#VALUE!</v>
      </c>
      <c r="DO155" t="e">
        <f>AND('UP133'!AR118,"AAAAAEe/d3Y=")</f>
        <v>#VALUE!</v>
      </c>
      <c r="DP155" t="e">
        <f>AND('UP133'!AS118,"AAAAAEe/d3c=")</f>
        <v>#VALUE!</v>
      </c>
      <c r="DQ155" t="e">
        <f>AND('UP133'!AT118,"AAAAAEe/d3g=")</f>
        <v>#VALUE!</v>
      </c>
      <c r="DR155" t="e">
        <f>AND('UP133'!AU118,"AAAAAEe/d3k=")</f>
        <v>#VALUE!</v>
      </c>
      <c r="DS155" t="e">
        <f>AND('UP133'!AV118,"AAAAAEe/d3o=")</f>
        <v>#VALUE!</v>
      </c>
      <c r="DT155" t="e">
        <f>AND('UP133'!AW118,"AAAAAEe/d3s=")</f>
        <v>#VALUE!</v>
      </c>
      <c r="DU155" t="e">
        <f>AND('UP133'!AX118,"AAAAAEe/d3w=")</f>
        <v>#VALUE!</v>
      </c>
      <c r="DV155" t="e">
        <f>AND('UP133'!AY118,"AAAAAEe/d30=")</f>
        <v>#VALUE!</v>
      </c>
      <c r="DW155" t="e">
        <f>AND('UP133'!AZ118,"AAAAAEe/d34=")</f>
        <v>#VALUE!</v>
      </c>
      <c r="DX155" t="e">
        <f>AND('UP133'!BA118,"AAAAAEe/d38=")</f>
        <v>#VALUE!</v>
      </c>
      <c r="DY155" t="e">
        <f>AND('UP133'!BB118,"AAAAAEe/d4A=")</f>
        <v>#VALUE!</v>
      </c>
      <c r="DZ155" t="e">
        <f>AND('UP133'!BC118,"AAAAAEe/d4E=")</f>
        <v>#VALUE!</v>
      </c>
      <c r="EA155" t="e">
        <f>AND('UP133'!BD118,"AAAAAEe/d4I=")</f>
        <v>#VALUE!</v>
      </c>
      <c r="EB155" t="e">
        <f>AND('UP133'!BE118,"AAAAAEe/d4M=")</f>
        <v>#VALUE!</v>
      </c>
      <c r="EC155" t="e">
        <f>AND('UP133'!BF118,"AAAAAEe/d4Q=")</f>
        <v>#VALUE!</v>
      </c>
      <c r="ED155" t="e">
        <f>AND('UP133'!BG118,"AAAAAEe/d4U=")</f>
        <v>#VALUE!</v>
      </c>
      <c r="EE155" t="e">
        <f>AND('UP133'!BH118,"AAAAAEe/d4Y=")</f>
        <v>#VALUE!</v>
      </c>
      <c r="EF155" t="e">
        <f>AND('UP133'!BI118,"AAAAAEe/d4c=")</f>
        <v>#VALUE!</v>
      </c>
      <c r="EG155" t="e">
        <f>AND('UP133'!BJ118,"AAAAAEe/d4g=")</f>
        <v>#VALUE!</v>
      </c>
      <c r="EH155" t="e">
        <f>AND('UP133'!BK118,"AAAAAEe/d4k=")</f>
        <v>#VALUE!</v>
      </c>
      <c r="EI155" t="e">
        <f>AND('UP133'!BL118,"AAAAAEe/d4o=")</f>
        <v>#VALUE!</v>
      </c>
      <c r="EJ155" t="e">
        <f>AND('UP133'!BM118,"AAAAAEe/d4s=")</f>
        <v>#VALUE!</v>
      </c>
      <c r="EK155" t="e">
        <f>AND('UP133'!BN118,"AAAAAEe/d4w=")</f>
        <v>#VALUE!</v>
      </c>
      <c r="EL155" t="e">
        <f>AND('UP133'!BO118,"AAAAAEe/d40=")</f>
        <v>#VALUE!</v>
      </c>
      <c r="EM155" t="e">
        <f>AND('UP133'!BP118,"AAAAAEe/d44=")</f>
        <v>#VALUE!</v>
      </c>
      <c r="EN155" t="e">
        <f>AND('UP133'!BQ118,"AAAAAEe/d48=")</f>
        <v>#VALUE!</v>
      </c>
      <c r="EO155" t="e">
        <f>AND('UP133'!BR118,"AAAAAEe/d5A=")</f>
        <v>#VALUE!</v>
      </c>
      <c r="EP155" t="e">
        <f>AND('UP133'!BS118,"AAAAAEe/d5E=")</f>
        <v>#VALUE!</v>
      </c>
      <c r="EQ155" t="e">
        <f>AND('UP133'!BT118,"AAAAAEe/d5I=")</f>
        <v>#VALUE!</v>
      </c>
      <c r="ER155" t="e">
        <f>AND('UP133'!BU118,"AAAAAEe/d5M=")</f>
        <v>#VALUE!</v>
      </c>
      <c r="ES155" t="e">
        <f>AND('UP133'!BV118,"AAAAAEe/d5Q=")</f>
        <v>#VALUE!</v>
      </c>
      <c r="ET155" t="e">
        <f>AND('UP133'!BW118,"AAAAAEe/d5U=")</f>
        <v>#VALUE!</v>
      </c>
      <c r="EU155" t="e">
        <f>AND('UP133'!BX118,"AAAAAEe/d5Y=")</f>
        <v>#VALUE!</v>
      </c>
      <c r="EV155" t="e">
        <f>AND('UP133'!BY118,"AAAAAEe/d5c=")</f>
        <v>#VALUE!</v>
      </c>
      <c r="EW155" t="e">
        <f>AND('UP133'!BZ118,"AAAAAEe/d5g=")</f>
        <v>#VALUE!</v>
      </c>
      <c r="EX155" t="e">
        <f>AND('UP133'!CA118,"AAAAAEe/d5k=")</f>
        <v>#VALUE!</v>
      </c>
      <c r="EY155" t="e">
        <f>AND('UP133'!CB118,"AAAAAEe/d5o=")</f>
        <v>#VALUE!</v>
      </c>
      <c r="EZ155" t="e">
        <f>AND('UP133'!CC118,"AAAAAEe/d5s=")</f>
        <v>#VALUE!</v>
      </c>
      <c r="FA155" t="e">
        <f>AND('UP133'!CD118,"AAAAAEe/d5w=")</f>
        <v>#VALUE!</v>
      </c>
      <c r="FB155" t="e">
        <f>AND('UP133'!CE118,"AAAAAEe/d50=")</f>
        <v>#VALUE!</v>
      </c>
      <c r="FC155" t="e">
        <f>AND('UP133'!CF118,"AAAAAEe/d54=")</f>
        <v>#VALUE!</v>
      </c>
      <c r="FD155" t="e">
        <f>AND('UP133'!CG118,"AAAAAEe/d58=")</f>
        <v>#VALUE!</v>
      </c>
      <c r="FE155" t="e">
        <f>AND('UP133'!CH118,"AAAAAEe/d6A=")</f>
        <v>#VALUE!</v>
      </c>
      <c r="FF155" t="e">
        <f>AND('UP133'!CI118,"AAAAAEe/d6E=")</f>
        <v>#VALUE!</v>
      </c>
      <c r="FG155" t="e">
        <f>AND('UP133'!CJ118,"AAAAAEe/d6I=")</f>
        <v>#VALUE!</v>
      </c>
      <c r="FH155" t="e">
        <f>AND('UP133'!CK118,"AAAAAEe/d6M=")</f>
        <v>#VALUE!</v>
      </c>
      <c r="FI155" t="e">
        <f>AND('UP133'!CL118,"AAAAAEe/d6Q=")</f>
        <v>#VALUE!</v>
      </c>
      <c r="FJ155" t="e">
        <f>AND('UP133'!CM118,"AAAAAEe/d6U=")</f>
        <v>#VALUE!</v>
      </c>
      <c r="FK155" t="e">
        <f>AND('UP133'!CN118,"AAAAAEe/d6Y=")</f>
        <v>#VALUE!</v>
      </c>
      <c r="FL155" t="e">
        <f>AND('UP133'!CO118,"AAAAAEe/d6c=")</f>
        <v>#VALUE!</v>
      </c>
      <c r="FM155" t="e">
        <f>AND('UP133'!CP118,"AAAAAEe/d6g=")</f>
        <v>#VALUE!</v>
      </c>
      <c r="FN155" t="e">
        <f>AND('UP133'!CQ118,"AAAAAEe/d6k=")</f>
        <v>#VALUE!</v>
      </c>
      <c r="FO155" t="e">
        <f>AND('UP133'!CR118,"AAAAAEe/d6o=")</f>
        <v>#VALUE!</v>
      </c>
      <c r="FP155" t="e">
        <f>AND('UP133'!CS118,"AAAAAEe/d6s=")</f>
        <v>#VALUE!</v>
      </c>
      <c r="FQ155" t="e">
        <f>AND('UP133'!CT118,"AAAAAEe/d6w=")</f>
        <v>#VALUE!</v>
      </c>
      <c r="FR155" t="e">
        <f>AND('UP133'!CU118,"AAAAAEe/d60=")</f>
        <v>#VALUE!</v>
      </c>
      <c r="FS155" t="e">
        <f>AND('UP133'!CV118,"AAAAAEe/d64=")</f>
        <v>#VALUE!</v>
      </c>
      <c r="FT155" t="e">
        <f>AND('UP133'!CW118,"AAAAAEe/d68=")</f>
        <v>#VALUE!</v>
      </c>
      <c r="FU155" t="e">
        <f>AND('UP133'!CX118,"AAAAAEe/d7A=")</f>
        <v>#VALUE!</v>
      </c>
      <c r="FV155" t="e">
        <f>AND('UP133'!CY118,"AAAAAEe/d7E=")</f>
        <v>#VALUE!</v>
      </c>
      <c r="FW155" t="e">
        <f>AND('UP133'!CZ118,"AAAAAEe/d7I=")</f>
        <v>#VALUE!</v>
      </c>
      <c r="FX155" t="e">
        <f>AND('UP133'!DA118,"AAAAAEe/d7M=")</f>
        <v>#VALUE!</v>
      </c>
      <c r="FY155" t="e">
        <f>AND('UP133'!DB118,"AAAAAEe/d7Q=")</f>
        <v>#VALUE!</v>
      </c>
      <c r="FZ155" t="e">
        <f>AND('UP133'!DC118,"AAAAAEe/d7U=")</f>
        <v>#VALUE!</v>
      </c>
      <c r="GA155" t="e">
        <f>AND('UP133'!DD118,"AAAAAEe/d7Y=")</f>
        <v>#VALUE!</v>
      </c>
      <c r="GB155" t="e">
        <f>AND('UP133'!DE118,"AAAAAEe/d7c=")</f>
        <v>#VALUE!</v>
      </c>
      <c r="GC155" t="e">
        <f>AND('UP133'!DF118,"AAAAAEe/d7g=")</f>
        <v>#VALUE!</v>
      </c>
      <c r="GD155" t="e">
        <f>AND('UP133'!DG118,"AAAAAEe/d7k=")</f>
        <v>#VALUE!</v>
      </c>
      <c r="GE155" t="e">
        <f>AND('UP133'!DH118,"AAAAAEe/d7o=")</f>
        <v>#VALUE!</v>
      </c>
      <c r="GF155" t="e">
        <f>AND('UP133'!DI118,"AAAAAEe/d7s=")</f>
        <v>#VALUE!</v>
      </c>
      <c r="GG155" t="e">
        <f>AND('UP133'!DJ118,"AAAAAEe/d7w=")</f>
        <v>#VALUE!</v>
      </c>
      <c r="GH155" t="e">
        <f>AND('UP133'!DK118,"AAAAAEe/d70=")</f>
        <v>#VALUE!</v>
      </c>
      <c r="GI155" t="e">
        <f>AND('UP133'!DL118,"AAAAAEe/d74=")</f>
        <v>#VALUE!</v>
      </c>
      <c r="GJ155" t="e">
        <f>AND('UP133'!DM118,"AAAAAEe/d78=")</f>
        <v>#VALUE!</v>
      </c>
      <c r="GK155" t="e">
        <f>AND('UP133'!DN118,"AAAAAEe/d8A=")</f>
        <v>#VALUE!</v>
      </c>
      <c r="GL155" t="e">
        <f>AND('UP133'!DO118,"AAAAAEe/d8E=")</f>
        <v>#VALUE!</v>
      </c>
      <c r="GM155" t="e">
        <f>AND('UP133'!DP118,"AAAAAEe/d8I=")</f>
        <v>#VALUE!</v>
      </c>
      <c r="GN155" t="e">
        <f>AND('UP133'!DQ118,"AAAAAEe/d8M=")</f>
        <v>#VALUE!</v>
      </c>
      <c r="GO155" t="e">
        <f>AND('UP133'!DR118,"AAAAAEe/d8Q=")</f>
        <v>#VALUE!</v>
      </c>
      <c r="GP155" t="e">
        <f>AND('UP133'!DS118,"AAAAAEe/d8U=")</f>
        <v>#VALUE!</v>
      </c>
      <c r="GQ155" t="e">
        <f>AND('UP133'!DT118,"AAAAAEe/d8Y=")</f>
        <v>#VALUE!</v>
      </c>
      <c r="GR155" t="e">
        <f>AND('UP133'!DU118,"AAAAAEe/d8c=")</f>
        <v>#VALUE!</v>
      </c>
      <c r="GS155" t="e">
        <f>AND('UP133'!DV118,"AAAAAEe/d8g=")</f>
        <v>#VALUE!</v>
      </c>
      <c r="GT155" t="e">
        <f>AND('UP133'!DW118,"AAAAAEe/d8k=")</f>
        <v>#VALUE!</v>
      </c>
      <c r="GU155" t="e">
        <f>AND('UP133'!DX118,"AAAAAEe/d8o=")</f>
        <v>#VALUE!</v>
      </c>
      <c r="GV155" t="e">
        <f>AND('UP133'!DY118,"AAAAAEe/d8s=")</f>
        <v>#VALUE!</v>
      </c>
      <c r="GW155" t="e">
        <f>AND('UP133'!DZ118,"AAAAAEe/d8w=")</f>
        <v>#VALUE!</v>
      </c>
      <c r="GX155" t="e">
        <f>AND('UP133'!EA118,"AAAAAEe/d80=")</f>
        <v>#VALUE!</v>
      </c>
      <c r="GY155" t="e">
        <f>AND('UP133'!EB118,"AAAAAEe/d84=")</f>
        <v>#VALUE!</v>
      </c>
      <c r="GZ155" t="e">
        <f>AND('UP133'!EC118,"AAAAAEe/d88=")</f>
        <v>#VALUE!</v>
      </c>
      <c r="HA155" t="e">
        <f>AND('UP133'!ED118,"AAAAAEe/d9A=")</f>
        <v>#VALUE!</v>
      </c>
      <c r="HB155" t="e">
        <f>AND('UP133'!EE118,"AAAAAEe/d9E=")</f>
        <v>#VALUE!</v>
      </c>
      <c r="HC155" t="e">
        <f>AND('UP133'!EF118,"AAAAAEe/d9I=")</f>
        <v>#VALUE!</v>
      </c>
      <c r="HD155" t="e">
        <f>AND('UP133'!EG118,"AAAAAEe/d9M=")</f>
        <v>#VALUE!</v>
      </c>
      <c r="HE155" t="e">
        <f>AND('UP133'!EH118,"AAAAAEe/d9Q=")</f>
        <v>#VALUE!</v>
      </c>
      <c r="HF155" t="e">
        <f>AND('UP133'!EI118,"AAAAAEe/d9U=")</f>
        <v>#VALUE!</v>
      </c>
      <c r="HG155" t="e">
        <f>AND('UP133'!EJ118,"AAAAAEe/d9Y=")</f>
        <v>#VALUE!</v>
      </c>
      <c r="HH155" t="e">
        <f>AND('UP133'!EK118,"AAAAAEe/d9c=")</f>
        <v>#VALUE!</v>
      </c>
      <c r="HI155" t="e">
        <f>AND('UP133'!EL118,"AAAAAEe/d9g=")</f>
        <v>#VALUE!</v>
      </c>
      <c r="HJ155" t="e">
        <f>AND('UP133'!EM118,"AAAAAEe/d9k=")</f>
        <v>#VALUE!</v>
      </c>
      <c r="HK155" t="e">
        <f>AND('UP133'!EN118,"AAAAAEe/d9o=")</f>
        <v>#VALUE!</v>
      </c>
      <c r="HL155" t="e">
        <f>AND('UP133'!EO118,"AAAAAEe/d9s=")</f>
        <v>#VALUE!</v>
      </c>
      <c r="HM155" t="e">
        <f>AND('UP133'!EP118,"AAAAAEe/d9w=")</f>
        <v>#VALUE!</v>
      </c>
      <c r="HN155" t="e">
        <f>AND('UP133'!EQ118,"AAAAAEe/d90=")</f>
        <v>#VALUE!</v>
      </c>
      <c r="HO155" t="e">
        <f>AND('UP133'!ER118,"AAAAAEe/d94=")</f>
        <v>#VALUE!</v>
      </c>
      <c r="HP155" t="e">
        <f>AND('UP133'!ES118,"AAAAAEe/d98=")</f>
        <v>#VALUE!</v>
      </c>
      <c r="HQ155" t="e">
        <f>AND('UP133'!ET118,"AAAAAEe/d+A=")</f>
        <v>#VALUE!</v>
      </c>
      <c r="HR155" t="e">
        <f>AND('UP133'!EU118,"AAAAAEe/d+E=")</f>
        <v>#VALUE!</v>
      </c>
      <c r="HS155" t="e">
        <f>AND('UP133'!EV118,"AAAAAEe/d+I=")</f>
        <v>#VALUE!</v>
      </c>
      <c r="HT155" t="e">
        <f>AND('UP133'!EW118,"AAAAAEe/d+M=")</f>
        <v>#VALUE!</v>
      </c>
      <c r="HU155" t="e">
        <f>AND('UP133'!EX118,"AAAAAEe/d+Q=")</f>
        <v>#VALUE!</v>
      </c>
      <c r="HV155" t="e">
        <f>AND('UP133'!EY118,"AAAAAEe/d+U=")</f>
        <v>#VALUE!</v>
      </c>
      <c r="HW155" t="e">
        <f>AND('UP133'!EZ118,"AAAAAEe/d+Y=")</f>
        <v>#VALUE!</v>
      </c>
      <c r="HX155" t="e">
        <f>AND('UP133'!FA118,"AAAAAEe/d+c=")</f>
        <v>#VALUE!</v>
      </c>
      <c r="HY155" t="e">
        <f>AND('UP133'!FB118,"AAAAAEe/d+g=")</f>
        <v>#VALUE!</v>
      </c>
      <c r="HZ155" t="e">
        <f>AND('UP133'!FC118,"AAAAAEe/d+k=")</f>
        <v>#VALUE!</v>
      </c>
      <c r="IA155" t="e">
        <f>AND('UP133'!FD118,"AAAAAEe/d+o=")</f>
        <v>#VALUE!</v>
      </c>
      <c r="IB155" t="e">
        <f>AND('UP133'!FE118,"AAAAAEe/d+s=")</f>
        <v>#VALUE!</v>
      </c>
      <c r="IC155" t="e">
        <f>AND('UP133'!FF118,"AAAAAEe/d+w=")</f>
        <v>#VALUE!</v>
      </c>
      <c r="ID155" t="e">
        <f>AND('UP133'!FG118,"AAAAAEe/d+0=")</f>
        <v>#VALUE!</v>
      </c>
      <c r="IE155" t="e">
        <f>AND('UP133'!FH118,"AAAAAEe/d+4=")</f>
        <v>#VALUE!</v>
      </c>
      <c r="IF155" t="e">
        <f>AND('UP133'!FI118,"AAAAAEe/d+8=")</f>
        <v>#VALUE!</v>
      </c>
      <c r="IG155" t="e">
        <f>AND('UP133'!FJ118,"AAAAAEe/d/A=")</f>
        <v>#VALUE!</v>
      </c>
      <c r="IH155" t="e">
        <f>AND('UP133'!FK118,"AAAAAEe/d/E=")</f>
        <v>#VALUE!</v>
      </c>
      <c r="II155" t="e">
        <f>AND('UP133'!FL118,"AAAAAEe/d/I=")</f>
        <v>#VALUE!</v>
      </c>
      <c r="IJ155" t="e">
        <f>AND('UP133'!FM118,"AAAAAEe/d/M=")</f>
        <v>#VALUE!</v>
      </c>
      <c r="IK155" t="e">
        <f>AND('UP133'!FN118,"AAAAAEe/d/Q=")</f>
        <v>#VALUE!</v>
      </c>
      <c r="IL155" t="e">
        <f>AND('UP133'!FO118,"AAAAAEe/d/U=")</f>
        <v>#VALUE!</v>
      </c>
      <c r="IM155" t="e">
        <f>AND('UP133'!FP118,"AAAAAEe/d/Y=")</f>
        <v>#VALUE!</v>
      </c>
      <c r="IN155" t="e">
        <f>AND('UP133'!FQ118,"AAAAAEe/d/c=")</f>
        <v>#VALUE!</v>
      </c>
      <c r="IO155" t="e">
        <f>AND('UP133'!FR118,"AAAAAEe/d/g=")</f>
        <v>#VALUE!</v>
      </c>
      <c r="IP155" t="e">
        <f>AND('UP133'!FS118,"AAAAAEe/d/k=")</f>
        <v>#VALUE!</v>
      </c>
      <c r="IQ155" t="e">
        <f>AND('UP133'!FT118,"AAAAAEe/d/o=")</f>
        <v>#VALUE!</v>
      </c>
      <c r="IR155" t="e">
        <f>AND('UP133'!FU118,"AAAAAEe/d/s=")</f>
        <v>#VALUE!</v>
      </c>
      <c r="IS155" t="e">
        <f>AND('UP133'!FV118,"AAAAAEe/d/w=")</f>
        <v>#VALUE!</v>
      </c>
      <c r="IT155" t="e">
        <f>AND('UP133'!FW118,"AAAAAEe/d/0=")</f>
        <v>#VALUE!</v>
      </c>
      <c r="IU155" t="e">
        <f>AND('UP133'!FX118,"AAAAAEe/d/4=")</f>
        <v>#VALUE!</v>
      </c>
      <c r="IV155" t="e">
        <f>AND('UP133'!FY118,"AAAAAEe/d/8=")</f>
        <v>#VALUE!</v>
      </c>
    </row>
    <row r="156" spans="1:256">
      <c r="A156" t="e">
        <f>AND('UP133'!FZ118,"AAAAAHyz3wA=")</f>
        <v>#VALUE!</v>
      </c>
      <c r="B156" t="e">
        <f>AND('UP133'!GA118,"AAAAAHyz3wE=")</f>
        <v>#VALUE!</v>
      </c>
      <c r="C156" t="e">
        <f>AND('UP133'!GB118,"AAAAAHyz3wI=")</f>
        <v>#VALUE!</v>
      </c>
      <c r="D156" t="e">
        <f>AND('UP133'!GC118,"AAAAAHyz3wM=")</f>
        <v>#VALUE!</v>
      </c>
      <c r="E156" t="e">
        <f>AND('UP133'!GD118,"AAAAAHyz3wQ=")</f>
        <v>#VALUE!</v>
      </c>
      <c r="F156" t="e">
        <f>AND('UP133'!GE118,"AAAAAHyz3wU=")</f>
        <v>#VALUE!</v>
      </c>
      <c r="G156" t="e">
        <f>AND('UP133'!GF118,"AAAAAHyz3wY=")</f>
        <v>#VALUE!</v>
      </c>
      <c r="H156" t="e">
        <f>AND('UP133'!GG118,"AAAAAHyz3wc=")</f>
        <v>#VALUE!</v>
      </c>
      <c r="I156" t="e">
        <f>AND('UP133'!GH118,"AAAAAHyz3wg=")</f>
        <v>#VALUE!</v>
      </c>
      <c r="J156" t="e">
        <f>AND('UP133'!GI118,"AAAAAHyz3wk=")</f>
        <v>#VALUE!</v>
      </c>
      <c r="K156" t="e">
        <f>AND('UP133'!GJ118,"AAAAAHyz3wo=")</f>
        <v>#VALUE!</v>
      </c>
      <c r="L156" t="e">
        <f>AND('UP133'!GK118,"AAAAAHyz3ws=")</f>
        <v>#VALUE!</v>
      </c>
      <c r="M156" t="e">
        <f>AND('UP133'!GL118,"AAAAAHyz3ww=")</f>
        <v>#VALUE!</v>
      </c>
      <c r="N156" t="e">
        <f>AND('UP133'!GM118,"AAAAAHyz3w0=")</f>
        <v>#VALUE!</v>
      </c>
      <c r="O156" t="e">
        <f>AND('UP133'!GN118,"AAAAAHyz3w4=")</f>
        <v>#VALUE!</v>
      </c>
      <c r="P156" t="e">
        <f>AND('UP133'!GO118,"AAAAAHyz3w8=")</f>
        <v>#VALUE!</v>
      </c>
      <c r="Q156" t="e">
        <f>AND('UP133'!GP118,"AAAAAHyz3xA=")</f>
        <v>#VALUE!</v>
      </c>
      <c r="R156" t="e">
        <f>AND('UP133'!GQ118,"AAAAAHyz3xE=")</f>
        <v>#VALUE!</v>
      </c>
      <c r="S156" t="e">
        <f>AND('UP133'!GR118,"AAAAAHyz3xI=")</f>
        <v>#VALUE!</v>
      </c>
      <c r="T156" t="e">
        <f>AND('UP133'!GS118,"AAAAAHyz3xM=")</f>
        <v>#VALUE!</v>
      </c>
      <c r="U156" t="e">
        <f>AND('UP133'!GT118,"AAAAAHyz3xQ=")</f>
        <v>#VALUE!</v>
      </c>
      <c r="V156" t="e">
        <f>AND('UP133'!GU118,"AAAAAHyz3xU=")</f>
        <v>#VALUE!</v>
      </c>
      <c r="W156" t="e">
        <f>AND('UP133'!GV118,"AAAAAHyz3xY=")</f>
        <v>#VALUE!</v>
      </c>
      <c r="X156" t="e">
        <f>AND('UP133'!GW118,"AAAAAHyz3xc=")</f>
        <v>#VALUE!</v>
      </c>
      <c r="Y156" t="e">
        <f>AND('UP133'!GX118,"AAAAAHyz3xg=")</f>
        <v>#VALUE!</v>
      </c>
      <c r="Z156" t="e">
        <f>AND('UP133'!GY118,"AAAAAHyz3xk=")</f>
        <v>#VALUE!</v>
      </c>
      <c r="AA156" t="e">
        <f>AND('UP133'!GZ118,"AAAAAHyz3xo=")</f>
        <v>#VALUE!</v>
      </c>
      <c r="AB156" t="e">
        <f>AND('UP133'!HA118,"AAAAAHyz3xs=")</f>
        <v>#VALUE!</v>
      </c>
      <c r="AC156" t="e">
        <f>AND('UP133'!HB118,"AAAAAHyz3xw=")</f>
        <v>#VALUE!</v>
      </c>
      <c r="AD156" t="e">
        <f>AND('UP133'!HC118,"AAAAAHyz3x0=")</f>
        <v>#VALUE!</v>
      </c>
      <c r="AE156" t="e">
        <f>AND('UP133'!HD118,"AAAAAHyz3x4=")</f>
        <v>#VALUE!</v>
      </c>
      <c r="AF156" t="e">
        <f>AND('UP133'!HE118,"AAAAAHyz3x8=")</f>
        <v>#VALUE!</v>
      </c>
      <c r="AG156" t="e">
        <f>AND('UP133'!HF118,"AAAAAHyz3yA=")</f>
        <v>#VALUE!</v>
      </c>
      <c r="AH156" t="e">
        <f>AND('UP133'!HG118,"AAAAAHyz3yE=")</f>
        <v>#VALUE!</v>
      </c>
      <c r="AI156" t="e">
        <f>AND('UP133'!HH118,"AAAAAHyz3yI=")</f>
        <v>#VALUE!</v>
      </c>
      <c r="AJ156" t="e">
        <f>AND('UP133'!HI118,"AAAAAHyz3yM=")</f>
        <v>#VALUE!</v>
      </c>
      <c r="AK156" t="e">
        <f>AND('UP133'!HJ118,"AAAAAHyz3yQ=")</f>
        <v>#VALUE!</v>
      </c>
      <c r="AL156" t="e">
        <f>AND('UP133'!HK118,"AAAAAHyz3yU=")</f>
        <v>#VALUE!</v>
      </c>
      <c r="AM156" t="e">
        <f>AND('UP133'!HL118,"AAAAAHyz3yY=")</f>
        <v>#VALUE!</v>
      </c>
      <c r="AN156" t="e">
        <f>AND('UP133'!HM118,"AAAAAHyz3yc=")</f>
        <v>#VALUE!</v>
      </c>
      <c r="AO156" t="e">
        <f>AND('UP133'!HN118,"AAAAAHyz3yg=")</f>
        <v>#VALUE!</v>
      </c>
      <c r="AP156" t="e">
        <f>AND('UP133'!HO118,"AAAAAHyz3yk=")</f>
        <v>#VALUE!</v>
      </c>
      <c r="AQ156" t="e">
        <f>AND('UP133'!HP118,"AAAAAHyz3yo=")</f>
        <v>#VALUE!</v>
      </c>
      <c r="AR156" t="e">
        <f>AND('UP133'!HQ118,"AAAAAHyz3ys=")</f>
        <v>#VALUE!</v>
      </c>
      <c r="AS156" t="e">
        <f>AND('UP133'!HR118,"AAAAAHyz3yw=")</f>
        <v>#VALUE!</v>
      </c>
      <c r="AT156" t="e">
        <f>AND('UP133'!HS118,"AAAAAHyz3y0=")</f>
        <v>#VALUE!</v>
      </c>
      <c r="AU156" t="e">
        <f>AND('UP133'!HT118,"AAAAAHyz3y4=")</f>
        <v>#VALUE!</v>
      </c>
      <c r="AV156" t="e">
        <f>AND('UP133'!HU118,"AAAAAHyz3y8=")</f>
        <v>#VALUE!</v>
      </c>
      <c r="AW156" t="e">
        <f>AND('UP133'!HV118,"AAAAAHyz3zA=")</f>
        <v>#VALUE!</v>
      </c>
      <c r="AX156" t="e">
        <f>AND('UP133'!HW118,"AAAAAHyz3zE=")</f>
        <v>#VALUE!</v>
      </c>
      <c r="AY156" t="e">
        <f>AND('UP133'!HX118,"AAAAAHyz3zI=")</f>
        <v>#VALUE!</v>
      </c>
      <c r="AZ156" t="e">
        <f>AND('UP133'!HY118,"AAAAAHyz3zM=")</f>
        <v>#VALUE!</v>
      </c>
      <c r="BA156" t="e">
        <f>AND('UP133'!HZ118,"AAAAAHyz3zQ=")</f>
        <v>#VALUE!</v>
      </c>
      <c r="BB156" t="e">
        <f>AND('UP133'!IA118,"AAAAAHyz3zU=")</f>
        <v>#VALUE!</v>
      </c>
      <c r="BC156" t="e">
        <f>AND('UP133'!IB118,"AAAAAHyz3zY=")</f>
        <v>#VALUE!</v>
      </c>
      <c r="BD156" t="e">
        <f>AND('UP133'!IC118,"AAAAAHyz3zc=")</f>
        <v>#VALUE!</v>
      </c>
      <c r="BE156" t="e">
        <f>AND('UP133'!ID118,"AAAAAHyz3zg=")</f>
        <v>#VALUE!</v>
      </c>
      <c r="BF156" t="e">
        <f>AND('UP133'!IE118,"AAAAAHyz3zk=")</f>
        <v>#VALUE!</v>
      </c>
      <c r="BG156" t="e">
        <f>AND('UP133'!IF118,"AAAAAHyz3zo=")</f>
        <v>#VALUE!</v>
      </c>
      <c r="BH156" t="e">
        <f>AND('UP133'!IG118,"AAAAAHyz3zs=")</f>
        <v>#VALUE!</v>
      </c>
      <c r="BI156" t="e">
        <f>AND('UP133'!IH118,"AAAAAHyz3zw=")</f>
        <v>#VALUE!</v>
      </c>
      <c r="BJ156" t="e">
        <f>AND('UP133'!II118,"AAAAAHyz3z0=")</f>
        <v>#VALUE!</v>
      </c>
      <c r="BK156" t="e">
        <f>AND('UP133'!IJ118,"AAAAAHyz3z4=")</f>
        <v>#VALUE!</v>
      </c>
      <c r="BL156" t="e">
        <f>AND('UP133'!IK118,"AAAAAHyz3z8=")</f>
        <v>#VALUE!</v>
      </c>
      <c r="BM156" t="e">
        <f>AND('UP133'!IL118,"AAAAAHyz30A=")</f>
        <v>#VALUE!</v>
      </c>
      <c r="BN156" t="e">
        <f>AND('UP133'!IM118,"AAAAAHyz30E=")</f>
        <v>#VALUE!</v>
      </c>
      <c r="BO156" t="e">
        <f>AND('UP133'!IN118,"AAAAAHyz30I=")</f>
        <v>#VALUE!</v>
      </c>
      <c r="BP156" t="e">
        <f>AND('UP133'!IO118,"AAAAAHyz30M=")</f>
        <v>#VALUE!</v>
      </c>
      <c r="BQ156" t="e">
        <f>AND('UP133'!IP118,"AAAAAHyz30Q=")</f>
        <v>#VALUE!</v>
      </c>
      <c r="BR156" t="e">
        <f>AND('UP133'!IQ118,"AAAAAHyz30U=")</f>
        <v>#VALUE!</v>
      </c>
      <c r="BS156">
        <f>IF('UP133'!119:119,"AAAAAHyz30Y=",0)</f>
        <v>0</v>
      </c>
      <c r="BT156" t="e">
        <f>AND('UP133'!A119,"AAAAAHyz30c=")</f>
        <v>#VALUE!</v>
      </c>
      <c r="BU156" t="e">
        <f>AND('UP133'!B119,"AAAAAHyz30g=")</f>
        <v>#VALUE!</v>
      </c>
      <c r="BV156" t="e">
        <f>AND('UP133'!C119,"AAAAAHyz30k=")</f>
        <v>#VALUE!</v>
      </c>
      <c r="BW156" t="e">
        <f>AND('UP133'!D119,"AAAAAHyz30o=")</f>
        <v>#VALUE!</v>
      </c>
      <c r="BX156" t="e">
        <f>AND('UP133'!E119,"AAAAAHyz30s=")</f>
        <v>#VALUE!</v>
      </c>
      <c r="BY156" t="e">
        <f>AND('UP133'!F119,"AAAAAHyz30w=")</f>
        <v>#VALUE!</v>
      </c>
      <c r="BZ156" t="e">
        <f>AND('UP133'!G119,"AAAAAHyz300=")</f>
        <v>#VALUE!</v>
      </c>
      <c r="CA156" t="e">
        <f>AND('UP133'!H119,"AAAAAHyz304=")</f>
        <v>#VALUE!</v>
      </c>
      <c r="CB156" t="e">
        <f>AND('UP133'!I119,"AAAAAHyz308=")</f>
        <v>#VALUE!</v>
      </c>
      <c r="CC156" t="e">
        <f>AND('UP133'!J119,"AAAAAHyz31A=")</f>
        <v>#VALUE!</v>
      </c>
      <c r="CD156" t="e">
        <f>AND('UP133'!K119,"AAAAAHyz31E=")</f>
        <v>#VALUE!</v>
      </c>
      <c r="CE156" t="e">
        <f>AND('UP133'!L119,"AAAAAHyz31I=")</f>
        <v>#VALUE!</v>
      </c>
      <c r="CF156" t="e">
        <f>AND('UP133'!M119,"AAAAAHyz31M=")</f>
        <v>#VALUE!</v>
      </c>
      <c r="CG156" t="e">
        <f>AND('UP133'!N119,"AAAAAHyz31Q=")</f>
        <v>#VALUE!</v>
      </c>
      <c r="CH156" t="e">
        <f>AND('UP133'!O119,"AAAAAHyz31U=")</f>
        <v>#VALUE!</v>
      </c>
      <c r="CI156" t="e">
        <f>AND('UP133'!P119,"AAAAAHyz31Y=")</f>
        <v>#VALUE!</v>
      </c>
      <c r="CJ156" t="e">
        <f>AND('UP133'!Q119,"AAAAAHyz31c=")</f>
        <v>#VALUE!</v>
      </c>
      <c r="CK156" t="e">
        <f>AND('UP133'!R119,"AAAAAHyz31g=")</f>
        <v>#VALUE!</v>
      </c>
      <c r="CL156" t="e">
        <f>AND('UP133'!S119,"AAAAAHyz31k=")</f>
        <v>#VALUE!</v>
      </c>
      <c r="CM156" t="e">
        <f>AND('UP133'!T119,"AAAAAHyz31o=")</f>
        <v>#VALUE!</v>
      </c>
      <c r="CN156" t="e">
        <f>AND('UP133'!U119,"AAAAAHyz31s=")</f>
        <v>#VALUE!</v>
      </c>
      <c r="CO156" t="e">
        <f>AND('UP133'!V119,"AAAAAHyz31w=")</f>
        <v>#VALUE!</v>
      </c>
      <c r="CP156" t="e">
        <f>AND('UP133'!W119,"AAAAAHyz310=")</f>
        <v>#VALUE!</v>
      </c>
      <c r="CQ156" t="e">
        <f>AND('UP133'!X119,"AAAAAHyz314=")</f>
        <v>#VALUE!</v>
      </c>
      <c r="CR156" t="e">
        <f>AND('UP133'!Y119,"AAAAAHyz318=")</f>
        <v>#VALUE!</v>
      </c>
      <c r="CS156" t="e">
        <f>AND('UP133'!Z119,"AAAAAHyz32A=")</f>
        <v>#VALUE!</v>
      </c>
      <c r="CT156" t="e">
        <f>AND('UP133'!AA119,"AAAAAHyz32E=")</f>
        <v>#VALUE!</v>
      </c>
      <c r="CU156" t="e">
        <f>AND('UP133'!AB119,"AAAAAHyz32I=")</f>
        <v>#VALUE!</v>
      </c>
      <c r="CV156" t="e">
        <f>AND('UP133'!AC119,"AAAAAHyz32M=")</f>
        <v>#VALUE!</v>
      </c>
      <c r="CW156" t="e">
        <f>AND('UP133'!AD119,"AAAAAHyz32Q=")</f>
        <v>#VALUE!</v>
      </c>
      <c r="CX156" t="e">
        <f>AND('UP133'!AE119,"AAAAAHyz32U=")</f>
        <v>#VALUE!</v>
      </c>
      <c r="CY156" t="e">
        <f>AND('UP133'!AF119,"AAAAAHyz32Y=")</f>
        <v>#VALUE!</v>
      </c>
      <c r="CZ156" t="e">
        <f>AND('UP133'!AG119,"AAAAAHyz32c=")</f>
        <v>#VALUE!</v>
      </c>
      <c r="DA156" t="e">
        <f>AND('UP133'!AH119,"AAAAAHyz32g=")</f>
        <v>#VALUE!</v>
      </c>
      <c r="DB156" t="e">
        <f>AND('UP133'!AI119,"AAAAAHyz32k=")</f>
        <v>#VALUE!</v>
      </c>
      <c r="DC156" t="e">
        <f>AND('UP133'!AJ119,"AAAAAHyz32o=")</f>
        <v>#VALUE!</v>
      </c>
      <c r="DD156" t="e">
        <f>AND('UP133'!AK119,"AAAAAHyz32s=")</f>
        <v>#VALUE!</v>
      </c>
      <c r="DE156" t="e">
        <f>AND('UP133'!AL119,"AAAAAHyz32w=")</f>
        <v>#VALUE!</v>
      </c>
      <c r="DF156" t="e">
        <f>AND('UP133'!AM119,"AAAAAHyz320=")</f>
        <v>#VALUE!</v>
      </c>
      <c r="DG156" t="e">
        <f>AND('UP133'!AN119,"AAAAAHyz324=")</f>
        <v>#VALUE!</v>
      </c>
      <c r="DH156" t="e">
        <f>AND('UP133'!AO119,"AAAAAHyz328=")</f>
        <v>#VALUE!</v>
      </c>
      <c r="DI156" t="e">
        <f>AND('UP133'!AP119,"AAAAAHyz33A=")</f>
        <v>#VALUE!</v>
      </c>
      <c r="DJ156" t="e">
        <f>AND('UP133'!AQ119,"AAAAAHyz33E=")</f>
        <v>#VALUE!</v>
      </c>
      <c r="DK156" t="e">
        <f>AND('UP133'!AR119,"AAAAAHyz33I=")</f>
        <v>#VALUE!</v>
      </c>
      <c r="DL156" t="e">
        <f>AND('UP133'!AS119,"AAAAAHyz33M=")</f>
        <v>#VALUE!</v>
      </c>
      <c r="DM156" t="e">
        <f>AND('UP133'!AT119,"AAAAAHyz33Q=")</f>
        <v>#VALUE!</v>
      </c>
      <c r="DN156" t="e">
        <f>AND('UP133'!AU119,"AAAAAHyz33U=")</f>
        <v>#VALUE!</v>
      </c>
      <c r="DO156" t="e">
        <f>AND('UP133'!AV119,"AAAAAHyz33Y=")</f>
        <v>#VALUE!</v>
      </c>
      <c r="DP156" t="e">
        <f>AND('UP133'!AW119,"AAAAAHyz33c=")</f>
        <v>#VALUE!</v>
      </c>
      <c r="DQ156" t="e">
        <f>AND('UP133'!AX119,"AAAAAHyz33g=")</f>
        <v>#VALUE!</v>
      </c>
      <c r="DR156" t="e">
        <f>AND('UP133'!AY119,"AAAAAHyz33k=")</f>
        <v>#VALUE!</v>
      </c>
      <c r="DS156" t="e">
        <f>AND('UP133'!AZ119,"AAAAAHyz33o=")</f>
        <v>#VALUE!</v>
      </c>
      <c r="DT156" t="e">
        <f>AND('UP133'!BA119,"AAAAAHyz33s=")</f>
        <v>#VALUE!</v>
      </c>
      <c r="DU156" t="e">
        <f>AND('UP133'!BB119,"AAAAAHyz33w=")</f>
        <v>#VALUE!</v>
      </c>
      <c r="DV156" t="e">
        <f>AND('UP133'!BC119,"AAAAAHyz330=")</f>
        <v>#VALUE!</v>
      </c>
      <c r="DW156" t="e">
        <f>AND('UP133'!BD119,"AAAAAHyz334=")</f>
        <v>#VALUE!</v>
      </c>
      <c r="DX156" t="e">
        <f>AND('UP133'!BE119,"AAAAAHyz338=")</f>
        <v>#VALUE!</v>
      </c>
      <c r="DY156" t="e">
        <f>AND('UP133'!BF119,"AAAAAHyz34A=")</f>
        <v>#VALUE!</v>
      </c>
      <c r="DZ156" t="e">
        <f>AND('UP133'!BG119,"AAAAAHyz34E=")</f>
        <v>#VALUE!</v>
      </c>
      <c r="EA156" t="e">
        <f>AND('UP133'!BH119,"AAAAAHyz34I=")</f>
        <v>#VALUE!</v>
      </c>
      <c r="EB156" t="e">
        <f>AND('UP133'!BI119,"AAAAAHyz34M=")</f>
        <v>#VALUE!</v>
      </c>
      <c r="EC156" t="e">
        <f>AND('UP133'!BJ119,"AAAAAHyz34Q=")</f>
        <v>#VALUE!</v>
      </c>
      <c r="ED156" t="e">
        <f>AND('UP133'!BK119,"AAAAAHyz34U=")</f>
        <v>#VALUE!</v>
      </c>
      <c r="EE156" t="e">
        <f>AND('UP133'!BL119,"AAAAAHyz34Y=")</f>
        <v>#VALUE!</v>
      </c>
      <c r="EF156" t="e">
        <f>AND('UP133'!BM119,"AAAAAHyz34c=")</f>
        <v>#VALUE!</v>
      </c>
      <c r="EG156" t="e">
        <f>AND('UP133'!BN119,"AAAAAHyz34g=")</f>
        <v>#VALUE!</v>
      </c>
      <c r="EH156" t="e">
        <f>AND('UP133'!BO119,"AAAAAHyz34k=")</f>
        <v>#VALUE!</v>
      </c>
      <c r="EI156" t="e">
        <f>AND('UP133'!BP119,"AAAAAHyz34o=")</f>
        <v>#VALUE!</v>
      </c>
      <c r="EJ156" t="e">
        <f>AND('UP133'!BQ119,"AAAAAHyz34s=")</f>
        <v>#VALUE!</v>
      </c>
      <c r="EK156" t="e">
        <f>AND('UP133'!BR119,"AAAAAHyz34w=")</f>
        <v>#VALUE!</v>
      </c>
      <c r="EL156" t="e">
        <f>AND('UP133'!BS119,"AAAAAHyz340=")</f>
        <v>#VALUE!</v>
      </c>
      <c r="EM156" t="e">
        <f>AND('UP133'!BT119,"AAAAAHyz344=")</f>
        <v>#VALUE!</v>
      </c>
      <c r="EN156" t="e">
        <f>AND('UP133'!BU119,"AAAAAHyz348=")</f>
        <v>#VALUE!</v>
      </c>
      <c r="EO156" t="e">
        <f>AND('UP133'!BV119,"AAAAAHyz35A=")</f>
        <v>#VALUE!</v>
      </c>
      <c r="EP156" t="e">
        <f>AND('UP133'!BW119,"AAAAAHyz35E=")</f>
        <v>#VALUE!</v>
      </c>
      <c r="EQ156" t="e">
        <f>AND('UP133'!BX119,"AAAAAHyz35I=")</f>
        <v>#VALUE!</v>
      </c>
      <c r="ER156" t="e">
        <f>AND('UP133'!BY119,"AAAAAHyz35M=")</f>
        <v>#VALUE!</v>
      </c>
      <c r="ES156" t="e">
        <f>AND('UP133'!BZ119,"AAAAAHyz35Q=")</f>
        <v>#VALUE!</v>
      </c>
      <c r="ET156" t="e">
        <f>AND('UP133'!CA119,"AAAAAHyz35U=")</f>
        <v>#VALUE!</v>
      </c>
      <c r="EU156" t="e">
        <f>AND('UP133'!CB119,"AAAAAHyz35Y=")</f>
        <v>#VALUE!</v>
      </c>
      <c r="EV156" t="e">
        <f>AND('UP133'!CC119,"AAAAAHyz35c=")</f>
        <v>#VALUE!</v>
      </c>
      <c r="EW156" t="e">
        <f>AND('UP133'!CD119,"AAAAAHyz35g=")</f>
        <v>#VALUE!</v>
      </c>
      <c r="EX156" t="e">
        <f>AND('UP133'!CE119,"AAAAAHyz35k=")</f>
        <v>#VALUE!</v>
      </c>
      <c r="EY156" t="e">
        <f>AND('UP133'!CF119,"AAAAAHyz35o=")</f>
        <v>#VALUE!</v>
      </c>
      <c r="EZ156" t="e">
        <f>AND('UP133'!CG119,"AAAAAHyz35s=")</f>
        <v>#VALUE!</v>
      </c>
      <c r="FA156" t="e">
        <f>AND('UP133'!CH119,"AAAAAHyz35w=")</f>
        <v>#VALUE!</v>
      </c>
      <c r="FB156" t="e">
        <f>AND('UP133'!CI119,"AAAAAHyz350=")</f>
        <v>#VALUE!</v>
      </c>
      <c r="FC156" t="e">
        <f>AND('UP133'!CJ119,"AAAAAHyz354=")</f>
        <v>#VALUE!</v>
      </c>
      <c r="FD156" t="e">
        <f>AND('UP133'!CK119,"AAAAAHyz358=")</f>
        <v>#VALUE!</v>
      </c>
      <c r="FE156" t="e">
        <f>AND('UP133'!CL119,"AAAAAHyz36A=")</f>
        <v>#VALUE!</v>
      </c>
      <c r="FF156" t="e">
        <f>AND('UP133'!CM119,"AAAAAHyz36E=")</f>
        <v>#VALUE!</v>
      </c>
      <c r="FG156" t="e">
        <f>AND('UP133'!CN119,"AAAAAHyz36I=")</f>
        <v>#VALUE!</v>
      </c>
      <c r="FH156" t="e">
        <f>AND('UP133'!CO119,"AAAAAHyz36M=")</f>
        <v>#VALUE!</v>
      </c>
      <c r="FI156" t="e">
        <f>AND('UP133'!CP119,"AAAAAHyz36Q=")</f>
        <v>#VALUE!</v>
      </c>
      <c r="FJ156" t="e">
        <f>AND('UP133'!CQ119,"AAAAAHyz36U=")</f>
        <v>#VALUE!</v>
      </c>
      <c r="FK156" t="e">
        <f>AND('UP133'!CR119,"AAAAAHyz36Y=")</f>
        <v>#VALUE!</v>
      </c>
      <c r="FL156" t="e">
        <f>AND('UP133'!CS119,"AAAAAHyz36c=")</f>
        <v>#VALUE!</v>
      </c>
      <c r="FM156" t="e">
        <f>AND('UP133'!CT119,"AAAAAHyz36g=")</f>
        <v>#VALUE!</v>
      </c>
      <c r="FN156" t="e">
        <f>AND('UP133'!CU119,"AAAAAHyz36k=")</f>
        <v>#VALUE!</v>
      </c>
      <c r="FO156" t="e">
        <f>AND('UP133'!CV119,"AAAAAHyz36o=")</f>
        <v>#VALUE!</v>
      </c>
      <c r="FP156" t="e">
        <f>AND('UP133'!CW119,"AAAAAHyz36s=")</f>
        <v>#VALUE!</v>
      </c>
      <c r="FQ156" t="e">
        <f>AND('UP133'!CX119,"AAAAAHyz36w=")</f>
        <v>#VALUE!</v>
      </c>
      <c r="FR156" t="e">
        <f>AND('UP133'!CY119,"AAAAAHyz360=")</f>
        <v>#VALUE!</v>
      </c>
      <c r="FS156" t="e">
        <f>AND('UP133'!CZ119,"AAAAAHyz364=")</f>
        <v>#VALUE!</v>
      </c>
      <c r="FT156" t="e">
        <f>AND('UP133'!DA119,"AAAAAHyz368=")</f>
        <v>#VALUE!</v>
      </c>
      <c r="FU156" t="e">
        <f>AND('UP133'!DB119,"AAAAAHyz37A=")</f>
        <v>#VALUE!</v>
      </c>
      <c r="FV156" t="e">
        <f>AND('UP133'!DC119,"AAAAAHyz37E=")</f>
        <v>#VALUE!</v>
      </c>
      <c r="FW156" t="e">
        <f>AND('UP133'!DD119,"AAAAAHyz37I=")</f>
        <v>#VALUE!</v>
      </c>
      <c r="FX156" t="e">
        <f>AND('UP133'!DE119,"AAAAAHyz37M=")</f>
        <v>#VALUE!</v>
      </c>
      <c r="FY156" t="e">
        <f>AND('UP133'!DF119,"AAAAAHyz37Q=")</f>
        <v>#VALUE!</v>
      </c>
      <c r="FZ156" t="e">
        <f>AND('UP133'!DG119,"AAAAAHyz37U=")</f>
        <v>#VALUE!</v>
      </c>
      <c r="GA156" t="e">
        <f>AND('UP133'!DH119,"AAAAAHyz37Y=")</f>
        <v>#VALUE!</v>
      </c>
      <c r="GB156" t="e">
        <f>AND('UP133'!DI119,"AAAAAHyz37c=")</f>
        <v>#VALUE!</v>
      </c>
      <c r="GC156" t="e">
        <f>AND('UP133'!DJ119,"AAAAAHyz37g=")</f>
        <v>#VALUE!</v>
      </c>
      <c r="GD156" t="e">
        <f>AND('UP133'!DK119,"AAAAAHyz37k=")</f>
        <v>#VALUE!</v>
      </c>
      <c r="GE156" t="e">
        <f>AND('UP133'!DL119,"AAAAAHyz37o=")</f>
        <v>#VALUE!</v>
      </c>
      <c r="GF156" t="e">
        <f>AND('UP133'!DM119,"AAAAAHyz37s=")</f>
        <v>#VALUE!</v>
      </c>
      <c r="GG156" t="e">
        <f>AND('UP133'!DN119,"AAAAAHyz37w=")</f>
        <v>#VALUE!</v>
      </c>
      <c r="GH156" t="e">
        <f>AND('UP133'!DO119,"AAAAAHyz370=")</f>
        <v>#VALUE!</v>
      </c>
      <c r="GI156" t="e">
        <f>AND('UP133'!DP119,"AAAAAHyz374=")</f>
        <v>#VALUE!</v>
      </c>
      <c r="GJ156" t="e">
        <f>AND('UP133'!DQ119,"AAAAAHyz378=")</f>
        <v>#VALUE!</v>
      </c>
      <c r="GK156" t="e">
        <f>AND('UP133'!DR119,"AAAAAHyz38A=")</f>
        <v>#VALUE!</v>
      </c>
      <c r="GL156" t="e">
        <f>AND('UP133'!DS119,"AAAAAHyz38E=")</f>
        <v>#VALUE!</v>
      </c>
      <c r="GM156" t="e">
        <f>AND('UP133'!DT119,"AAAAAHyz38I=")</f>
        <v>#VALUE!</v>
      </c>
      <c r="GN156" t="e">
        <f>AND('UP133'!DU119,"AAAAAHyz38M=")</f>
        <v>#VALUE!</v>
      </c>
      <c r="GO156" t="e">
        <f>AND('UP133'!DV119,"AAAAAHyz38Q=")</f>
        <v>#VALUE!</v>
      </c>
      <c r="GP156" t="e">
        <f>AND('UP133'!DW119,"AAAAAHyz38U=")</f>
        <v>#VALUE!</v>
      </c>
      <c r="GQ156" t="e">
        <f>AND('UP133'!DX119,"AAAAAHyz38Y=")</f>
        <v>#VALUE!</v>
      </c>
      <c r="GR156" t="e">
        <f>AND('UP133'!DY119,"AAAAAHyz38c=")</f>
        <v>#VALUE!</v>
      </c>
      <c r="GS156" t="e">
        <f>AND('UP133'!DZ119,"AAAAAHyz38g=")</f>
        <v>#VALUE!</v>
      </c>
      <c r="GT156" t="e">
        <f>AND('UP133'!EA119,"AAAAAHyz38k=")</f>
        <v>#VALUE!</v>
      </c>
      <c r="GU156" t="e">
        <f>AND('UP133'!EB119,"AAAAAHyz38o=")</f>
        <v>#VALUE!</v>
      </c>
      <c r="GV156" t="e">
        <f>AND('UP133'!EC119,"AAAAAHyz38s=")</f>
        <v>#VALUE!</v>
      </c>
      <c r="GW156" t="e">
        <f>AND('UP133'!ED119,"AAAAAHyz38w=")</f>
        <v>#VALUE!</v>
      </c>
      <c r="GX156" t="e">
        <f>AND('UP133'!EE119,"AAAAAHyz380=")</f>
        <v>#VALUE!</v>
      </c>
      <c r="GY156" t="e">
        <f>AND('UP133'!EF119,"AAAAAHyz384=")</f>
        <v>#VALUE!</v>
      </c>
      <c r="GZ156" t="e">
        <f>AND('UP133'!EG119,"AAAAAHyz388=")</f>
        <v>#VALUE!</v>
      </c>
      <c r="HA156" t="e">
        <f>AND('UP133'!EH119,"AAAAAHyz39A=")</f>
        <v>#VALUE!</v>
      </c>
      <c r="HB156" t="e">
        <f>AND('UP133'!EI119,"AAAAAHyz39E=")</f>
        <v>#VALUE!</v>
      </c>
      <c r="HC156" t="e">
        <f>AND('UP133'!EJ119,"AAAAAHyz39I=")</f>
        <v>#VALUE!</v>
      </c>
      <c r="HD156" t="e">
        <f>AND('UP133'!EK119,"AAAAAHyz39M=")</f>
        <v>#VALUE!</v>
      </c>
      <c r="HE156" t="e">
        <f>AND('UP133'!EL119,"AAAAAHyz39Q=")</f>
        <v>#VALUE!</v>
      </c>
      <c r="HF156" t="e">
        <f>AND('UP133'!EM119,"AAAAAHyz39U=")</f>
        <v>#VALUE!</v>
      </c>
      <c r="HG156" t="e">
        <f>AND('UP133'!EN119,"AAAAAHyz39Y=")</f>
        <v>#VALUE!</v>
      </c>
      <c r="HH156" t="e">
        <f>AND('UP133'!EO119,"AAAAAHyz39c=")</f>
        <v>#VALUE!</v>
      </c>
      <c r="HI156" t="e">
        <f>AND('UP133'!EP119,"AAAAAHyz39g=")</f>
        <v>#VALUE!</v>
      </c>
      <c r="HJ156" t="e">
        <f>AND('UP133'!EQ119,"AAAAAHyz39k=")</f>
        <v>#VALUE!</v>
      </c>
      <c r="HK156" t="e">
        <f>AND('UP133'!ER119,"AAAAAHyz39o=")</f>
        <v>#VALUE!</v>
      </c>
      <c r="HL156" t="e">
        <f>AND('UP133'!ES119,"AAAAAHyz39s=")</f>
        <v>#VALUE!</v>
      </c>
      <c r="HM156" t="e">
        <f>AND('UP133'!ET119,"AAAAAHyz39w=")</f>
        <v>#VALUE!</v>
      </c>
      <c r="HN156" t="e">
        <f>AND('UP133'!EU119,"AAAAAHyz390=")</f>
        <v>#VALUE!</v>
      </c>
      <c r="HO156" t="e">
        <f>AND('UP133'!EV119,"AAAAAHyz394=")</f>
        <v>#VALUE!</v>
      </c>
      <c r="HP156" t="e">
        <f>AND('UP133'!EW119,"AAAAAHyz398=")</f>
        <v>#VALUE!</v>
      </c>
      <c r="HQ156" t="e">
        <f>AND('UP133'!EX119,"AAAAAHyz3+A=")</f>
        <v>#VALUE!</v>
      </c>
      <c r="HR156" t="e">
        <f>AND('UP133'!EY119,"AAAAAHyz3+E=")</f>
        <v>#VALUE!</v>
      </c>
      <c r="HS156" t="e">
        <f>AND('UP133'!EZ119,"AAAAAHyz3+I=")</f>
        <v>#VALUE!</v>
      </c>
      <c r="HT156" t="e">
        <f>AND('UP133'!FA119,"AAAAAHyz3+M=")</f>
        <v>#VALUE!</v>
      </c>
      <c r="HU156" t="e">
        <f>AND('UP133'!FB119,"AAAAAHyz3+Q=")</f>
        <v>#VALUE!</v>
      </c>
      <c r="HV156" t="e">
        <f>AND('UP133'!FC119,"AAAAAHyz3+U=")</f>
        <v>#VALUE!</v>
      </c>
      <c r="HW156" t="e">
        <f>AND('UP133'!FD119,"AAAAAHyz3+Y=")</f>
        <v>#VALUE!</v>
      </c>
      <c r="HX156" t="e">
        <f>AND('UP133'!FE119,"AAAAAHyz3+c=")</f>
        <v>#VALUE!</v>
      </c>
      <c r="HY156" t="e">
        <f>AND('UP133'!FF119,"AAAAAHyz3+g=")</f>
        <v>#VALUE!</v>
      </c>
      <c r="HZ156" t="e">
        <f>AND('UP133'!FG119,"AAAAAHyz3+k=")</f>
        <v>#VALUE!</v>
      </c>
      <c r="IA156" t="e">
        <f>AND('UP133'!FH119,"AAAAAHyz3+o=")</f>
        <v>#VALUE!</v>
      </c>
      <c r="IB156" t="e">
        <f>AND('UP133'!FI119,"AAAAAHyz3+s=")</f>
        <v>#VALUE!</v>
      </c>
      <c r="IC156" t="e">
        <f>AND('UP133'!FJ119,"AAAAAHyz3+w=")</f>
        <v>#VALUE!</v>
      </c>
      <c r="ID156" t="e">
        <f>AND('UP133'!FK119,"AAAAAHyz3+0=")</f>
        <v>#VALUE!</v>
      </c>
      <c r="IE156" t="e">
        <f>AND('UP133'!FL119,"AAAAAHyz3+4=")</f>
        <v>#VALUE!</v>
      </c>
      <c r="IF156" t="e">
        <f>AND('UP133'!FM119,"AAAAAHyz3+8=")</f>
        <v>#VALUE!</v>
      </c>
      <c r="IG156" t="e">
        <f>AND('UP133'!FN119,"AAAAAHyz3/A=")</f>
        <v>#VALUE!</v>
      </c>
      <c r="IH156" t="e">
        <f>AND('UP133'!FO119,"AAAAAHyz3/E=")</f>
        <v>#VALUE!</v>
      </c>
      <c r="II156" t="e">
        <f>AND('UP133'!FP119,"AAAAAHyz3/I=")</f>
        <v>#VALUE!</v>
      </c>
      <c r="IJ156" t="e">
        <f>AND('UP133'!FQ119,"AAAAAHyz3/M=")</f>
        <v>#VALUE!</v>
      </c>
      <c r="IK156" t="e">
        <f>AND('UP133'!FR119,"AAAAAHyz3/Q=")</f>
        <v>#VALUE!</v>
      </c>
      <c r="IL156" t="e">
        <f>AND('UP133'!FS119,"AAAAAHyz3/U=")</f>
        <v>#VALUE!</v>
      </c>
      <c r="IM156" t="e">
        <f>AND('UP133'!FT119,"AAAAAHyz3/Y=")</f>
        <v>#VALUE!</v>
      </c>
      <c r="IN156" t="e">
        <f>AND('UP133'!FU119,"AAAAAHyz3/c=")</f>
        <v>#VALUE!</v>
      </c>
      <c r="IO156" t="e">
        <f>AND('UP133'!FV119,"AAAAAHyz3/g=")</f>
        <v>#VALUE!</v>
      </c>
      <c r="IP156" t="e">
        <f>AND('UP133'!FW119,"AAAAAHyz3/k=")</f>
        <v>#VALUE!</v>
      </c>
      <c r="IQ156" t="e">
        <f>AND('UP133'!FX119,"AAAAAHyz3/o=")</f>
        <v>#VALUE!</v>
      </c>
      <c r="IR156" t="e">
        <f>AND('UP133'!FY119,"AAAAAHyz3/s=")</f>
        <v>#VALUE!</v>
      </c>
      <c r="IS156" t="e">
        <f>AND('UP133'!FZ119,"AAAAAHyz3/w=")</f>
        <v>#VALUE!</v>
      </c>
      <c r="IT156" t="e">
        <f>AND('UP133'!GA119,"AAAAAHyz3/0=")</f>
        <v>#VALUE!</v>
      </c>
      <c r="IU156" t="e">
        <f>AND('UP133'!GB119,"AAAAAHyz3/4=")</f>
        <v>#VALUE!</v>
      </c>
      <c r="IV156" t="e">
        <f>AND('UP133'!GC119,"AAAAAHyz3/8=")</f>
        <v>#VALUE!</v>
      </c>
    </row>
    <row r="157" spans="1:256">
      <c r="A157" t="e">
        <f>AND('UP133'!GD119,"AAAAAHnz/wA=")</f>
        <v>#VALUE!</v>
      </c>
      <c r="B157" t="e">
        <f>AND('UP133'!GE119,"AAAAAHnz/wE=")</f>
        <v>#VALUE!</v>
      </c>
      <c r="C157" t="e">
        <f>AND('UP133'!GF119,"AAAAAHnz/wI=")</f>
        <v>#VALUE!</v>
      </c>
      <c r="D157" t="e">
        <f>AND('UP133'!GG119,"AAAAAHnz/wM=")</f>
        <v>#VALUE!</v>
      </c>
      <c r="E157" t="e">
        <f>AND('UP133'!GH119,"AAAAAHnz/wQ=")</f>
        <v>#VALUE!</v>
      </c>
      <c r="F157" t="e">
        <f>AND('UP133'!GI119,"AAAAAHnz/wU=")</f>
        <v>#VALUE!</v>
      </c>
      <c r="G157" t="e">
        <f>AND('UP133'!GJ119,"AAAAAHnz/wY=")</f>
        <v>#VALUE!</v>
      </c>
      <c r="H157" t="e">
        <f>AND('UP133'!GK119,"AAAAAHnz/wc=")</f>
        <v>#VALUE!</v>
      </c>
      <c r="I157" t="e">
        <f>AND('UP133'!GL119,"AAAAAHnz/wg=")</f>
        <v>#VALUE!</v>
      </c>
      <c r="J157" t="e">
        <f>AND('UP133'!GM119,"AAAAAHnz/wk=")</f>
        <v>#VALUE!</v>
      </c>
      <c r="K157" t="e">
        <f>AND('UP133'!GN119,"AAAAAHnz/wo=")</f>
        <v>#VALUE!</v>
      </c>
      <c r="L157" t="e">
        <f>AND('UP133'!GO119,"AAAAAHnz/ws=")</f>
        <v>#VALUE!</v>
      </c>
      <c r="M157" t="e">
        <f>AND('UP133'!GP119,"AAAAAHnz/ww=")</f>
        <v>#VALUE!</v>
      </c>
      <c r="N157" t="e">
        <f>AND('UP133'!GQ119,"AAAAAHnz/w0=")</f>
        <v>#VALUE!</v>
      </c>
      <c r="O157" t="e">
        <f>AND('UP133'!GR119,"AAAAAHnz/w4=")</f>
        <v>#VALUE!</v>
      </c>
      <c r="P157" t="e">
        <f>AND('UP133'!GS119,"AAAAAHnz/w8=")</f>
        <v>#VALUE!</v>
      </c>
      <c r="Q157" t="e">
        <f>AND('UP133'!GT119,"AAAAAHnz/xA=")</f>
        <v>#VALUE!</v>
      </c>
      <c r="R157" t="e">
        <f>AND('UP133'!GU119,"AAAAAHnz/xE=")</f>
        <v>#VALUE!</v>
      </c>
      <c r="S157" t="e">
        <f>AND('UP133'!GV119,"AAAAAHnz/xI=")</f>
        <v>#VALUE!</v>
      </c>
      <c r="T157" t="e">
        <f>AND('UP133'!GW119,"AAAAAHnz/xM=")</f>
        <v>#VALUE!</v>
      </c>
      <c r="U157" t="e">
        <f>AND('UP133'!GX119,"AAAAAHnz/xQ=")</f>
        <v>#VALUE!</v>
      </c>
      <c r="V157" t="e">
        <f>AND('UP133'!GY119,"AAAAAHnz/xU=")</f>
        <v>#VALUE!</v>
      </c>
      <c r="W157" t="e">
        <f>AND('UP133'!GZ119,"AAAAAHnz/xY=")</f>
        <v>#VALUE!</v>
      </c>
      <c r="X157" t="e">
        <f>AND('UP133'!HA119,"AAAAAHnz/xc=")</f>
        <v>#VALUE!</v>
      </c>
      <c r="Y157" t="e">
        <f>AND('UP133'!HB119,"AAAAAHnz/xg=")</f>
        <v>#VALUE!</v>
      </c>
      <c r="Z157" t="e">
        <f>AND('UP133'!HC119,"AAAAAHnz/xk=")</f>
        <v>#VALUE!</v>
      </c>
      <c r="AA157" t="e">
        <f>AND('UP133'!HD119,"AAAAAHnz/xo=")</f>
        <v>#VALUE!</v>
      </c>
      <c r="AB157" t="e">
        <f>AND('UP133'!HE119,"AAAAAHnz/xs=")</f>
        <v>#VALUE!</v>
      </c>
      <c r="AC157" t="e">
        <f>AND('UP133'!HF119,"AAAAAHnz/xw=")</f>
        <v>#VALUE!</v>
      </c>
      <c r="AD157" t="e">
        <f>AND('UP133'!HG119,"AAAAAHnz/x0=")</f>
        <v>#VALUE!</v>
      </c>
      <c r="AE157" t="e">
        <f>AND('UP133'!HH119,"AAAAAHnz/x4=")</f>
        <v>#VALUE!</v>
      </c>
      <c r="AF157" t="e">
        <f>AND('UP133'!HI119,"AAAAAHnz/x8=")</f>
        <v>#VALUE!</v>
      </c>
      <c r="AG157" t="e">
        <f>AND('UP133'!HJ119,"AAAAAHnz/yA=")</f>
        <v>#VALUE!</v>
      </c>
      <c r="AH157" t="e">
        <f>AND('UP133'!HK119,"AAAAAHnz/yE=")</f>
        <v>#VALUE!</v>
      </c>
      <c r="AI157" t="e">
        <f>AND('UP133'!HL119,"AAAAAHnz/yI=")</f>
        <v>#VALUE!</v>
      </c>
      <c r="AJ157" t="e">
        <f>AND('UP133'!HM119,"AAAAAHnz/yM=")</f>
        <v>#VALUE!</v>
      </c>
      <c r="AK157" t="e">
        <f>AND('UP133'!HN119,"AAAAAHnz/yQ=")</f>
        <v>#VALUE!</v>
      </c>
      <c r="AL157" t="e">
        <f>AND('UP133'!HO119,"AAAAAHnz/yU=")</f>
        <v>#VALUE!</v>
      </c>
      <c r="AM157" t="e">
        <f>AND('UP133'!HP119,"AAAAAHnz/yY=")</f>
        <v>#VALUE!</v>
      </c>
      <c r="AN157" t="e">
        <f>AND('UP133'!HQ119,"AAAAAHnz/yc=")</f>
        <v>#VALUE!</v>
      </c>
      <c r="AO157" t="e">
        <f>AND('UP133'!HR119,"AAAAAHnz/yg=")</f>
        <v>#VALUE!</v>
      </c>
      <c r="AP157" t="e">
        <f>AND('UP133'!HS119,"AAAAAHnz/yk=")</f>
        <v>#VALUE!</v>
      </c>
      <c r="AQ157" t="e">
        <f>AND('UP133'!HT119,"AAAAAHnz/yo=")</f>
        <v>#VALUE!</v>
      </c>
      <c r="AR157" t="e">
        <f>AND('UP133'!HU119,"AAAAAHnz/ys=")</f>
        <v>#VALUE!</v>
      </c>
      <c r="AS157" t="e">
        <f>AND('UP133'!HV119,"AAAAAHnz/yw=")</f>
        <v>#VALUE!</v>
      </c>
      <c r="AT157" t="e">
        <f>AND('UP133'!HW119,"AAAAAHnz/y0=")</f>
        <v>#VALUE!</v>
      </c>
      <c r="AU157" t="e">
        <f>AND('UP133'!HX119,"AAAAAHnz/y4=")</f>
        <v>#VALUE!</v>
      </c>
      <c r="AV157" t="e">
        <f>AND('UP133'!HY119,"AAAAAHnz/y8=")</f>
        <v>#VALUE!</v>
      </c>
      <c r="AW157" t="e">
        <f>AND('UP133'!HZ119,"AAAAAHnz/zA=")</f>
        <v>#VALUE!</v>
      </c>
      <c r="AX157" t="e">
        <f>AND('UP133'!IA119,"AAAAAHnz/zE=")</f>
        <v>#VALUE!</v>
      </c>
      <c r="AY157" t="e">
        <f>AND('UP133'!IB119,"AAAAAHnz/zI=")</f>
        <v>#VALUE!</v>
      </c>
      <c r="AZ157" t="e">
        <f>AND('UP133'!IC119,"AAAAAHnz/zM=")</f>
        <v>#VALUE!</v>
      </c>
      <c r="BA157" t="e">
        <f>AND('UP133'!ID119,"AAAAAHnz/zQ=")</f>
        <v>#VALUE!</v>
      </c>
      <c r="BB157" t="e">
        <f>AND('UP133'!IE119,"AAAAAHnz/zU=")</f>
        <v>#VALUE!</v>
      </c>
      <c r="BC157" t="e">
        <f>AND('UP133'!IF119,"AAAAAHnz/zY=")</f>
        <v>#VALUE!</v>
      </c>
      <c r="BD157" t="e">
        <f>AND('UP133'!IG119,"AAAAAHnz/zc=")</f>
        <v>#VALUE!</v>
      </c>
      <c r="BE157" t="e">
        <f>AND('UP133'!IH119,"AAAAAHnz/zg=")</f>
        <v>#VALUE!</v>
      </c>
      <c r="BF157" t="e">
        <f>AND('UP133'!II119,"AAAAAHnz/zk=")</f>
        <v>#VALUE!</v>
      </c>
      <c r="BG157" t="e">
        <f>AND('UP133'!IJ119,"AAAAAHnz/zo=")</f>
        <v>#VALUE!</v>
      </c>
      <c r="BH157" t="e">
        <f>AND('UP133'!IK119,"AAAAAHnz/zs=")</f>
        <v>#VALUE!</v>
      </c>
      <c r="BI157" t="e">
        <f>AND('UP133'!IL119,"AAAAAHnz/zw=")</f>
        <v>#VALUE!</v>
      </c>
      <c r="BJ157" t="e">
        <f>AND('UP133'!IM119,"AAAAAHnz/z0=")</f>
        <v>#VALUE!</v>
      </c>
      <c r="BK157" t="e">
        <f>AND('UP133'!IN119,"AAAAAHnz/z4=")</f>
        <v>#VALUE!</v>
      </c>
      <c r="BL157" t="e">
        <f>AND('UP133'!IO119,"AAAAAHnz/z8=")</f>
        <v>#VALUE!</v>
      </c>
      <c r="BM157" t="e">
        <f>AND('UP133'!IP119,"AAAAAHnz/0A=")</f>
        <v>#VALUE!</v>
      </c>
      <c r="BN157" t="e">
        <f>AND('UP133'!IQ119,"AAAAAHnz/0E=")</f>
        <v>#VALUE!</v>
      </c>
      <c r="BO157">
        <f>IF('UP133'!120:120,"AAAAAHnz/0I=",0)</f>
        <v>0</v>
      </c>
      <c r="BP157" t="e">
        <f>AND('UP133'!A120,"AAAAAHnz/0M=")</f>
        <v>#VALUE!</v>
      </c>
      <c r="BQ157" t="e">
        <f>AND('UP133'!B120,"AAAAAHnz/0Q=")</f>
        <v>#VALUE!</v>
      </c>
      <c r="BR157" t="e">
        <f>AND('UP133'!C120,"AAAAAHnz/0U=")</f>
        <v>#VALUE!</v>
      </c>
      <c r="BS157" t="e">
        <f>AND('UP133'!D120,"AAAAAHnz/0Y=")</f>
        <v>#VALUE!</v>
      </c>
      <c r="BT157" t="e">
        <f>AND('UP133'!E120,"AAAAAHnz/0c=")</f>
        <v>#VALUE!</v>
      </c>
      <c r="BU157" t="e">
        <f>AND('UP133'!F120,"AAAAAHnz/0g=")</f>
        <v>#VALUE!</v>
      </c>
      <c r="BV157" t="e">
        <f>AND('UP133'!G120,"AAAAAHnz/0k=")</f>
        <v>#VALUE!</v>
      </c>
      <c r="BW157" t="e">
        <f>AND('UP133'!H120,"AAAAAHnz/0o=")</f>
        <v>#VALUE!</v>
      </c>
      <c r="BX157" t="e">
        <f>AND('UP133'!I120,"AAAAAHnz/0s=")</f>
        <v>#VALUE!</v>
      </c>
      <c r="BY157" t="e">
        <f>AND('UP133'!J120,"AAAAAHnz/0w=")</f>
        <v>#VALUE!</v>
      </c>
      <c r="BZ157" t="e">
        <f>AND('UP133'!K120,"AAAAAHnz/00=")</f>
        <v>#VALUE!</v>
      </c>
      <c r="CA157" t="e">
        <f>AND('UP133'!L120,"AAAAAHnz/04=")</f>
        <v>#VALUE!</v>
      </c>
      <c r="CB157" t="e">
        <f>AND('UP133'!M120,"AAAAAHnz/08=")</f>
        <v>#VALUE!</v>
      </c>
      <c r="CC157" t="e">
        <f>AND('UP133'!N120,"AAAAAHnz/1A=")</f>
        <v>#VALUE!</v>
      </c>
      <c r="CD157" t="e">
        <f>AND('UP133'!O120,"AAAAAHnz/1E=")</f>
        <v>#VALUE!</v>
      </c>
      <c r="CE157" t="e">
        <f>AND('UP133'!P120,"AAAAAHnz/1I=")</f>
        <v>#VALUE!</v>
      </c>
      <c r="CF157" t="e">
        <f>AND('UP133'!Q120,"AAAAAHnz/1M=")</f>
        <v>#VALUE!</v>
      </c>
      <c r="CG157" t="e">
        <f>AND('UP133'!R120,"AAAAAHnz/1Q=")</f>
        <v>#VALUE!</v>
      </c>
      <c r="CH157" t="e">
        <f>AND('UP133'!S120,"AAAAAHnz/1U=")</f>
        <v>#VALUE!</v>
      </c>
      <c r="CI157" t="e">
        <f>AND('UP133'!T120,"AAAAAHnz/1Y=")</f>
        <v>#VALUE!</v>
      </c>
      <c r="CJ157" t="e">
        <f>AND('UP133'!U120,"AAAAAHnz/1c=")</f>
        <v>#VALUE!</v>
      </c>
      <c r="CK157" t="e">
        <f>AND('UP133'!V120,"AAAAAHnz/1g=")</f>
        <v>#VALUE!</v>
      </c>
      <c r="CL157" t="e">
        <f>AND('UP133'!W120,"AAAAAHnz/1k=")</f>
        <v>#VALUE!</v>
      </c>
      <c r="CM157" t="e">
        <f>AND('UP133'!X120,"AAAAAHnz/1o=")</f>
        <v>#VALUE!</v>
      </c>
      <c r="CN157" t="e">
        <f>AND('UP133'!Y120,"AAAAAHnz/1s=")</f>
        <v>#VALUE!</v>
      </c>
      <c r="CO157" t="e">
        <f>AND('UP133'!Z120,"AAAAAHnz/1w=")</f>
        <v>#VALUE!</v>
      </c>
      <c r="CP157" t="e">
        <f>AND('UP133'!AA120,"AAAAAHnz/10=")</f>
        <v>#VALUE!</v>
      </c>
      <c r="CQ157" t="e">
        <f>AND('UP133'!AB120,"AAAAAHnz/14=")</f>
        <v>#VALUE!</v>
      </c>
      <c r="CR157" t="e">
        <f>AND('UP133'!AC120,"AAAAAHnz/18=")</f>
        <v>#VALUE!</v>
      </c>
      <c r="CS157" t="e">
        <f>AND('UP133'!AD120,"AAAAAHnz/2A=")</f>
        <v>#VALUE!</v>
      </c>
      <c r="CT157" t="e">
        <f>AND('UP133'!AE120,"AAAAAHnz/2E=")</f>
        <v>#VALUE!</v>
      </c>
      <c r="CU157" t="e">
        <f>AND('UP133'!AF120,"AAAAAHnz/2I=")</f>
        <v>#VALUE!</v>
      </c>
      <c r="CV157" t="e">
        <f>AND('UP133'!AG120,"AAAAAHnz/2M=")</f>
        <v>#VALUE!</v>
      </c>
      <c r="CW157" t="e">
        <f>AND('UP133'!AH120,"AAAAAHnz/2Q=")</f>
        <v>#VALUE!</v>
      </c>
      <c r="CX157" t="e">
        <f>AND('UP133'!AI120,"AAAAAHnz/2U=")</f>
        <v>#VALUE!</v>
      </c>
      <c r="CY157" t="e">
        <f>AND('UP133'!AJ120,"AAAAAHnz/2Y=")</f>
        <v>#VALUE!</v>
      </c>
      <c r="CZ157" t="e">
        <f>AND('UP133'!AK120,"AAAAAHnz/2c=")</f>
        <v>#VALUE!</v>
      </c>
      <c r="DA157" t="e">
        <f>AND('UP133'!AL120,"AAAAAHnz/2g=")</f>
        <v>#VALUE!</v>
      </c>
      <c r="DB157" t="e">
        <f>AND('UP133'!AM120,"AAAAAHnz/2k=")</f>
        <v>#VALUE!</v>
      </c>
      <c r="DC157" t="e">
        <f>AND('UP133'!AN120,"AAAAAHnz/2o=")</f>
        <v>#VALUE!</v>
      </c>
      <c r="DD157" t="e">
        <f>AND('UP133'!AO120,"AAAAAHnz/2s=")</f>
        <v>#VALUE!</v>
      </c>
      <c r="DE157" t="e">
        <f>AND('UP133'!AP120,"AAAAAHnz/2w=")</f>
        <v>#VALUE!</v>
      </c>
      <c r="DF157" t="e">
        <f>AND('UP133'!AQ120,"AAAAAHnz/20=")</f>
        <v>#VALUE!</v>
      </c>
      <c r="DG157" t="e">
        <f>AND('UP133'!AR120,"AAAAAHnz/24=")</f>
        <v>#VALUE!</v>
      </c>
      <c r="DH157" t="e">
        <f>AND('UP133'!AS120,"AAAAAHnz/28=")</f>
        <v>#VALUE!</v>
      </c>
      <c r="DI157" t="e">
        <f>AND('UP133'!AT120,"AAAAAHnz/3A=")</f>
        <v>#VALUE!</v>
      </c>
      <c r="DJ157" t="e">
        <f>AND('UP133'!AU120,"AAAAAHnz/3E=")</f>
        <v>#VALUE!</v>
      </c>
      <c r="DK157" t="e">
        <f>AND('UP133'!AV120,"AAAAAHnz/3I=")</f>
        <v>#VALUE!</v>
      </c>
      <c r="DL157" t="e">
        <f>AND('UP133'!AW120,"AAAAAHnz/3M=")</f>
        <v>#VALUE!</v>
      </c>
      <c r="DM157" t="e">
        <f>AND('UP133'!AX120,"AAAAAHnz/3Q=")</f>
        <v>#VALUE!</v>
      </c>
      <c r="DN157" t="e">
        <f>AND('UP133'!AY120,"AAAAAHnz/3U=")</f>
        <v>#VALUE!</v>
      </c>
      <c r="DO157" t="e">
        <f>AND('UP133'!AZ120,"AAAAAHnz/3Y=")</f>
        <v>#VALUE!</v>
      </c>
      <c r="DP157" t="e">
        <f>AND('UP133'!BA120,"AAAAAHnz/3c=")</f>
        <v>#VALUE!</v>
      </c>
      <c r="DQ157" t="e">
        <f>AND('UP133'!BB120,"AAAAAHnz/3g=")</f>
        <v>#VALUE!</v>
      </c>
      <c r="DR157" t="e">
        <f>AND('UP133'!BC120,"AAAAAHnz/3k=")</f>
        <v>#VALUE!</v>
      </c>
      <c r="DS157" t="e">
        <f>AND('UP133'!BD120,"AAAAAHnz/3o=")</f>
        <v>#VALUE!</v>
      </c>
      <c r="DT157" t="e">
        <f>AND('UP133'!BE120,"AAAAAHnz/3s=")</f>
        <v>#VALUE!</v>
      </c>
      <c r="DU157" t="e">
        <f>AND('UP133'!BF120,"AAAAAHnz/3w=")</f>
        <v>#VALUE!</v>
      </c>
      <c r="DV157" t="e">
        <f>AND('UP133'!BG120,"AAAAAHnz/30=")</f>
        <v>#VALUE!</v>
      </c>
      <c r="DW157" t="e">
        <f>AND('UP133'!BH120,"AAAAAHnz/34=")</f>
        <v>#VALUE!</v>
      </c>
      <c r="DX157" t="e">
        <f>AND('UP133'!BI120,"AAAAAHnz/38=")</f>
        <v>#VALUE!</v>
      </c>
      <c r="DY157" t="e">
        <f>AND('UP133'!BJ120,"AAAAAHnz/4A=")</f>
        <v>#VALUE!</v>
      </c>
      <c r="DZ157" t="e">
        <f>AND('UP133'!BK120,"AAAAAHnz/4E=")</f>
        <v>#VALUE!</v>
      </c>
      <c r="EA157" t="e">
        <f>AND('UP133'!BL120,"AAAAAHnz/4I=")</f>
        <v>#VALUE!</v>
      </c>
      <c r="EB157" t="e">
        <f>AND('UP133'!BM120,"AAAAAHnz/4M=")</f>
        <v>#VALUE!</v>
      </c>
      <c r="EC157" t="e">
        <f>AND('UP133'!BN120,"AAAAAHnz/4Q=")</f>
        <v>#VALUE!</v>
      </c>
      <c r="ED157" t="e">
        <f>AND('UP133'!BO120,"AAAAAHnz/4U=")</f>
        <v>#VALUE!</v>
      </c>
      <c r="EE157" t="e">
        <f>AND('UP133'!BP120,"AAAAAHnz/4Y=")</f>
        <v>#VALUE!</v>
      </c>
      <c r="EF157" t="e">
        <f>AND('UP133'!BQ120,"AAAAAHnz/4c=")</f>
        <v>#VALUE!</v>
      </c>
      <c r="EG157" t="e">
        <f>AND('UP133'!BR120,"AAAAAHnz/4g=")</f>
        <v>#VALUE!</v>
      </c>
      <c r="EH157" t="e">
        <f>AND('UP133'!BS120,"AAAAAHnz/4k=")</f>
        <v>#VALUE!</v>
      </c>
      <c r="EI157" t="e">
        <f>AND('UP133'!BT120,"AAAAAHnz/4o=")</f>
        <v>#VALUE!</v>
      </c>
      <c r="EJ157" t="e">
        <f>AND('UP133'!BU120,"AAAAAHnz/4s=")</f>
        <v>#VALUE!</v>
      </c>
      <c r="EK157" t="e">
        <f>AND('UP133'!BV120,"AAAAAHnz/4w=")</f>
        <v>#VALUE!</v>
      </c>
      <c r="EL157" t="e">
        <f>AND('UP133'!BW120,"AAAAAHnz/40=")</f>
        <v>#VALUE!</v>
      </c>
      <c r="EM157" t="e">
        <f>AND('UP133'!BX120,"AAAAAHnz/44=")</f>
        <v>#VALUE!</v>
      </c>
      <c r="EN157" t="e">
        <f>AND('UP133'!BY120,"AAAAAHnz/48=")</f>
        <v>#VALUE!</v>
      </c>
      <c r="EO157" t="e">
        <f>AND('UP133'!BZ120,"AAAAAHnz/5A=")</f>
        <v>#VALUE!</v>
      </c>
      <c r="EP157" t="e">
        <f>AND('UP133'!CA120,"AAAAAHnz/5E=")</f>
        <v>#VALUE!</v>
      </c>
      <c r="EQ157" t="e">
        <f>AND('UP133'!CB120,"AAAAAHnz/5I=")</f>
        <v>#VALUE!</v>
      </c>
      <c r="ER157" t="e">
        <f>AND('UP133'!CC120,"AAAAAHnz/5M=")</f>
        <v>#VALUE!</v>
      </c>
      <c r="ES157" t="e">
        <f>AND('UP133'!CD120,"AAAAAHnz/5Q=")</f>
        <v>#VALUE!</v>
      </c>
      <c r="ET157" t="e">
        <f>AND('UP133'!CE120,"AAAAAHnz/5U=")</f>
        <v>#VALUE!</v>
      </c>
      <c r="EU157" t="e">
        <f>AND('UP133'!CF120,"AAAAAHnz/5Y=")</f>
        <v>#VALUE!</v>
      </c>
      <c r="EV157" t="e">
        <f>AND('UP133'!CG120,"AAAAAHnz/5c=")</f>
        <v>#VALUE!</v>
      </c>
      <c r="EW157" t="e">
        <f>AND('UP133'!CH120,"AAAAAHnz/5g=")</f>
        <v>#VALUE!</v>
      </c>
      <c r="EX157" t="e">
        <f>AND('UP133'!CI120,"AAAAAHnz/5k=")</f>
        <v>#VALUE!</v>
      </c>
      <c r="EY157" t="e">
        <f>AND('UP133'!CJ120,"AAAAAHnz/5o=")</f>
        <v>#VALUE!</v>
      </c>
      <c r="EZ157" t="e">
        <f>AND('UP133'!CK120,"AAAAAHnz/5s=")</f>
        <v>#VALUE!</v>
      </c>
      <c r="FA157" t="e">
        <f>AND('UP133'!CL120,"AAAAAHnz/5w=")</f>
        <v>#VALUE!</v>
      </c>
      <c r="FB157" t="e">
        <f>AND('UP133'!CM120,"AAAAAHnz/50=")</f>
        <v>#VALUE!</v>
      </c>
      <c r="FC157" t="e">
        <f>AND('UP133'!CN120,"AAAAAHnz/54=")</f>
        <v>#VALUE!</v>
      </c>
      <c r="FD157" t="e">
        <f>AND('UP133'!CO120,"AAAAAHnz/58=")</f>
        <v>#VALUE!</v>
      </c>
      <c r="FE157" t="e">
        <f>AND('UP133'!CP120,"AAAAAHnz/6A=")</f>
        <v>#VALUE!</v>
      </c>
      <c r="FF157" t="e">
        <f>AND('UP133'!CQ120,"AAAAAHnz/6E=")</f>
        <v>#VALUE!</v>
      </c>
      <c r="FG157" t="e">
        <f>AND('UP133'!CR120,"AAAAAHnz/6I=")</f>
        <v>#VALUE!</v>
      </c>
      <c r="FH157" t="e">
        <f>AND('UP133'!CS120,"AAAAAHnz/6M=")</f>
        <v>#VALUE!</v>
      </c>
      <c r="FI157" t="e">
        <f>AND('UP133'!CT120,"AAAAAHnz/6Q=")</f>
        <v>#VALUE!</v>
      </c>
      <c r="FJ157" t="e">
        <f>AND('UP133'!CU120,"AAAAAHnz/6U=")</f>
        <v>#VALUE!</v>
      </c>
      <c r="FK157" t="e">
        <f>AND('UP133'!CV120,"AAAAAHnz/6Y=")</f>
        <v>#VALUE!</v>
      </c>
      <c r="FL157" t="e">
        <f>AND('UP133'!CW120,"AAAAAHnz/6c=")</f>
        <v>#VALUE!</v>
      </c>
      <c r="FM157" t="e">
        <f>AND('UP133'!CX120,"AAAAAHnz/6g=")</f>
        <v>#VALUE!</v>
      </c>
      <c r="FN157" t="e">
        <f>AND('UP133'!CY120,"AAAAAHnz/6k=")</f>
        <v>#VALUE!</v>
      </c>
      <c r="FO157" t="e">
        <f>AND('UP133'!CZ120,"AAAAAHnz/6o=")</f>
        <v>#VALUE!</v>
      </c>
      <c r="FP157" t="e">
        <f>AND('UP133'!DA120,"AAAAAHnz/6s=")</f>
        <v>#VALUE!</v>
      </c>
      <c r="FQ157" t="e">
        <f>AND('UP133'!DB120,"AAAAAHnz/6w=")</f>
        <v>#VALUE!</v>
      </c>
      <c r="FR157" t="e">
        <f>AND('UP133'!DC120,"AAAAAHnz/60=")</f>
        <v>#VALUE!</v>
      </c>
      <c r="FS157" t="e">
        <f>AND('UP133'!DD120,"AAAAAHnz/64=")</f>
        <v>#VALUE!</v>
      </c>
      <c r="FT157" t="e">
        <f>AND('UP133'!DE120,"AAAAAHnz/68=")</f>
        <v>#VALUE!</v>
      </c>
      <c r="FU157" t="e">
        <f>AND('UP133'!DF120,"AAAAAHnz/7A=")</f>
        <v>#VALUE!</v>
      </c>
      <c r="FV157" t="e">
        <f>AND('UP133'!DG120,"AAAAAHnz/7E=")</f>
        <v>#VALUE!</v>
      </c>
      <c r="FW157" t="e">
        <f>AND('UP133'!DH120,"AAAAAHnz/7I=")</f>
        <v>#VALUE!</v>
      </c>
      <c r="FX157" t="e">
        <f>AND('UP133'!DI120,"AAAAAHnz/7M=")</f>
        <v>#VALUE!</v>
      </c>
      <c r="FY157" t="e">
        <f>AND('UP133'!DJ120,"AAAAAHnz/7Q=")</f>
        <v>#VALUE!</v>
      </c>
      <c r="FZ157" t="e">
        <f>AND('UP133'!DK120,"AAAAAHnz/7U=")</f>
        <v>#VALUE!</v>
      </c>
      <c r="GA157" t="e">
        <f>AND('UP133'!DL120,"AAAAAHnz/7Y=")</f>
        <v>#VALUE!</v>
      </c>
      <c r="GB157" t="e">
        <f>AND('UP133'!DM120,"AAAAAHnz/7c=")</f>
        <v>#VALUE!</v>
      </c>
      <c r="GC157" t="e">
        <f>AND('UP133'!DN120,"AAAAAHnz/7g=")</f>
        <v>#VALUE!</v>
      </c>
      <c r="GD157" t="e">
        <f>AND('UP133'!DO120,"AAAAAHnz/7k=")</f>
        <v>#VALUE!</v>
      </c>
      <c r="GE157" t="e">
        <f>AND('UP133'!DP120,"AAAAAHnz/7o=")</f>
        <v>#VALUE!</v>
      </c>
      <c r="GF157" t="e">
        <f>AND('UP133'!DQ120,"AAAAAHnz/7s=")</f>
        <v>#VALUE!</v>
      </c>
      <c r="GG157" t="e">
        <f>AND('UP133'!DR120,"AAAAAHnz/7w=")</f>
        <v>#VALUE!</v>
      </c>
      <c r="GH157" t="e">
        <f>AND('UP133'!DS120,"AAAAAHnz/70=")</f>
        <v>#VALUE!</v>
      </c>
      <c r="GI157" t="e">
        <f>AND('UP133'!DT120,"AAAAAHnz/74=")</f>
        <v>#VALUE!</v>
      </c>
      <c r="GJ157" t="e">
        <f>AND('UP133'!DU120,"AAAAAHnz/78=")</f>
        <v>#VALUE!</v>
      </c>
      <c r="GK157" t="e">
        <f>AND('UP133'!DV120,"AAAAAHnz/8A=")</f>
        <v>#VALUE!</v>
      </c>
      <c r="GL157" t="e">
        <f>AND('UP133'!DW120,"AAAAAHnz/8E=")</f>
        <v>#VALUE!</v>
      </c>
      <c r="GM157" t="e">
        <f>AND('UP133'!DX120,"AAAAAHnz/8I=")</f>
        <v>#VALUE!</v>
      </c>
      <c r="GN157" t="e">
        <f>AND('UP133'!DY120,"AAAAAHnz/8M=")</f>
        <v>#VALUE!</v>
      </c>
      <c r="GO157" t="e">
        <f>AND('UP133'!DZ120,"AAAAAHnz/8Q=")</f>
        <v>#VALUE!</v>
      </c>
      <c r="GP157" t="e">
        <f>AND('UP133'!EA120,"AAAAAHnz/8U=")</f>
        <v>#VALUE!</v>
      </c>
      <c r="GQ157" t="e">
        <f>AND('UP133'!EB120,"AAAAAHnz/8Y=")</f>
        <v>#VALUE!</v>
      </c>
      <c r="GR157" t="e">
        <f>AND('UP133'!EC120,"AAAAAHnz/8c=")</f>
        <v>#VALUE!</v>
      </c>
      <c r="GS157" t="e">
        <f>AND('UP133'!ED120,"AAAAAHnz/8g=")</f>
        <v>#VALUE!</v>
      </c>
      <c r="GT157" t="e">
        <f>AND('UP133'!EE120,"AAAAAHnz/8k=")</f>
        <v>#VALUE!</v>
      </c>
      <c r="GU157" t="e">
        <f>AND('UP133'!EF120,"AAAAAHnz/8o=")</f>
        <v>#VALUE!</v>
      </c>
      <c r="GV157" t="e">
        <f>AND('UP133'!EG120,"AAAAAHnz/8s=")</f>
        <v>#VALUE!</v>
      </c>
      <c r="GW157" t="e">
        <f>AND('UP133'!EH120,"AAAAAHnz/8w=")</f>
        <v>#VALUE!</v>
      </c>
      <c r="GX157" t="e">
        <f>AND('UP133'!EI120,"AAAAAHnz/80=")</f>
        <v>#VALUE!</v>
      </c>
      <c r="GY157" t="e">
        <f>AND('UP133'!EJ120,"AAAAAHnz/84=")</f>
        <v>#VALUE!</v>
      </c>
      <c r="GZ157" t="e">
        <f>AND('UP133'!EK120,"AAAAAHnz/88=")</f>
        <v>#VALUE!</v>
      </c>
      <c r="HA157" t="e">
        <f>AND('UP133'!EL120,"AAAAAHnz/9A=")</f>
        <v>#VALUE!</v>
      </c>
      <c r="HB157" t="e">
        <f>AND('UP133'!EM120,"AAAAAHnz/9E=")</f>
        <v>#VALUE!</v>
      </c>
      <c r="HC157" t="e">
        <f>AND('UP133'!EN120,"AAAAAHnz/9I=")</f>
        <v>#VALUE!</v>
      </c>
      <c r="HD157" t="e">
        <f>AND('UP133'!EO120,"AAAAAHnz/9M=")</f>
        <v>#VALUE!</v>
      </c>
      <c r="HE157" t="e">
        <f>AND('UP133'!EP120,"AAAAAHnz/9Q=")</f>
        <v>#VALUE!</v>
      </c>
      <c r="HF157" t="e">
        <f>AND('UP133'!EQ120,"AAAAAHnz/9U=")</f>
        <v>#VALUE!</v>
      </c>
      <c r="HG157" t="e">
        <f>AND('UP133'!ER120,"AAAAAHnz/9Y=")</f>
        <v>#VALUE!</v>
      </c>
      <c r="HH157" t="e">
        <f>AND('UP133'!ES120,"AAAAAHnz/9c=")</f>
        <v>#VALUE!</v>
      </c>
      <c r="HI157" t="e">
        <f>AND('UP133'!ET120,"AAAAAHnz/9g=")</f>
        <v>#VALUE!</v>
      </c>
      <c r="HJ157" t="e">
        <f>AND('UP133'!EU120,"AAAAAHnz/9k=")</f>
        <v>#VALUE!</v>
      </c>
      <c r="HK157" t="e">
        <f>AND('UP133'!EV120,"AAAAAHnz/9o=")</f>
        <v>#VALUE!</v>
      </c>
      <c r="HL157" t="e">
        <f>AND('UP133'!EW120,"AAAAAHnz/9s=")</f>
        <v>#VALUE!</v>
      </c>
      <c r="HM157" t="e">
        <f>AND('UP133'!EX120,"AAAAAHnz/9w=")</f>
        <v>#VALUE!</v>
      </c>
      <c r="HN157" t="e">
        <f>AND('UP133'!EY120,"AAAAAHnz/90=")</f>
        <v>#VALUE!</v>
      </c>
      <c r="HO157" t="e">
        <f>AND('UP133'!EZ120,"AAAAAHnz/94=")</f>
        <v>#VALUE!</v>
      </c>
      <c r="HP157" t="e">
        <f>AND('UP133'!FA120,"AAAAAHnz/98=")</f>
        <v>#VALUE!</v>
      </c>
      <c r="HQ157" t="e">
        <f>AND('UP133'!FB120,"AAAAAHnz/+A=")</f>
        <v>#VALUE!</v>
      </c>
      <c r="HR157" t="e">
        <f>AND('UP133'!FC120,"AAAAAHnz/+E=")</f>
        <v>#VALUE!</v>
      </c>
      <c r="HS157" t="e">
        <f>AND('UP133'!FD120,"AAAAAHnz/+I=")</f>
        <v>#VALUE!</v>
      </c>
      <c r="HT157" t="e">
        <f>AND('UP133'!FE120,"AAAAAHnz/+M=")</f>
        <v>#VALUE!</v>
      </c>
      <c r="HU157" t="e">
        <f>AND('UP133'!FF120,"AAAAAHnz/+Q=")</f>
        <v>#VALUE!</v>
      </c>
      <c r="HV157" t="e">
        <f>AND('UP133'!FG120,"AAAAAHnz/+U=")</f>
        <v>#VALUE!</v>
      </c>
      <c r="HW157" t="e">
        <f>AND('UP133'!FH120,"AAAAAHnz/+Y=")</f>
        <v>#VALUE!</v>
      </c>
      <c r="HX157" t="e">
        <f>AND('UP133'!FI120,"AAAAAHnz/+c=")</f>
        <v>#VALUE!</v>
      </c>
      <c r="HY157" t="e">
        <f>AND('UP133'!FJ120,"AAAAAHnz/+g=")</f>
        <v>#VALUE!</v>
      </c>
      <c r="HZ157" t="e">
        <f>AND('UP133'!FK120,"AAAAAHnz/+k=")</f>
        <v>#VALUE!</v>
      </c>
      <c r="IA157" t="e">
        <f>AND('UP133'!FL120,"AAAAAHnz/+o=")</f>
        <v>#VALUE!</v>
      </c>
      <c r="IB157" t="e">
        <f>AND('UP133'!FM120,"AAAAAHnz/+s=")</f>
        <v>#VALUE!</v>
      </c>
      <c r="IC157" t="e">
        <f>AND('UP133'!FN120,"AAAAAHnz/+w=")</f>
        <v>#VALUE!</v>
      </c>
      <c r="ID157" t="e">
        <f>AND('UP133'!FO120,"AAAAAHnz/+0=")</f>
        <v>#VALUE!</v>
      </c>
      <c r="IE157" t="e">
        <f>AND('UP133'!FP120,"AAAAAHnz/+4=")</f>
        <v>#VALUE!</v>
      </c>
      <c r="IF157" t="e">
        <f>AND('UP133'!FQ120,"AAAAAHnz/+8=")</f>
        <v>#VALUE!</v>
      </c>
      <c r="IG157" t="e">
        <f>AND('UP133'!FR120,"AAAAAHnz//A=")</f>
        <v>#VALUE!</v>
      </c>
      <c r="IH157" t="e">
        <f>AND('UP133'!FS120,"AAAAAHnz//E=")</f>
        <v>#VALUE!</v>
      </c>
      <c r="II157" t="e">
        <f>AND('UP133'!FT120,"AAAAAHnz//I=")</f>
        <v>#VALUE!</v>
      </c>
      <c r="IJ157" t="e">
        <f>AND('UP133'!FU120,"AAAAAHnz//M=")</f>
        <v>#VALUE!</v>
      </c>
      <c r="IK157" t="e">
        <f>AND('UP133'!FV120,"AAAAAHnz//Q=")</f>
        <v>#VALUE!</v>
      </c>
      <c r="IL157" t="e">
        <f>AND('UP133'!FW120,"AAAAAHnz//U=")</f>
        <v>#VALUE!</v>
      </c>
      <c r="IM157" t="e">
        <f>AND('UP133'!FX120,"AAAAAHnz//Y=")</f>
        <v>#VALUE!</v>
      </c>
      <c r="IN157" t="e">
        <f>AND('UP133'!FY120,"AAAAAHnz//c=")</f>
        <v>#VALUE!</v>
      </c>
      <c r="IO157" t="e">
        <f>AND('UP133'!FZ120,"AAAAAHnz//g=")</f>
        <v>#VALUE!</v>
      </c>
      <c r="IP157" t="e">
        <f>AND('UP133'!GA120,"AAAAAHnz//k=")</f>
        <v>#VALUE!</v>
      </c>
      <c r="IQ157" t="e">
        <f>AND('UP133'!GB120,"AAAAAHnz//o=")</f>
        <v>#VALUE!</v>
      </c>
      <c r="IR157" t="e">
        <f>AND('UP133'!GC120,"AAAAAHnz//s=")</f>
        <v>#VALUE!</v>
      </c>
      <c r="IS157" t="e">
        <f>AND('UP133'!GD120,"AAAAAHnz//w=")</f>
        <v>#VALUE!</v>
      </c>
      <c r="IT157" t="e">
        <f>AND('UP133'!GE120,"AAAAAHnz//0=")</f>
        <v>#VALUE!</v>
      </c>
      <c r="IU157" t="e">
        <f>AND('UP133'!GF120,"AAAAAHnz//4=")</f>
        <v>#VALUE!</v>
      </c>
      <c r="IV157" t="e">
        <f>AND('UP133'!GG120,"AAAAAHnz//8=")</f>
        <v>#VALUE!</v>
      </c>
    </row>
    <row r="158" spans="1:256">
      <c r="A158" t="e">
        <f>AND('UP133'!GH120,"AAAAAB/zfwA=")</f>
        <v>#VALUE!</v>
      </c>
      <c r="B158" t="e">
        <f>AND('UP133'!GI120,"AAAAAB/zfwE=")</f>
        <v>#VALUE!</v>
      </c>
      <c r="C158" t="e">
        <f>AND('UP133'!GJ120,"AAAAAB/zfwI=")</f>
        <v>#VALUE!</v>
      </c>
      <c r="D158" t="e">
        <f>AND('UP133'!GK120,"AAAAAB/zfwM=")</f>
        <v>#VALUE!</v>
      </c>
      <c r="E158" t="e">
        <f>AND('UP133'!GL120,"AAAAAB/zfwQ=")</f>
        <v>#VALUE!</v>
      </c>
      <c r="F158" t="e">
        <f>AND('UP133'!GM120,"AAAAAB/zfwU=")</f>
        <v>#VALUE!</v>
      </c>
      <c r="G158" t="e">
        <f>AND('UP133'!GN120,"AAAAAB/zfwY=")</f>
        <v>#VALUE!</v>
      </c>
      <c r="H158" t="e">
        <f>AND('UP133'!GO120,"AAAAAB/zfwc=")</f>
        <v>#VALUE!</v>
      </c>
      <c r="I158" t="e">
        <f>AND('UP133'!GP120,"AAAAAB/zfwg=")</f>
        <v>#VALUE!</v>
      </c>
      <c r="J158" t="e">
        <f>AND('UP133'!GQ120,"AAAAAB/zfwk=")</f>
        <v>#VALUE!</v>
      </c>
      <c r="K158" t="e">
        <f>AND('UP133'!GR120,"AAAAAB/zfwo=")</f>
        <v>#VALUE!</v>
      </c>
      <c r="L158" t="e">
        <f>AND('UP133'!GS120,"AAAAAB/zfws=")</f>
        <v>#VALUE!</v>
      </c>
      <c r="M158" t="e">
        <f>AND('UP133'!GT120,"AAAAAB/zfww=")</f>
        <v>#VALUE!</v>
      </c>
      <c r="N158" t="e">
        <f>AND('UP133'!GU120,"AAAAAB/zfw0=")</f>
        <v>#VALUE!</v>
      </c>
      <c r="O158" t="e">
        <f>AND('UP133'!GV120,"AAAAAB/zfw4=")</f>
        <v>#VALUE!</v>
      </c>
      <c r="P158" t="e">
        <f>AND('UP133'!GW120,"AAAAAB/zfw8=")</f>
        <v>#VALUE!</v>
      </c>
      <c r="Q158" t="e">
        <f>AND('UP133'!GX120,"AAAAAB/zfxA=")</f>
        <v>#VALUE!</v>
      </c>
      <c r="R158" t="e">
        <f>AND('UP133'!GY120,"AAAAAB/zfxE=")</f>
        <v>#VALUE!</v>
      </c>
      <c r="S158" t="e">
        <f>AND('UP133'!GZ120,"AAAAAB/zfxI=")</f>
        <v>#VALUE!</v>
      </c>
      <c r="T158" t="e">
        <f>AND('UP133'!HA120,"AAAAAB/zfxM=")</f>
        <v>#VALUE!</v>
      </c>
      <c r="U158" t="e">
        <f>AND('UP133'!HB120,"AAAAAB/zfxQ=")</f>
        <v>#VALUE!</v>
      </c>
      <c r="V158" t="e">
        <f>AND('UP133'!HC120,"AAAAAB/zfxU=")</f>
        <v>#VALUE!</v>
      </c>
      <c r="W158" t="e">
        <f>AND('UP133'!HD120,"AAAAAB/zfxY=")</f>
        <v>#VALUE!</v>
      </c>
      <c r="X158" t="e">
        <f>AND('UP133'!HE120,"AAAAAB/zfxc=")</f>
        <v>#VALUE!</v>
      </c>
      <c r="Y158" t="e">
        <f>AND('UP133'!HF120,"AAAAAB/zfxg=")</f>
        <v>#VALUE!</v>
      </c>
      <c r="Z158" t="e">
        <f>AND('UP133'!HG120,"AAAAAB/zfxk=")</f>
        <v>#VALUE!</v>
      </c>
      <c r="AA158" t="e">
        <f>AND('UP133'!HH120,"AAAAAB/zfxo=")</f>
        <v>#VALUE!</v>
      </c>
      <c r="AB158" t="e">
        <f>AND('UP133'!HI120,"AAAAAB/zfxs=")</f>
        <v>#VALUE!</v>
      </c>
      <c r="AC158" t="e">
        <f>AND('UP133'!HJ120,"AAAAAB/zfxw=")</f>
        <v>#VALUE!</v>
      </c>
      <c r="AD158" t="e">
        <f>AND('UP133'!HK120,"AAAAAB/zfx0=")</f>
        <v>#VALUE!</v>
      </c>
      <c r="AE158" t="e">
        <f>AND('UP133'!HL120,"AAAAAB/zfx4=")</f>
        <v>#VALUE!</v>
      </c>
      <c r="AF158" t="e">
        <f>AND('UP133'!HM120,"AAAAAB/zfx8=")</f>
        <v>#VALUE!</v>
      </c>
      <c r="AG158" t="e">
        <f>AND('UP133'!HN120,"AAAAAB/zfyA=")</f>
        <v>#VALUE!</v>
      </c>
      <c r="AH158" t="e">
        <f>AND('UP133'!HO120,"AAAAAB/zfyE=")</f>
        <v>#VALUE!</v>
      </c>
      <c r="AI158" t="e">
        <f>AND('UP133'!HP120,"AAAAAB/zfyI=")</f>
        <v>#VALUE!</v>
      </c>
      <c r="AJ158" t="e">
        <f>AND('UP133'!HQ120,"AAAAAB/zfyM=")</f>
        <v>#VALUE!</v>
      </c>
      <c r="AK158" t="e">
        <f>AND('UP133'!HR120,"AAAAAB/zfyQ=")</f>
        <v>#VALUE!</v>
      </c>
      <c r="AL158" t="e">
        <f>AND('UP133'!HS120,"AAAAAB/zfyU=")</f>
        <v>#VALUE!</v>
      </c>
      <c r="AM158" t="e">
        <f>AND('UP133'!HT120,"AAAAAB/zfyY=")</f>
        <v>#VALUE!</v>
      </c>
      <c r="AN158" t="e">
        <f>AND('UP133'!HU120,"AAAAAB/zfyc=")</f>
        <v>#VALUE!</v>
      </c>
      <c r="AO158" t="e">
        <f>AND('UP133'!HV120,"AAAAAB/zfyg=")</f>
        <v>#VALUE!</v>
      </c>
      <c r="AP158" t="e">
        <f>AND('UP133'!HW120,"AAAAAB/zfyk=")</f>
        <v>#VALUE!</v>
      </c>
      <c r="AQ158" t="e">
        <f>AND('UP133'!HX120,"AAAAAB/zfyo=")</f>
        <v>#VALUE!</v>
      </c>
      <c r="AR158" t="e">
        <f>AND('UP133'!HY120,"AAAAAB/zfys=")</f>
        <v>#VALUE!</v>
      </c>
      <c r="AS158" t="e">
        <f>AND('UP133'!HZ120,"AAAAAB/zfyw=")</f>
        <v>#VALUE!</v>
      </c>
      <c r="AT158" t="e">
        <f>AND('UP133'!IA120,"AAAAAB/zfy0=")</f>
        <v>#VALUE!</v>
      </c>
      <c r="AU158" t="e">
        <f>AND('UP133'!IB120,"AAAAAB/zfy4=")</f>
        <v>#VALUE!</v>
      </c>
      <c r="AV158" t="e">
        <f>AND('UP133'!IC120,"AAAAAB/zfy8=")</f>
        <v>#VALUE!</v>
      </c>
      <c r="AW158" t="e">
        <f>AND('UP133'!ID120,"AAAAAB/zfzA=")</f>
        <v>#VALUE!</v>
      </c>
      <c r="AX158" t="e">
        <f>AND('UP133'!IE120,"AAAAAB/zfzE=")</f>
        <v>#VALUE!</v>
      </c>
      <c r="AY158" t="e">
        <f>AND('UP133'!IF120,"AAAAAB/zfzI=")</f>
        <v>#VALUE!</v>
      </c>
      <c r="AZ158" t="e">
        <f>AND('UP133'!IG120,"AAAAAB/zfzM=")</f>
        <v>#VALUE!</v>
      </c>
      <c r="BA158" t="e">
        <f>AND('UP133'!IH120,"AAAAAB/zfzQ=")</f>
        <v>#VALUE!</v>
      </c>
      <c r="BB158" t="e">
        <f>AND('UP133'!II120,"AAAAAB/zfzU=")</f>
        <v>#VALUE!</v>
      </c>
      <c r="BC158" t="e">
        <f>AND('UP133'!IJ120,"AAAAAB/zfzY=")</f>
        <v>#VALUE!</v>
      </c>
      <c r="BD158" t="e">
        <f>AND('UP133'!IK120,"AAAAAB/zfzc=")</f>
        <v>#VALUE!</v>
      </c>
      <c r="BE158" t="e">
        <f>AND('UP133'!IL120,"AAAAAB/zfzg=")</f>
        <v>#VALUE!</v>
      </c>
      <c r="BF158" t="e">
        <f>AND('UP133'!IM120,"AAAAAB/zfzk=")</f>
        <v>#VALUE!</v>
      </c>
      <c r="BG158" t="e">
        <f>AND('UP133'!IN120,"AAAAAB/zfzo=")</f>
        <v>#VALUE!</v>
      </c>
      <c r="BH158" t="e">
        <f>AND('UP133'!IO120,"AAAAAB/zfzs=")</f>
        <v>#VALUE!</v>
      </c>
      <c r="BI158" t="e">
        <f>AND('UP133'!IP120,"AAAAAB/zfzw=")</f>
        <v>#VALUE!</v>
      </c>
      <c r="BJ158" t="e">
        <f>AND('UP133'!IQ120,"AAAAAB/zfz0=")</f>
        <v>#VALUE!</v>
      </c>
      <c r="BK158">
        <f>IF('UP133'!121:121,"AAAAAB/zfz4=",0)</f>
        <v>0</v>
      </c>
      <c r="BL158" t="e">
        <f>AND('UP133'!A121,"AAAAAB/zfz8=")</f>
        <v>#VALUE!</v>
      </c>
      <c r="BM158" t="e">
        <f>AND('UP133'!B121,"AAAAAB/zf0A=")</f>
        <v>#VALUE!</v>
      </c>
      <c r="BN158" t="e">
        <f>AND('UP133'!C121,"AAAAAB/zf0E=")</f>
        <v>#VALUE!</v>
      </c>
      <c r="BO158" t="e">
        <f>AND('UP133'!D121,"AAAAAB/zf0I=")</f>
        <v>#VALUE!</v>
      </c>
      <c r="BP158" t="e">
        <f>AND('UP133'!E121,"AAAAAB/zf0M=")</f>
        <v>#VALUE!</v>
      </c>
      <c r="BQ158" t="e">
        <f>AND('UP133'!F121,"AAAAAB/zf0Q=")</f>
        <v>#VALUE!</v>
      </c>
      <c r="BR158" t="e">
        <f>AND('UP133'!G121,"AAAAAB/zf0U=")</f>
        <v>#VALUE!</v>
      </c>
      <c r="BS158" t="e">
        <f>AND('UP133'!H121,"AAAAAB/zf0Y=")</f>
        <v>#VALUE!</v>
      </c>
      <c r="BT158" t="e">
        <f>AND('UP133'!I121,"AAAAAB/zf0c=")</f>
        <v>#VALUE!</v>
      </c>
      <c r="BU158" t="e">
        <f>AND('UP133'!J121,"AAAAAB/zf0g=")</f>
        <v>#VALUE!</v>
      </c>
      <c r="BV158" t="e">
        <f>AND('UP133'!K121,"AAAAAB/zf0k=")</f>
        <v>#VALUE!</v>
      </c>
      <c r="BW158" t="e">
        <f>AND('UP133'!L121,"AAAAAB/zf0o=")</f>
        <v>#VALUE!</v>
      </c>
      <c r="BX158" t="e">
        <f>AND('UP133'!M121,"AAAAAB/zf0s=")</f>
        <v>#VALUE!</v>
      </c>
      <c r="BY158" t="e">
        <f>AND('UP133'!N121,"AAAAAB/zf0w=")</f>
        <v>#VALUE!</v>
      </c>
      <c r="BZ158" t="e">
        <f>AND('UP133'!O121,"AAAAAB/zf00=")</f>
        <v>#VALUE!</v>
      </c>
      <c r="CA158" t="e">
        <f>AND('UP133'!P121,"AAAAAB/zf04=")</f>
        <v>#VALUE!</v>
      </c>
      <c r="CB158" t="e">
        <f>AND('UP133'!Q121,"AAAAAB/zf08=")</f>
        <v>#VALUE!</v>
      </c>
      <c r="CC158" t="e">
        <f>AND('UP133'!R121,"AAAAAB/zf1A=")</f>
        <v>#VALUE!</v>
      </c>
      <c r="CD158" t="e">
        <f>AND('UP133'!S121,"AAAAAB/zf1E=")</f>
        <v>#VALUE!</v>
      </c>
      <c r="CE158" t="e">
        <f>AND('UP133'!T121,"AAAAAB/zf1I=")</f>
        <v>#VALUE!</v>
      </c>
      <c r="CF158" t="e">
        <f>AND('UP133'!U121,"AAAAAB/zf1M=")</f>
        <v>#VALUE!</v>
      </c>
      <c r="CG158" t="e">
        <f>AND('UP133'!V121,"AAAAAB/zf1Q=")</f>
        <v>#VALUE!</v>
      </c>
      <c r="CH158" t="e">
        <f>AND('UP133'!W121,"AAAAAB/zf1U=")</f>
        <v>#VALUE!</v>
      </c>
      <c r="CI158" t="e">
        <f>AND('UP133'!X121,"AAAAAB/zf1Y=")</f>
        <v>#VALUE!</v>
      </c>
      <c r="CJ158" t="e">
        <f>AND('UP133'!Y121,"AAAAAB/zf1c=")</f>
        <v>#VALUE!</v>
      </c>
      <c r="CK158" t="e">
        <f>AND('UP133'!Z121,"AAAAAB/zf1g=")</f>
        <v>#VALUE!</v>
      </c>
      <c r="CL158" t="e">
        <f>AND('UP133'!AA121,"AAAAAB/zf1k=")</f>
        <v>#VALUE!</v>
      </c>
      <c r="CM158" t="e">
        <f>AND('UP133'!AB121,"AAAAAB/zf1o=")</f>
        <v>#VALUE!</v>
      </c>
      <c r="CN158" t="e">
        <f>AND('UP133'!AC121,"AAAAAB/zf1s=")</f>
        <v>#VALUE!</v>
      </c>
      <c r="CO158" t="e">
        <f>AND('UP133'!AD121,"AAAAAB/zf1w=")</f>
        <v>#VALUE!</v>
      </c>
      <c r="CP158" t="e">
        <f>AND('UP133'!AE121,"AAAAAB/zf10=")</f>
        <v>#VALUE!</v>
      </c>
      <c r="CQ158" t="e">
        <f>AND('UP133'!AF121,"AAAAAB/zf14=")</f>
        <v>#VALUE!</v>
      </c>
      <c r="CR158" t="e">
        <f>AND('UP133'!AG121,"AAAAAB/zf18=")</f>
        <v>#VALUE!</v>
      </c>
      <c r="CS158" t="e">
        <f>AND('UP133'!AH121,"AAAAAB/zf2A=")</f>
        <v>#VALUE!</v>
      </c>
      <c r="CT158" t="e">
        <f>AND('UP133'!AI121,"AAAAAB/zf2E=")</f>
        <v>#VALUE!</v>
      </c>
      <c r="CU158" t="e">
        <f>AND('UP133'!AJ121,"AAAAAB/zf2I=")</f>
        <v>#VALUE!</v>
      </c>
      <c r="CV158" t="e">
        <f>AND('UP133'!AK121,"AAAAAB/zf2M=")</f>
        <v>#VALUE!</v>
      </c>
      <c r="CW158" t="e">
        <f>AND('UP133'!AL121,"AAAAAB/zf2Q=")</f>
        <v>#VALUE!</v>
      </c>
      <c r="CX158" t="e">
        <f>AND('UP133'!AM121,"AAAAAB/zf2U=")</f>
        <v>#VALUE!</v>
      </c>
      <c r="CY158" t="e">
        <f>AND('UP133'!AN121,"AAAAAB/zf2Y=")</f>
        <v>#VALUE!</v>
      </c>
      <c r="CZ158" t="e">
        <f>AND('UP133'!AO121,"AAAAAB/zf2c=")</f>
        <v>#VALUE!</v>
      </c>
      <c r="DA158" t="e">
        <f>AND('UP133'!AP121,"AAAAAB/zf2g=")</f>
        <v>#VALUE!</v>
      </c>
      <c r="DB158" t="e">
        <f>AND('UP133'!AQ121,"AAAAAB/zf2k=")</f>
        <v>#VALUE!</v>
      </c>
      <c r="DC158" t="e">
        <f>AND('UP133'!AR121,"AAAAAB/zf2o=")</f>
        <v>#VALUE!</v>
      </c>
      <c r="DD158" t="e">
        <f>AND('UP133'!AS121,"AAAAAB/zf2s=")</f>
        <v>#VALUE!</v>
      </c>
      <c r="DE158" t="e">
        <f>AND('UP133'!AT121,"AAAAAB/zf2w=")</f>
        <v>#VALUE!</v>
      </c>
      <c r="DF158" t="e">
        <f>AND('UP133'!AU121,"AAAAAB/zf20=")</f>
        <v>#VALUE!</v>
      </c>
      <c r="DG158" t="e">
        <f>AND('UP133'!AV121,"AAAAAB/zf24=")</f>
        <v>#VALUE!</v>
      </c>
      <c r="DH158" t="e">
        <f>AND('UP133'!AW121,"AAAAAB/zf28=")</f>
        <v>#VALUE!</v>
      </c>
      <c r="DI158" t="e">
        <f>AND('UP133'!AX121,"AAAAAB/zf3A=")</f>
        <v>#VALUE!</v>
      </c>
      <c r="DJ158" t="e">
        <f>AND('UP133'!AY121,"AAAAAB/zf3E=")</f>
        <v>#VALUE!</v>
      </c>
      <c r="DK158" t="e">
        <f>AND('UP133'!AZ121,"AAAAAB/zf3I=")</f>
        <v>#VALUE!</v>
      </c>
      <c r="DL158" t="e">
        <f>AND('UP133'!BA121,"AAAAAB/zf3M=")</f>
        <v>#VALUE!</v>
      </c>
      <c r="DM158" t="e">
        <f>AND('UP133'!BB121,"AAAAAB/zf3Q=")</f>
        <v>#VALUE!</v>
      </c>
      <c r="DN158" t="e">
        <f>AND('UP133'!BC121,"AAAAAB/zf3U=")</f>
        <v>#VALUE!</v>
      </c>
      <c r="DO158" t="e">
        <f>AND('UP133'!BD121,"AAAAAB/zf3Y=")</f>
        <v>#VALUE!</v>
      </c>
      <c r="DP158" t="e">
        <f>AND('UP133'!BE121,"AAAAAB/zf3c=")</f>
        <v>#VALUE!</v>
      </c>
      <c r="DQ158" t="e">
        <f>AND('UP133'!BF121,"AAAAAB/zf3g=")</f>
        <v>#VALUE!</v>
      </c>
      <c r="DR158" t="e">
        <f>AND('UP133'!BG121,"AAAAAB/zf3k=")</f>
        <v>#VALUE!</v>
      </c>
      <c r="DS158" t="e">
        <f>AND('UP133'!BH121,"AAAAAB/zf3o=")</f>
        <v>#VALUE!</v>
      </c>
      <c r="DT158" t="e">
        <f>AND('UP133'!BI121,"AAAAAB/zf3s=")</f>
        <v>#VALUE!</v>
      </c>
      <c r="DU158" t="e">
        <f>AND('UP133'!BJ121,"AAAAAB/zf3w=")</f>
        <v>#VALUE!</v>
      </c>
      <c r="DV158" t="e">
        <f>AND('UP133'!BK121,"AAAAAB/zf30=")</f>
        <v>#VALUE!</v>
      </c>
      <c r="DW158" t="e">
        <f>AND('UP133'!BL121,"AAAAAB/zf34=")</f>
        <v>#VALUE!</v>
      </c>
      <c r="DX158" t="e">
        <f>AND('UP133'!BM121,"AAAAAB/zf38=")</f>
        <v>#VALUE!</v>
      </c>
      <c r="DY158" t="e">
        <f>AND('UP133'!BN121,"AAAAAB/zf4A=")</f>
        <v>#VALUE!</v>
      </c>
      <c r="DZ158" t="e">
        <f>AND('UP133'!BO121,"AAAAAB/zf4E=")</f>
        <v>#VALUE!</v>
      </c>
      <c r="EA158" t="e">
        <f>AND('UP133'!BP121,"AAAAAB/zf4I=")</f>
        <v>#VALUE!</v>
      </c>
      <c r="EB158" t="e">
        <f>AND('UP133'!BQ121,"AAAAAB/zf4M=")</f>
        <v>#VALUE!</v>
      </c>
      <c r="EC158" t="e">
        <f>AND('UP133'!BR121,"AAAAAB/zf4Q=")</f>
        <v>#VALUE!</v>
      </c>
      <c r="ED158" t="e">
        <f>AND('UP133'!BS121,"AAAAAB/zf4U=")</f>
        <v>#VALUE!</v>
      </c>
      <c r="EE158" t="e">
        <f>AND('UP133'!BT121,"AAAAAB/zf4Y=")</f>
        <v>#VALUE!</v>
      </c>
      <c r="EF158" t="e">
        <f>AND('UP133'!BU121,"AAAAAB/zf4c=")</f>
        <v>#VALUE!</v>
      </c>
      <c r="EG158" t="e">
        <f>AND('UP133'!BV121,"AAAAAB/zf4g=")</f>
        <v>#VALUE!</v>
      </c>
      <c r="EH158" t="e">
        <f>AND('UP133'!BW121,"AAAAAB/zf4k=")</f>
        <v>#VALUE!</v>
      </c>
      <c r="EI158" t="e">
        <f>AND('UP133'!BX121,"AAAAAB/zf4o=")</f>
        <v>#VALUE!</v>
      </c>
      <c r="EJ158" t="e">
        <f>AND('UP133'!BY121,"AAAAAB/zf4s=")</f>
        <v>#VALUE!</v>
      </c>
      <c r="EK158" t="e">
        <f>AND('UP133'!BZ121,"AAAAAB/zf4w=")</f>
        <v>#VALUE!</v>
      </c>
      <c r="EL158" t="e">
        <f>AND('UP133'!CA121,"AAAAAB/zf40=")</f>
        <v>#VALUE!</v>
      </c>
      <c r="EM158" t="e">
        <f>AND('UP133'!CB121,"AAAAAB/zf44=")</f>
        <v>#VALUE!</v>
      </c>
      <c r="EN158" t="e">
        <f>AND('UP133'!CC121,"AAAAAB/zf48=")</f>
        <v>#VALUE!</v>
      </c>
      <c r="EO158" t="e">
        <f>AND('UP133'!CD121,"AAAAAB/zf5A=")</f>
        <v>#VALUE!</v>
      </c>
      <c r="EP158" t="e">
        <f>AND('UP133'!CE121,"AAAAAB/zf5E=")</f>
        <v>#VALUE!</v>
      </c>
      <c r="EQ158" t="e">
        <f>AND('UP133'!CF121,"AAAAAB/zf5I=")</f>
        <v>#VALUE!</v>
      </c>
      <c r="ER158" t="e">
        <f>AND('UP133'!CG121,"AAAAAB/zf5M=")</f>
        <v>#VALUE!</v>
      </c>
      <c r="ES158" t="e">
        <f>AND('UP133'!CH121,"AAAAAB/zf5Q=")</f>
        <v>#VALUE!</v>
      </c>
      <c r="ET158" t="e">
        <f>AND('UP133'!CI121,"AAAAAB/zf5U=")</f>
        <v>#VALUE!</v>
      </c>
      <c r="EU158" t="e">
        <f>AND('UP133'!CJ121,"AAAAAB/zf5Y=")</f>
        <v>#VALUE!</v>
      </c>
      <c r="EV158" t="e">
        <f>AND('UP133'!CK121,"AAAAAB/zf5c=")</f>
        <v>#VALUE!</v>
      </c>
      <c r="EW158" t="e">
        <f>AND('UP133'!CL121,"AAAAAB/zf5g=")</f>
        <v>#VALUE!</v>
      </c>
      <c r="EX158" t="e">
        <f>AND('UP133'!CM121,"AAAAAB/zf5k=")</f>
        <v>#VALUE!</v>
      </c>
      <c r="EY158" t="e">
        <f>AND('UP133'!CN121,"AAAAAB/zf5o=")</f>
        <v>#VALUE!</v>
      </c>
      <c r="EZ158" t="e">
        <f>AND('UP133'!CO121,"AAAAAB/zf5s=")</f>
        <v>#VALUE!</v>
      </c>
      <c r="FA158" t="e">
        <f>AND('UP133'!CP121,"AAAAAB/zf5w=")</f>
        <v>#VALUE!</v>
      </c>
      <c r="FB158" t="e">
        <f>AND('UP133'!CQ121,"AAAAAB/zf50=")</f>
        <v>#VALUE!</v>
      </c>
      <c r="FC158" t="e">
        <f>AND('UP133'!CR121,"AAAAAB/zf54=")</f>
        <v>#VALUE!</v>
      </c>
      <c r="FD158" t="e">
        <f>AND('UP133'!CS121,"AAAAAB/zf58=")</f>
        <v>#VALUE!</v>
      </c>
      <c r="FE158" t="e">
        <f>AND('UP133'!CT121,"AAAAAB/zf6A=")</f>
        <v>#VALUE!</v>
      </c>
      <c r="FF158" t="e">
        <f>AND('UP133'!CU121,"AAAAAB/zf6E=")</f>
        <v>#VALUE!</v>
      </c>
      <c r="FG158" t="e">
        <f>AND('UP133'!CV121,"AAAAAB/zf6I=")</f>
        <v>#VALUE!</v>
      </c>
      <c r="FH158" t="e">
        <f>AND('UP133'!CW121,"AAAAAB/zf6M=")</f>
        <v>#VALUE!</v>
      </c>
      <c r="FI158" t="e">
        <f>AND('UP133'!CX121,"AAAAAB/zf6Q=")</f>
        <v>#VALUE!</v>
      </c>
      <c r="FJ158" t="e">
        <f>AND('UP133'!CY121,"AAAAAB/zf6U=")</f>
        <v>#VALUE!</v>
      </c>
      <c r="FK158" t="e">
        <f>AND('UP133'!CZ121,"AAAAAB/zf6Y=")</f>
        <v>#VALUE!</v>
      </c>
      <c r="FL158" t="e">
        <f>AND('UP133'!DA121,"AAAAAB/zf6c=")</f>
        <v>#VALUE!</v>
      </c>
      <c r="FM158" t="e">
        <f>AND('UP133'!DB121,"AAAAAB/zf6g=")</f>
        <v>#VALUE!</v>
      </c>
      <c r="FN158" t="e">
        <f>AND('UP133'!DC121,"AAAAAB/zf6k=")</f>
        <v>#VALUE!</v>
      </c>
      <c r="FO158" t="e">
        <f>AND('UP133'!DD121,"AAAAAB/zf6o=")</f>
        <v>#VALUE!</v>
      </c>
      <c r="FP158" t="e">
        <f>AND('UP133'!DE121,"AAAAAB/zf6s=")</f>
        <v>#VALUE!</v>
      </c>
      <c r="FQ158" t="e">
        <f>AND('UP133'!DF121,"AAAAAB/zf6w=")</f>
        <v>#VALUE!</v>
      </c>
      <c r="FR158" t="e">
        <f>AND('UP133'!DG121,"AAAAAB/zf60=")</f>
        <v>#VALUE!</v>
      </c>
      <c r="FS158" t="e">
        <f>AND('UP133'!DH121,"AAAAAB/zf64=")</f>
        <v>#VALUE!</v>
      </c>
      <c r="FT158" t="e">
        <f>AND('UP133'!DI121,"AAAAAB/zf68=")</f>
        <v>#VALUE!</v>
      </c>
      <c r="FU158" t="e">
        <f>AND('UP133'!DJ121,"AAAAAB/zf7A=")</f>
        <v>#VALUE!</v>
      </c>
      <c r="FV158" t="e">
        <f>AND('UP133'!DK121,"AAAAAB/zf7E=")</f>
        <v>#VALUE!</v>
      </c>
      <c r="FW158" t="e">
        <f>AND('UP133'!DL121,"AAAAAB/zf7I=")</f>
        <v>#VALUE!</v>
      </c>
      <c r="FX158" t="e">
        <f>AND('UP133'!DM121,"AAAAAB/zf7M=")</f>
        <v>#VALUE!</v>
      </c>
      <c r="FY158" t="e">
        <f>AND('UP133'!DN121,"AAAAAB/zf7Q=")</f>
        <v>#VALUE!</v>
      </c>
      <c r="FZ158" t="e">
        <f>AND('UP133'!DO121,"AAAAAB/zf7U=")</f>
        <v>#VALUE!</v>
      </c>
      <c r="GA158" t="e">
        <f>AND('UP133'!DP121,"AAAAAB/zf7Y=")</f>
        <v>#VALUE!</v>
      </c>
      <c r="GB158" t="e">
        <f>AND('UP133'!DQ121,"AAAAAB/zf7c=")</f>
        <v>#VALUE!</v>
      </c>
      <c r="GC158" t="e">
        <f>AND('UP133'!DR121,"AAAAAB/zf7g=")</f>
        <v>#VALUE!</v>
      </c>
      <c r="GD158" t="e">
        <f>AND('UP133'!DS121,"AAAAAB/zf7k=")</f>
        <v>#VALUE!</v>
      </c>
      <c r="GE158" t="e">
        <f>AND('UP133'!DT121,"AAAAAB/zf7o=")</f>
        <v>#VALUE!</v>
      </c>
      <c r="GF158" t="e">
        <f>AND('UP133'!DU121,"AAAAAB/zf7s=")</f>
        <v>#VALUE!</v>
      </c>
      <c r="GG158" t="e">
        <f>AND('UP133'!DV121,"AAAAAB/zf7w=")</f>
        <v>#VALUE!</v>
      </c>
      <c r="GH158" t="e">
        <f>AND('UP133'!DW121,"AAAAAB/zf70=")</f>
        <v>#VALUE!</v>
      </c>
      <c r="GI158" t="e">
        <f>AND('UP133'!DX121,"AAAAAB/zf74=")</f>
        <v>#VALUE!</v>
      </c>
      <c r="GJ158" t="e">
        <f>AND('UP133'!DY121,"AAAAAB/zf78=")</f>
        <v>#VALUE!</v>
      </c>
      <c r="GK158" t="e">
        <f>AND('UP133'!DZ121,"AAAAAB/zf8A=")</f>
        <v>#VALUE!</v>
      </c>
      <c r="GL158" t="e">
        <f>AND('UP133'!EA121,"AAAAAB/zf8E=")</f>
        <v>#VALUE!</v>
      </c>
      <c r="GM158" t="e">
        <f>AND('UP133'!EB121,"AAAAAB/zf8I=")</f>
        <v>#VALUE!</v>
      </c>
      <c r="GN158" t="e">
        <f>AND('UP133'!EC121,"AAAAAB/zf8M=")</f>
        <v>#VALUE!</v>
      </c>
      <c r="GO158" t="e">
        <f>AND('UP133'!ED121,"AAAAAB/zf8Q=")</f>
        <v>#VALUE!</v>
      </c>
      <c r="GP158" t="e">
        <f>AND('UP133'!EE121,"AAAAAB/zf8U=")</f>
        <v>#VALUE!</v>
      </c>
      <c r="GQ158" t="e">
        <f>AND('UP133'!EF121,"AAAAAB/zf8Y=")</f>
        <v>#VALUE!</v>
      </c>
      <c r="GR158" t="e">
        <f>AND('UP133'!EG121,"AAAAAB/zf8c=")</f>
        <v>#VALUE!</v>
      </c>
      <c r="GS158" t="e">
        <f>AND('UP133'!EH121,"AAAAAB/zf8g=")</f>
        <v>#VALUE!</v>
      </c>
      <c r="GT158" t="e">
        <f>AND('UP133'!EI121,"AAAAAB/zf8k=")</f>
        <v>#VALUE!</v>
      </c>
      <c r="GU158" t="e">
        <f>AND('UP133'!EJ121,"AAAAAB/zf8o=")</f>
        <v>#VALUE!</v>
      </c>
      <c r="GV158" t="e">
        <f>AND('UP133'!EK121,"AAAAAB/zf8s=")</f>
        <v>#VALUE!</v>
      </c>
      <c r="GW158" t="e">
        <f>AND('UP133'!EL121,"AAAAAB/zf8w=")</f>
        <v>#VALUE!</v>
      </c>
      <c r="GX158" t="e">
        <f>AND('UP133'!EM121,"AAAAAB/zf80=")</f>
        <v>#VALUE!</v>
      </c>
      <c r="GY158" t="e">
        <f>AND('UP133'!EN121,"AAAAAB/zf84=")</f>
        <v>#VALUE!</v>
      </c>
      <c r="GZ158" t="e">
        <f>AND('UP133'!EO121,"AAAAAB/zf88=")</f>
        <v>#VALUE!</v>
      </c>
      <c r="HA158" t="e">
        <f>AND('UP133'!EP121,"AAAAAB/zf9A=")</f>
        <v>#VALUE!</v>
      </c>
      <c r="HB158" t="e">
        <f>AND('UP133'!EQ121,"AAAAAB/zf9E=")</f>
        <v>#VALUE!</v>
      </c>
      <c r="HC158" t="e">
        <f>AND('UP133'!ER121,"AAAAAB/zf9I=")</f>
        <v>#VALUE!</v>
      </c>
      <c r="HD158" t="e">
        <f>AND('UP133'!ES121,"AAAAAB/zf9M=")</f>
        <v>#VALUE!</v>
      </c>
      <c r="HE158" t="e">
        <f>AND('UP133'!ET121,"AAAAAB/zf9Q=")</f>
        <v>#VALUE!</v>
      </c>
      <c r="HF158" t="e">
        <f>AND('UP133'!EU121,"AAAAAB/zf9U=")</f>
        <v>#VALUE!</v>
      </c>
      <c r="HG158" t="e">
        <f>AND('UP133'!EV121,"AAAAAB/zf9Y=")</f>
        <v>#VALUE!</v>
      </c>
      <c r="HH158" t="e">
        <f>AND('UP133'!EW121,"AAAAAB/zf9c=")</f>
        <v>#VALUE!</v>
      </c>
      <c r="HI158" t="e">
        <f>AND('UP133'!EX121,"AAAAAB/zf9g=")</f>
        <v>#VALUE!</v>
      </c>
      <c r="HJ158" t="e">
        <f>AND('UP133'!EY121,"AAAAAB/zf9k=")</f>
        <v>#VALUE!</v>
      </c>
      <c r="HK158" t="e">
        <f>AND('UP133'!EZ121,"AAAAAB/zf9o=")</f>
        <v>#VALUE!</v>
      </c>
      <c r="HL158" t="e">
        <f>AND('UP133'!FA121,"AAAAAB/zf9s=")</f>
        <v>#VALUE!</v>
      </c>
      <c r="HM158" t="e">
        <f>AND('UP133'!FB121,"AAAAAB/zf9w=")</f>
        <v>#VALUE!</v>
      </c>
      <c r="HN158" t="e">
        <f>AND('UP133'!FC121,"AAAAAB/zf90=")</f>
        <v>#VALUE!</v>
      </c>
      <c r="HO158" t="e">
        <f>AND('UP133'!FD121,"AAAAAB/zf94=")</f>
        <v>#VALUE!</v>
      </c>
      <c r="HP158" t="e">
        <f>AND('UP133'!FE121,"AAAAAB/zf98=")</f>
        <v>#VALUE!</v>
      </c>
      <c r="HQ158" t="e">
        <f>AND('UP133'!FF121,"AAAAAB/zf+A=")</f>
        <v>#VALUE!</v>
      </c>
      <c r="HR158" t="e">
        <f>AND('UP133'!FG121,"AAAAAB/zf+E=")</f>
        <v>#VALUE!</v>
      </c>
      <c r="HS158" t="e">
        <f>AND('UP133'!FH121,"AAAAAB/zf+I=")</f>
        <v>#VALUE!</v>
      </c>
      <c r="HT158" t="e">
        <f>AND('UP133'!FI121,"AAAAAB/zf+M=")</f>
        <v>#VALUE!</v>
      </c>
      <c r="HU158" t="e">
        <f>AND('UP133'!FJ121,"AAAAAB/zf+Q=")</f>
        <v>#VALUE!</v>
      </c>
      <c r="HV158" t="e">
        <f>AND('UP133'!FK121,"AAAAAB/zf+U=")</f>
        <v>#VALUE!</v>
      </c>
      <c r="HW158" t="e">
        <f>AND('UP133'!FL121,"AAAAAB/zf+Y=")</f>
        <v>#VALUE!</v>
      </c>
      <c r="HX158" t="e">
        <f>AND('UP133'!FM121,"AAAAAB/zf+c=")</f>
        <v>#VALUE!</v>
      </c>
      <c r="HY158" t="e">
        <f>AND('UP133'!FN121,"AAAAAB/zf+g=")</f>
        <v>#VALUE!</v>
      </c>
      <c r="HZ158" t="e">
        <f>AND('UP133'!FO121,"AAAAAB/zf+k=")</f>
        <v>#VALUE!</v>
      </c>
      <c r="IA158" t="e">
        <f>AND('UP133'!FP121,"AAAAAB/zf+o=")</f>
        <v>#VALUE!</v>
      </c>
      <c r="IB158" t="e">
        <f>AND('UP133'!FQ121,"AAAAAB/zf+s=")</f>
        <v>#VALUE!</v>
      </c>
      <c r="IC158" t="e">
        <f>AND('UP133'!FR121,"AAAAAB/zf+w=")</f>
        <v>#VALUE!</v>
      </c>
      <c r="ID158" t="e">
        <f>AND('UP133'!FS121,"AAAAAB/zf+0=")</f>
        <v>#VALUE!</v>
      </c>
      <c r="IE158" t="e">
        <f>AND('UP133'!FT121,"AAAAAB/zf+4=")</f>
        <v>#VALUE!</v>
      </c>
      <c r="IF158" t="e">
        <f>AND('UP133'!FU121,"AAAAAB/zf+8=")</f>
        <v>#VALUE!</v>
      </c>
      <c r="IG158" t="e">
        <f>AND('UP133'!FV121,"AAAAAB/zf/A=")</f>
        <v>#VALUE!</v>
      </c>
      <c r="IH158" t="e">
        <f>AND('UP133'!FW121,"AAAAAB/zf/E=")</f>
        <v>#VALUE!</v>
      </c>
      <c r="II158" t="e">
        <f>AND('UP133'!FX121,"AAAAAB/zf/I=")</f>
        <v>#VALUE!</v>
      </c>
      <c r="IJ158" t="e">
        <f>AND('UP133'!FY121,"AAAAAB/zf/M=")</f>
        <v>#VALUE!</v>
      </c>
      <c r="IK158" t="e">
        <f>AND('UP133'!FZ121,"AAAAAB/zf/Q=")</f>
        <v>#VALUE!</v>
      </c>
      <c r="IL158" t="e">
        <f>AND('UP133'!GA121,"AAAAAB/zf/U=")</f>
        <v>#VALUE!</v>
      </c>
      <c r="IM158" t="e">
        <f>AND('UP133'!GB121,"AAAAAB/zf/Y=")</f>
        <v>#VALUE!</v>
      </c>
      <c r="IN158" t="e">
        <f>AND('UP133'!GC121,"AAAAAB/zf/c=")</f>
        <v>#VALUE!</v>
      </c>
      <c r="IO158" t="e">
        <f>AND('UP133'!GD121,"AAAAAB/zf/g=")</f>
        <v>#VALUE!</v>
      </c>
      <c r="IP158" t="e">
        <f>AND('UP133'!GE121,"AAAAAB/zf/k=")</f>
        <v>#VALUE!</v>
      </c>
      <c r="IQ158" t="e">
        <f>AND('UP133'!GF121,"AAAAAB/zf/o=")</f>
        <v>#VALUE!</v>
      </c>
      <c r="IR158" t="e">
        <f>AND('UP133'!GG121,"AAAAAB/zf/s=")</f>
        <v>#VALUE!</v>
      </c>
      <c r="IS158" t="e">
        <f>AND('UP133'!GH121,"AAAAAB/zf/w=")</f>
        <v>#VALUE!</v>
      </c>
      <c r="IT158" t="e">
        <f>AND('UP133'!GI121,"AAAAAB/zf/0=")</f>
        <v>#VALUE!</v>
      </c>
      <c r="IU158" t="e">
        <f>AND('UP133'!GJ121,"AAAAAB/zf/4=")</f>
        <v>#VALUE!</v>
      </c>
      <c r="IV158" t="e">
        <f>AND('UP133'!GK121,"AAAAAB/zf/8=")</f>
        <v>#VALUE!</v>
      </c>
    </row>
    <row r="159" spans="1:256">
      <c r="A159" t="e">
        <f>AND('UP133'!GL121,"AAAAAF/YHgA=")</f>
        <v>#VALUE!</v>
      </c>
      <c r="B159" t="e">
        <f>AND('UP133'!GM121,"AAAAAF/YHgE=")</f>
        <v>#VALUE!</v>
      </c>
      <c r="C159" t="e">
        <f>AND('UP133'!GN121,"AAAAAF/YHgI=")</f>
        <v>#VALUE!</v>
      </c>
      <c r="D159" t="e">
        <f>AND('UP133'!GO121,"AAAAAF/YHgM=")</f>
        <v>#VALUE!</v>
      </c>
      <c r="E159" t="e">
        <f>AND('UP133'!GP121,"AAAAAF/YHgQ=")</f>
        <v>#VALUE!</v>
      </c>
      <c r="F159" t="e">
        <f>AND('UP133'!GQ121,"AAAAAF/YHgU=")</f>
        <v>#VALUE!</v>
      </c>
      <c r="G159" t="e">
        <f>AND('UP133'!GR121,"AAAAAF/YHgY=")</f>
        <v>#VALUE!</v>
      </c>
      <c r="H159" t="e">
        <f>AND('UP133'!GS121,"AAAAAF/YHgc=")</f>
        <v>#VALUE!</v>
      </c>
      <c r="I159" t="e">
        <f>AND('UP133'!GT121,"AAAAAF/YHgg=")</f>
        <v>#VALUE!</v>
      </c>
      <c r="J159" t="e">
        <f>AND('UP133'!GU121,"AAAAAF/YHgk=")</f>
        <v>#VALUE!</v>
      </c>
      <c r="K159" t="e">
        <f>AND('UP133'!GV121,"AAAAAF/YHgo=")</f>
        <v>#VALUE!</v>
      </c>
      <c r="L159" t="e">
        <f>AND('UP133'!GW121,"AAAAAF/YHgs=")</f>
        <v>#VALUE!</v>
      </c>
      <c r="M159" t="e">
        <f>AND('UP133'!GX121,"AAAAAF/YHgw=")</f>
        <v>#VALUE!</v>
      </c>
      <c r="N159" t="e">
        <f>AND('UP133'!GY121,"AAAAAF/YHg0=")</f>
        <v>#VALUE!</v>
      </c>
      <c r="O159" t="e">
        <f>AND('UP133'!GZ121,"AAAAAF/YHg4=")</f>
        <v>#VALUE!</v>
      </c>
      <c r="P159" t="e">
        <f>AND('UP133'!HA121,"AAAAAF/YHg8=")</f>
        <v>#VALUE!</v>
      </c>
      <c r="Q159" t="e">
        <f>AND('UP133'!HB121,"AAAAAF/YHhA=")</f>
        <v>#VALUE!</v>
      </c>
      <c r="R159" t="e">
        <f>AND('UP133'!HC121,"AAAAAF/YHhE=")</f>
        <v>#VALUE!</v>
      </c>
      <c r="S159" t="e">
        <f>AND('UP133'!HD121,"AAAAAF/YHhI=")</f>
        <v>#VALUE!</v>
      </c>
      <c r="T159" t="e">
        <f>AND('UP133'!HE121,"AAAAAF/YHhM=")</f>
        <v>#VALUE!</v>
      </c>
      <c r="U159" t="e">
        <f>AND('UP133'!HF121,"AAAAAF/YHhQ=")</f>
        <v>#VALUE!</v>
      </c>
      <c r="V159" t="e">
        <f>AND('UP133'!HG121,"AAAAAF/YHhU=")</f>
        <v>#VALUE!</v>
      </c>
      <c r="W159" t="e">
        <f>AND('UP133'!HH121,"AAAAAF/YHhY=")</f>
        <v>#VALUE!</v>
      </c>
      <c r="X159" t="e">
        <f>AND('UP133'!HI121,"AAAAAF/YHhc=")</f>
        <v>#VALUE!</v>
      </c>
      <c r="Y159" t="e">
        <f>AND('UP133'!HJ121,"AAAAAF/YHhg=")</f>
        <v>#VALUE!</v>
      </c>
      <c r="Z159" t="e">
        <f>AND('UP133'!HK121,"AAAAAF/YHhk=")</f>
        <v>#VALUE!</v>
      </c>
      <c r="AA159" t="e">
        <f>AND('UP133'!HL121,"AAAAAF/YHho=")</f>
        <v>#VALUE!</v>
      </c>
      <c r="AB159" t="e">
        <f>AND('UP133'!HM121,"AAAAAF/YHhs=")</f>
        <v>#VALUE!</v>
      </c>
      <c r="AC159" t="e">
        <f>AND('UP133'!HN121,"AAAAAF/YHhw=")</f>
        <v>#VALUE!</v>
      </c>
      <c r="AD159" t="e">
        <f>AND('UP133'!HO121,"AAAAAF/YHh0=")</f>
        <v>#VALUE!</v>
      </c>
      <c r="AE159" t="e">
        <f>AND('UP133'!HP121,"AAAAAF/YHh4=")</f>
        <v>#VALUE!</v>
      </c>
      <c r="AF159" t="e">
        <f>AND('UP133'!HQ121,"AAAAAF/YHh8=")</f>
        <v>#VALUE!</v>
      </c>
      <c r="AG159" t="e">
        <f>AND('UP133'!HR121,"AAAAAF/YHiA=")</f>
        <v>#VALUE!</v>
      </c>
      <c r="AH159" t="e">
        <f>AND('UP133'!HS121,"AAAAAF/YHiE=")</f>
        <v>#VALUE!</v>
      </c>
      <c r="AI159" t="e">
        <f>AND('UP133'!HT121,"AAAAAF/YHiI=")</f>
        <v>#VALUE!</v>
      </c>
      <c r="AJ159" t="e">
        <f>AND('UP133'!HU121,"AAAAAF/YHiM=")</f>
        <v>#VALUE!</v>
      </c>
      <c r="AK159" t="e">
        <f>AND('UP133'!HV121,"AAAAAF/YHiQ=")</f>
        <v>#VALUE!</v>
      </c>
      <c r="AL159" t="e">
        <f>AND('UP133'!HW121,"AAAAAF/YHiU=")</f>
        <v>#VALUE!</v>
      </c>
      <c r="AM159" t="e">
        <f>AND('UP133'!HX121,"AAAAAF/YHiY=")</f>
        <v>#VALUE!</v>
      </c>
      <c r="AN159" t="e">
        <f>AND('UP133'!HY121,"AAAAAF/YHic=")</f>
        <v>#VALUE!</v>
      </c>
      <c r="AO159" t="e">
        <f>AND('UP133'!HZ121,"AAAAAF/YHig=")</f>
        <v>#VALUE!</v>
      </c>
      <c r="AP159" t="e">
        <f>AND('UP133'!IA121,"AAAAAF/YHik=")</f>
        <v>#VALUE!</v>
      </c>
      <c r="AQ159" t="e">
        <f>AND('UP133'!IB121,"AAAAAF/YHio=")</f>
        <v>#VALUE!</v>
      </c>
      <c r="AR159" t="e">
        <f>AND('UP133'!IC121,"AAAAAF/YHis=")</f>
        <v>#VALUE!</v>
      </c>
      <c r="AS159" t="e">
        <f>AND('UP133'!ID121,"AAAAAF/YHiw=")</f>
        <v>#VALUE!</v>
      </c>
      <c r="AT159" t="e">
        <f>AND('UP133'!IE121,"AAAAAF/YHi0=")</f>
        <v>#VALUE!</v>
      </c>
      <c r="AU159" t="e">
        <f>AND('UP133'!IF121,"AAAAAF/YHi4=")</f>
        <v>#VALUE!</v>
      </c>
      <c r="AV159" t="e">
        <f>AND('UP133'!IG121,"AAAAAF/YHi8=")</f>
        <v>#VALUE!</v>
      </c>
      <c r="AW159" t="e">
        <f>AND('UP133'!IH121,"AAAAAF/YHjA=")</f>
        <v>#VALUE!</v>
      </c>
      <c r="AX159" t="e">
        <f>AND('UP133'!II121,"AAAAAF/YHjE=")</f>
        <v>#VALUE!</v>
      </c>
      <c r="AY159" t="e">
        <f>AND('UP133'!IJ121,"AAAAAF/YHjI=")</f>
        <v>#VALUE!</v>
      </c>
      <c r="AZ159" t="e">
        <f>AND('UP133'!IK121,"AAAAAF/YHjM=")</f>
        <v>#VALUE!</v>
      </c>
      <c r="BA159" t="e">
        <f>AND('UP133'!IL121,"AAAAAF/YHjQ=")</f>
        <v>#VALUE!</v>
      </c>
      <c r="BB159" t="e">
        <f>AND('UP133'!IM121,"AAAAAF/YHjU=")</f>
        <v>#VALUE!</v>
      </c>
      <c r="BC159" t="e">
        <f>AND('UP133'!IN121,"AAAAAF/YHjY=")</f>
        <v>#VALUE!</v>
      </c>
      <c r="BD159" t="e">
        <f>AND('UP133'!IO121,"AAAAAF/YHjc=")</f>
        <v>#VALUE!</v>
      </c>
      <c r="BE159" t="e">
        <f>AND('UP133'!IP121,"AAAAAF/YHjg=")</f>
        <v>#VALUE!</v>
      </c>
      <c r="BF159" t="e">
        <f>AND('UP133'!IQ121,"AAAAAF/YHjk=")</f>
        <v>#VALUE!</v>
      </c>
      <c r="BG159">
        <f>IF('UP133'!122:122,"AAAAAF/YHjo=",0)</f>
        <v>0</v>
      </c>
      <c r="BH159" t="e">
        <f>AND('UP133'!A122,"AAAAAF/YHjs=")</f>
        <v>#VALUE!</v>
      </c>
      <c r="BI159" t="e">
        <f>AND('UP133'!B122,"AAAAAF/YHjw=")</f>
        <v>#VALUE!</v>
      </c>
      <c r="BJ159" t="e">
        <f>AND('UP133'!C122,"AAAAAF/YHj0=")</f>
        <v>#VALUE!</v>
      </c>
      <c r="BK159" t="e">
        <f>AND('UP133'!D122,"AAAAAF/YHj4=")</f>
        <v>#VALUE!</v>
      </c>
      <c r="BL159" t="e">
        <f>AND('UP133'!E122,"AAAAAF/YHj8=")</f>
        <v>#VALUE!</v>
      </c>
      <c r="BM159" t="e">
        <f>AND('UP133'!F122,"AAAAAF/YHkA=")</f>
        <v>#VALUE!</v>
      </c>
      <c r="BN159" t="e">
        <f>AND('UP133'!G122,"AAAAAF/YHkE=")</f>
        <v>#VALUE!</v>
      </c>
      <c r="BO159" t="e">
        <f>AND('UP133'!H122,"AAAAAF/YHkI=")</f>
        <v>#VALUE!</v>
      </c>
      <c r="BP159" t="e">
        <f>AND('UP133'!I122,"AAAAAF/YHkM=")</f>
        <v>#VALUE!</v>
      </c>
      <c r="BQ159" t="e">
        <f>AND('UP133'!J122,"AAAAAF/YHkQ=")</f>
        <v>#VALUE!</v>
      </c>
      <c r="BR159" t="e">
        <f>AND('UP133'!K122,"AAAAAF/YHkU=")</f>
        <v>#VALUE!</v>
      </c>
      <c r="BS159" t="e">
        <f>AND('UP133'!L122,"AAAAAF/YHkY=")</f>
        <v>#VALUE!</v>
      </c>
      <c r="BT159" t="e">
        <f>AND('UP133'!M122,"AAAAAF/YHkc=")</f>
        <v>#VALUE!</v>
      </c>
      <c r="BU159" t="e">
        <f>AND('UP133'!N122,"AAAAAF/YHkg=")</f>
        <v>#VALUE!</v>
      </c>
      <c r="BV159" t="e">
        <f>AND('UP133'!O122,"AAAAAF/YHkk=")</f>
        <v>#VALUE!</v>
      </c>
      <c r="BW159" t="e">
        <f>AND('UP133'!P122,"AAAAAF/YHko=")</f>
        <v>#VALUE!</v>
      </c>
      <c r="BX159" t="e">
        <f>AND('UP133'!Q122,"AAAAAF/YHks=")</f>
        <v>#VALUE!</v>
      </c>
      <c r="BY159" t="e">
        <f>AND('UP133'!R122,"AAAAAF/YHkw=")</f>
        <v>#VALUE!</v>
      </c>
      <c r="BZ159" t="e">
        <f>AND('UP133'!S122,"AAAAAF/YHk0=")</f>
        <v>#VALUE!</v>
      </c>
      <c r="CA159" t="e">
        <f>AND('UP133'!T122,"AAAAAF/YHk4=")</f>
        <v>#VALUE!</v>
      </c>
      <c r="CB159" t="e">
        <f>AND('UP133'!U122,"AAAAAF/YHk8=")</f>
        <v>#VALUE!</v>
      </c>
      <c r="CC159" t="e">
        <f>AND('UP133'!V122,"AAAAAF/YHlA=")</f>
        <v>#VALUE!</v>
      </c>
      <c r="CD159" t="e">
        <f>AND('UP133'!W122,"AAAAAF/YHlE=")</f>
        <v>#VALUE!</v>
      </c>
      <c r="CE159" t="e">
        <f>AND('UP133'!X122,"AAAAAF/YHlI=")</f>
        <v>#VALUE!</v>
      </c>
      <c r="CF159" t="e">
        <f>AND('UP133'!Y122,"AAAAAF/YHlM=")</f>
        <v>#VALUE!</v>
      </c>
      <c r="CG159" t="e">
        <f>AND('UP133'!Z122,"AAAAAF/YHlQ=")</f>
        <v>#VALUE!</v>
      </c>
      <c r="CH159" t="e">
        <f>AND('UP133'!AA122,"AAAAAF/YHlU=")</f>
        <v>#VALUE!</v>
      </c>
      <c r="CI159" t="e">
        <f>AND('UP133'!AB122,"AAAAAF/YHlY=")</f>
        <v>#VALUE!</v>
      </c>
      <c r="CJ159" t="e">
        <f>AND('UP133'!AC122,"AAAAAF/YHlc=")</f>
        <v>#VALUE!</v>
      </c>
      <c r="CK159" t="e">
        <f>AND('UP133'!AD122,"AAAAAF/YHlg=")</f>
        <v>#VALUE!</v>
      </c>
      <c r="CL159" t="e">
        <f>AND('UP133'!AE122,"AAAAAF/YHlk=")</f>
        <v>#VALUE!</v>
      </c>
      <c r="CM159" t="e">
        <f>AND('UP133'!AF122,"AAAAAF/YHlo=")</f>
        <v>#VALUE!</v>
      </c>
      <c r="CN159" t="e">
        <f>AND('UP133'!AG122,"AAAAAF/YHls=")</f>
        <v>#VALUE!</v>
      </c>
      <c r="CO159" t="e">
        <f>AND('UP133'!AH122,"AAAAAF/YHlw=")</f>
        <v>#VALUE!</v>
      </c>
      <c r="CP159" t="e">
        <f>AND('UP133'!AI122,"AAAAAF/YHl0=")</f>
        <v>#VALUE!</v>
      </c>
      <c r="CQ159" t="e">
        <f>AND('UP133'!AJ122,"AAAAAF/YHl4=")</f>
        <v>#VALUE!</v>
      </c>
      <c r="CR159" t="e">
        <f>AND('UP133'!AK122,"AAAAAF/YHl8=")</f>
        <v>#VALUE!</v>
      </c>
      <c r="CS159" t="e">
        <f>AND('UP133'!AL122,"AAAAAF/YHmA=")</f>
        <v>#VALUE!</v>
      </c>
      <c r="CT159" t="e">
        <f>AND('UP133'!AM122,"AAAAAF/YHmE=")</f>
        <v>#VALUE!</v>
      </c>
      <c r="CU159" t="e">
        <f>AND('UP133'!AN122,"AAAAAF/YHmI=")</f>
        <v>#VALUE!</v>
      </c>
      <c r="CV159" t="e">
        <f>AND('UP133'!AO122,"AAAAAF/YHmM=")</f>
        <v>#VALUE!</v>
      </c>
      <c r="CW159" t="e">
        <f>AND('UP133'!AP122,"AAAAAF/YHmQ=")</f>
        <v>#VALUE!</v>
      </c>
      <c r="CX159" t="e">
        <f>AND('UP133'!AQ122,"AAAAAF/YHmU=")</f>
        <v>#VALUE!</v>
      </c>
      <c r="CY159" t="e">
        <f>AND('UP133'!AR122,"AAAAAF/YHmY=")</f>
        <v>#VALUE!</v>
      </c>
      <c r="CZ159" t="e">
        <f>AND('UP133'!AS122,"AAAAAF/YHmc=")</f>
        <v>#VALUE!</v>
      </c>
      <c r="DA159" t="e">
        <f>AND('UP133'!AT122,"AAAAAF/YHmg=")</f>
        <v>#VALUE!</v>
      </c>
      <c r="DB159" t="e">
        <f>AND('UP133'!AU122,"AAAAAF/YHmk=")</f>
        <v>#VALUE!</v>
      </c>
      <c r="DC159" t="e">
        <f>AND('UP133'!AV122,"AAAAAF/YHmo=")</f>
        <v>#VALUE!</v>
      </c>
      <c r="DD159" t="e">
        <f>AND('UP133'!AW122,"AAAAAF/YHms=")</f>
        <v>#VALUE!</v>
      </c>
      <c r="DE159" t="e">
        <f>AND('UP133'!AX122,"AAAAAF/YHmw=")</f>
        <v>#VALUE!</v>
      </c>
      <c r="DF159" t="e">
        <f>AND('UP133'!AY122,"AAAAAF/YHm0=")</f>
        <v>#VALUE!</v>
      </c>
      <c r="DG159" t="e">
        <f>AND('UP133'!AZ122,"AAAAAF/YHm4=")</f>
        <v>#VALUE!</v>
      </c>
      <c r="DH159" t="e">
        <f>AND('UP133'!BA122,"AAAAAF/YHm8=")</f>
        <v>#VALUE!</v>
      </c>
      <c r="DI159" t="e">
        <f>AND('UP133'!BB122,"AAAAAF/YHnA=")</f>
        <v>#VALUE!</v>
      </c>
      <c r="DJ159" t="e">
        <f>AND('UP133'!BC122,"AAAAAF/YHnE=")</f>
        <v>#VALUE!</v>
      </c>
      <c r="DK159" t="e">
        <f>AND('UP133'!BD122,"AAAAAF/YHnI=")</f>
        <v>#VALUE!</v>
      </c>
      <c r="DL159" t="e">
        <f>AND('UP133'!BE122,"AAAAAF/YHnM=")</f>
        <v>#VALUE!</v>
      </c>
      <c r="DM159" t="e">
        <f>AND('UP133'!BF122,"AAAAAF/YHnQ=")</f>
        <v>#VALUE!</v>
      </c>
      <c r="DN159" t="e">
        <f>AND('UP133'!BG122,"AAAAAF/YHnU=")</f>
        <v>#VALUE!</v>
      </c>
      <c r="DO159" t="e">
        <f>AND('UP133'!BH122,"AAAAAF/YHnY=")</f>
        <v>#VALUE!</v>
      </c>
      <c r="DP159" t="e">
        <f>AND('UP133'!BI122,"AAAAAF/YHnc=")</f>
        <v>#VALUE!</v>
      </c>
      <c r="DQ159" t="e">
        <f>AND('UP133'!BJ122,"AAAAAF/YHng=")</f>
        <v>#VALUE!</v>
      </c>
      <c r="DR159" t="e">
        <f>AND('UP133'!BK122,"AAAAAF/YHnk=")</f>
        <v>#VALUE!</v>
      </c>
      <c r="DS159" t="e">
        <f>AND('UP133'!BL122,"AAAAAF/YHno=")</f>
        <v>#VALUE!</v>
      </c>
      <c r="DT159" t="e">
        <f>AND('UP133'!BM122,"AAAAAF/YHns=")</f>
        <v>#VALUE!</v>
      </c>
      <c r="DU159" t="e">
        <f>AND('UP133'!BN122,"AAAAAF/YHnw=")</f>
        <v>#VALUE!</v>
      </c>
      <c r="DV159" t="e">
        <f>AND('UP133'!BO122,"AAAAAF/YHn0=")</f>
        <v>#VALUE!</v>
      </c>
      <c r="DW159" t="e">
        <f>AND('UP133'!BP122,"AAAAAF/YHn4=")</f>
        <v>#VALUE!</v>
      </c>
      <c r="DX159" t="e">
        <f>AND('UP133'!BQ122,"AAAAAF/YHn8=")</f>
        <v>#VALUE!</v>
      </c>
      <c r="DY159" t="e">
        <f>AND('UP133'!BR122,"AAAAAF/YHoA=")</f>
        <v>#VALUE!</v>
      </c>
      <c r="DZ159" t="e">
        <f>AND('UP133'!BS122,"AAAAAF/YHoE=")</f>
        <v>#VALUE!</v>
      </c>
      <c r="EA159" t="e">
        <f>AND('UP133'!BT122,"AAAAAF/YHoI=")</f>
        <v>#VALUE!</v>
      </c>
      <c r="EB159" t="e">
        <f>AND('UP133'!BU122,"AAAAAF/YHoM=")</f>
        <v>#VALUE!</v>
      </c>
      <c r="EC159" t="e">
        <f>AND('UP133'!BV122,"AAAAAF/YHoQ=")</f>
        <v>#VALUE!</v>
      </c>
      <c r="ED159" t="e">
        <f>AND('UP133'!BW122,"AAAAAF/YHoU=")</f>
        <v>#VALUE!</v>
      </c>
      <c r="EE159" t="e">
        <f>AND('UP133'!BX122,"AAAAAF/YHoY=")</f>
        <v>#VALUE!</v>
      </c>
      <c r="EF159" t="e">
        <f>AND('UP133'!BY122,"AAAAAF/YHoc=")</f>
        <v>#VALUE!</v>
      </c>
      <c r="EG159" t="e">
        <f>AND('UP133'!BZ122,"AAAAAF/YHog=")</f>
        <v>#VALUE!</v>
      </c>
      <c r="EH159" t="e">
        <f>AND('UP133'!CA122,"AAAAAF/YHok=")</f>
        <v>#VALUE!</v>
      </c>
      <c r="EI159" t="e">
        <f>AND('UP133'!CB122,"AAAAAF/YHoo=")</f>
        <v>#VALUE!</v>
      </c>
      <c r="EJ159" t="e">
        <f>AND('UP133'!CC122,"AAAAAF/YHos=")</f>
        <v>#VALUE!</v>
      </c>
      <c r="EK159" t="e">
        <f>AND('UP133'!CD122,"AAAAAF/YHow=")</f>
        <v>#VALUE!</v>
      </c>
      <c r="EL159" t="e">
        <f>AND('UP133'!CE122,"AAAAAF/YHo0=")</f>
        <v>#VALUE!</v>
      </c>
      <c r="EM159" t="e">
        <f>AND('UP133'!CF122,"AAAAAF/YHo4=")</f>
        <v>#VALUE!</v>
      </c>
      <c r="EN159" t="e">
        <f>AND('UP133'!CG122,"AAAAAF/YHo8=")</f>
        <v>#VALUE!</v>
      </c>
      <c r="EO159" t="e">
        <f>AND('UP133'!CH122,"AAAAAF/YHpA=")</f>
        <v>#VALUE!</v>
      </c>
      <c r="EP159" t="e">
        <f>AND('UP133'!CI122,"AAAAAF/YHpE=")</f>
        <v>#VALUE!</v>
      </c>
      <c r="EQ159" t="e">
        <f>AND('UP133'!CJ122,"AAAAAF/YHpI=")</f>
        <v>#VALUE!</v>
      </c>
      <c r="ER159" t="e">
        <f>AND('UP133'!CK122,"AAAAAF/YHpM=")</f>
        <v>#VALUE!</v>
      </c>
      <c r="ES159" t="e">
        <f>AND('UP133'!CL122,"AAAAAF/YHpQ=")</f>
        <v>#VALUE!</v>
      </c>
      <c r="ET159" t="e">
        <f>AND('UP133'!CM122,"AAAAAF/YHpU=")</f>
        <v>#VALUE!</v>
      </c>
      <c r="EU159" t="e">
        <f>AND('UP133'!CN122,"AAAAAF/YHpY=")</f>
        <v>#VALUE!</v>
      </c>
      <c r="EV159" t="e">
        <f>AND('UP133'!CO122,"AAAAAF/YHpc=")</f>
        <v>#VALUE!</v>
      </c>
      <c r="EW159" t="e">
        <f>AND('UP133'!CP122,"AAAAAF/YHpg=")</f>
        <v>#VALUE!</v>
      </c>
      <c r="EX159" t="e">
        <f>AND('UP133'!CQ122,"AAAAAF/YHpk=")</f>
        <v>#VALUE!</v>
      </c>
      <c r="EY159" t="e">
        <f>AND('UP133'!CR122,"AAAAAF/YHpo=")</f>
        <v>#VALUE!</v>
      </c>
      <c r="EZ159" t="e">
        <f>AND('UP133'!CS122,"AAAAAF/YHps=")</f>
        <v>#VALUE!</v>
      </c>
      <c r="FA159" t="e">
        <f>AND('UP133'!CT122,"AAAAAF/YHpw=")</f>
        <v>#VALUE!</v>
      </c>
      <c r="FB159" t="e">
        <f>AND('UP133'!CU122,"AAAAAF/YHp0=")</f>
        <v>#VALUE!</v>
      </c>
      <c r="FC159" t="e">
        <f>AND('UP133'!CV122,"AAAAAF/YHp4=")</f>
        <v>#VALUE!</v>
      </c>
      <c r="FD159" t="e">
        <f>AND('UP133'!CW122,"AAAAAF/YHp8=")</f>
        <v>#VALUE!</v>
      </c>
      <c r="FE159" t="e">
        <f>AND('UP133'!CX122,"AAAAAF/YHqA=")</f>
        <v>#VALUE!</v>
      </c>
      <c r="FF159" t="e">
        <f>AND('UP133'!CY122,"AAAAAF/YHqE=")</f>
        <v>#VALUE!</v>
      </c>
      <c r="FG159" t="e">
        <f>AND('UP133'!CZ122,"AAAAAF/YHqI=")</f>
        <v>#VALUE!</v>
      </c>
      <c r="FH159" t="e">
        <f>AND('UP133'!DA122,"AAAAAF/YHqM=")</f>
        <v>#VALUE!</v>
      </c>
      <c r="FI159" t="e">
        <f>AND('UP133'!DB122,"AAAAAF/YHqQ=")</f>
        <v>#VALUE!</v>
      </c>
      <c r="FJ159" t="e">
        <f>AND('UP133'!DC122,"AAAAAF/YHqU=")</f>
        <v>#VALUE!</v>
      </c>
      <c r="FK159" t="e">
        <f>AND('UP133'!DD122,"AAAAAF/YHqY=")</f>
        <v>#VALUE!</v>
      </c>
      <c r="FL159" t="e">
        <f>AND('UP133'!DE122,"AAAAAF/YHqc=")</f>
        <v>#VALUE!</v>
      </c>
      <c r="FM159" t="e">
        <f>AND('UP133'!DF122,"AAAAAF/YHqg=")</f>
        <v>#VALUE!</v>
      </c>
      <c r="FN159" t="e">
        <f>AND('UP133'!DG122,"AAAAAF/YHqk=")</f>
        <v>#VALUE!</v>
      </c>
      <c r="FO159" t="e">
        <f>AND('UP133'!DH122,"AAAAAF/YHqo=")</f>
        <v>#VALUE!</v>
      </c>
      <c r="FP159" t="e">
        <f>AND('UP133'!DI122,"AAAAAF/YHqs=")</f>
        <v>#VALUE!</v>
      </c>
      <c r="FQ159" t="e">
        <f>AND('UP133'!DJ122,"AAAAAF/YHqw=")</f>
        <v>#VALUE!</v>
      </c>
      <c r="FR159" t="e">
        <f>AND('UP133'!DK122,"AAAAAF/YHq0=")</f>
        <v>#VALUE!</v>
      </c>
      <c r="FS159" t="e">
        <f>AND('UP133'!DL122,"AAAAAF/YHq4=")</f>
        <v>#VALUE!</v>
      </c>
      <c r="FT159" t="e">
        <f>AND('UP133'!DM122,"AAAAAF/YHq8=")</f>
        <v>#VALUE!</v>
      </c>
      <c r="FU159" t="e">
        <f>AND('UP133'!DN122,"AAAAAF/YHrA=")</f>
        <v>#VALUE!</v>
      </c>
      <c r="FV159" t="e">
        <f>AND('UP133'!DO122,"AAAAAF/YHrE=")</f>
        <v>#VALUE!</v>
      </c>
      <c r="FW159" t="e">
        <f>AND('UP133'!DP122,"AAAAAF/YHrI=")</f>
        <v>#VALUE!</v>
      </c>
      <c r="FX159" t="e">
        <f>AND('UP133'!DQ122,"AAAAAF/YHrM=")</f>
        <v>#VALUE!</v>
      </c>
      <c r="FY159" t="e">
        <f>AND('UP133'!DR122,"AAAAAF/YHrQ=")</f>
        <v>#VALUE!</v>
      </c>
      <c r="FZ159" t="e">
        <f>AND('UP133'!DS122,"AAAAAF/YHrU=")</f>
        <v>#VALUE!</v>
      </c>
      <c r="GA159" t="e">
        <f>AND('UP133'!DT122,"AAAAAF/YHrY=")</f>
        <v>#VALUE!</v>
      </c>
      <c r="GB159" t="e">
        <f>AND('UP133'!DU122,"AAAAAF/YHrc=")</f>
        <v>#VALUE!</v>
      </c>
      <c r="GC159" t="e">
        <f>AND('UP133'!DV122,"AAAAAF/YHrg=")</f>
        <v>#VALUE!</v>
      </c>
      <c r="GD159" t="e">
        <f>AND('UP133'!DW122,"AAAAAF/YHrk=")</f>
        <v>#VALUE!</v>
      </c>
      <c r="GE159" t="e">
        <f>AND('UP133'!DX122,"AAAAAF/YHro=")</f>
        <v>#VALUE!</v>
      </c>
      <c r="GF159" t="e">
        <f>AND('UP133'!DY122,"AAAAAF/YHrs=")</f>
        <v>#VALUE!</v>
      </c>
      <c r="GG159" t="e">
        <f>AND('UP133'!DZ122,"AAAAAF/YHrw=")</f>
        <v>#VALUE!</v>
      </c>
      <c r="GH159" t="e">
        <f>AND('UP133'!EA122,"AAAAAF/YHr0=")</f>
        <v>#VALUE!</v>
      </c>
      <c r="GI159" t="e">
        <f>AND('UP133'!EB122,"AAAAAF/YHr4=")</f>
        <v>#VALUE!</v>
      </c>
      <c r="GJ159" t="e">
        <f>AND('UP133'!EC122,"AAAAAF/YHr8=")</f>
        <v>#VALUE!</v>
      </c>
      <c r="GK159" t="e">
        <f>AND('UP133'!ED122,"AAAAAF/YHsA=")</f>
        <v>#VALUE!</v>
      </c>
      <c r="GL159" t="e">
        <f>AND('UP133'!EE122,"AAAAAF/YHsE=")</f>
        <v>#VALUE!</v>
      </c>
      <c r="GM159" t="e">
        <f>AND('UP133'!EF122,"AAAAAF/YHsI=")</f>
        <v>#VALUE!</v>
      </c>
      <c r="GN159" t="e">
        <f>AND('UP133'!EG122,"AAAAAF/YHsM=")</f>
        <v>#VALUE!</v>
      </c>
      <c r="GO159" t="e">
        <f>AND('UP133'!EH122,"AAAAAF/YHsQ=")</f>
        <v>#VALUE!</v>
      </c>
      <c r="GP159" t="e">
        <f>AND('UP133'!EI122,"AAAAAF/YHsU=")</f>
        <v>#VALUE!</v>
      </c>
      <c r="GQ159" t="e">
        <f>AND('UP133'!EJ122,"AAAAAF/YHsY=")</f>
        <v>#VALUE!</v>
      </c>
      <c r="GR159" t="e">
        <f>AND('UP133'!EK122,"AAAAAF/YHsc=")</f>
        <v>#VALUE!</v>
      </c>
      <c r="GS159" t="e">
        <f>AND('UP133'!EL122,"AAAAAF/YHsg=")</f>
        <v>#VALUE!</v>
      </c>
      <c r="GT159" t="e">
        <f>AND('UP133'!EM122,"AAAAAF/YHsk=")</f>
        <v>#VALUE!</v>
      </c>
      <c r="GU159" t="e">
        <f>AND('UP133'!EN122,"AAAAAF/YHso=")</f>
        <v>#VALUE!</v>
      </c>
      <c r="GV159" t="e">
        <f>AND('UP133'!EO122,"AAAAAF/YHss=")</f>
        <v>#VALUE!</v>
      </c>
      <c r="GW159" t="e">
        <f>AND('UP133'!EP122,"AAAAAF/YHsw=")</f>
        <v>#VALUE!</v>
      </c>
      <c r="GX159" t="e">
        <f>AND('UP133'!EQ122,"AAAAAF/YHs0=")</f>
        <v>#VALUE!</v>
      </c>
      <c r="GY159" t="e">
        <f>AND('UP133'!ER122,"AAAAAF/YHs4=")</f>
        <v>#VALUE!</v>
      </c>
      <c r="GZ159" t="e">
        <f>AND('UP133'!ES122,"AAAAAF/YHs8=")</f>
        <v>#VALUE!</v>
      </c>
      <c r="HA159" t="e">
        <f>AND('UP133'!ET122,"AAAAAF/YHtA=")</f>
        <v>#VALUE!</v>
      </c>
      <c r="HB159" t="e">
        <f>AND('UP133'!EU122,"AAAAAF/YHtE=")</f>
        <v>#VALUE!</v>
      </c>
      <c r="HC159" t="e">
        <f>AND('UP133'!EV122,"AAAAAF/YHtI=")</f>
        <v>#VALUE!</v>
      </c>
      <c r="HD159" t="e">
        <f>AND('UP133'!EW122,"AAAAAF/YHtM=")</f>
        <v>#VALUE!</v>
      </c>
      <c r="HE159" t="e">
        <f>AND('UP133'!EX122,"AAAAAF/YHtQ=")</f>
        <v>#VALUE!</v>
      </c>
      <c r="HF159" t="e">
        <f>AND('UP133'!EY122,"AAAAAF/YHtU=")</f>
        <v>#VALUE!</v>
      </c>
      <c r="HG159" t="e">
        <f>AND('UP133'!EZ122,"AAAAAF/YHtY=")</f>
        <v>#VALUE!</v>
      </c>
      <c r="HH159" t="e">
        <f>AND('UP133'!FA122,"AAAAAF/YHtc=")</f>
        <v>#VALUE!</v>
      </c>
      <c r="HI159" t="e">
        <f>AND('UP133'!FB122,"AAAAAF/YHtg=")</f>
        <v>#VALUE!</v>
      </c>
      <c r="HJ159" t="e">
        <f>AND('UP133'!FC122,"AAAAAF/YHtk=")</f>
        <v>#VALUE!</v>
      </c>
      <c r="HK159" t="e">
        <f>AND('UP133'!FD122,"AAAAAF/YHto=")</f>
        <v>#VALUE!</v>
      </c>
      <c r="HL159" t="e">
        <f>AND('UP133'!FE122,"AAAAAF/YHts=")</f>
        <v>#VALUE!</v>
      </c>
      <c r="HM159" t="e">
        <f>AND('UP133'!FF122,"AAAAAF/YHtw=")</f>
        <v>#VALUE!</v>
      </c>
      <c r="HN159" t="e">
        <f>AND('UP133'!FG122,"AAAAAF/YHt0=")</f>
        <v>#VALUE!</v>
      </c>
      <c r="HO159" t="e">
        <f>AND('UP133'!FH122,"AAAAAF/YHt4=")</f>
        <v>#VALUE!</v>
      </c>
      <c r="HP159" t="e">
        <f>AND('UP133'!FI122,"AAAAAF/YHt8=")</f>
        <v>#VALUE!</v>
      </c>
      <c r="HQ159" t="e">
        <f>AND('UP133'!FJ122,"AAAAAF/YHuA=")</f>
        <v>#VALUE!</v>
      </c>
      <c r="HR159" t="e">
        <f>AND('UP133'!FK122,"AAAAAF/YHuE=")</f>
        <v>#VALUE!</v>
      </c>
      <c r="HS159" t="e">
        <f>AND('UP133'!FL122,"AAAAAF/YHuI=")</f>
        <v>#VALUE!</v>
      </c>
      <c r="HT159" t="e">
        <f>AND('UP133'!FM122,"AAAAAF/YHuM=")</f>
        <v>#VALUE!</v>
      </c>
      <c r="HU159" t="e">
        <f>AND('UP133'!FN122,"AAAAAF/YHuQ=")</f>
        <v>#VALUE!</v>
      </c>
      <c r="HV159" t="e">
        <f>AND('UP133'!FO122,"AAAAAF/YHuU=")</f>
        <v>#VALUE!</v>
      </c>
      <c r="HW159" t="e">
        <f>AND('UP133'!FP122,"AAAAAF/YHuY=")</f>
        <v>#VALUE!</v>
      </c>
      <c r="HX159" t="e">
        <f>AND('UP133'!FQ122,"AAAAAF/YHuc=")</f>
        <v>#VALUE!</v>
      </c>
      <c r="HY159" t="e">
        <f>AND('UP133'!FR122,"AAAAAF/YHug=")</f>
        <v>#VALUE!</v>
      </c>
      <c r="HZ159" t="e">
        <f>AND('UP133'!FS122,"AAAAAF/YHuk=")</f>
        <v>#VALUE!</v>
      </c>
      <c r="IA159" t="e">
        <f>AND('UP133'!FT122,"AAAAAF/YHuo=")</f>
        <v>#VALUE!</v>
      </c>
      <c r="IB159" t="e">
        <f>AND('UP133'!FU122,"AAAAAF/YHus=")</f>
        <v>#VALUE!</v>
      </c>
      <c r="IC159" t="e">
        <f>AND('UP133'!FV122,"AAAAAF/YHuw=")</f>
        <v>#VALUE!</v>
      </c>
      <c r="ID159" t="e">
        <f>AND('UP133'!FW122,"AAAAAF/YHu0=")</f>
        <v>#VALUE!</v>
      </c>
      <c r="IE159" t="e">
        <f>AND('UP133'!FX122,"AAAAAF/YHu4=")</f>
        <v>#VALUE!</v>
      </c>
      <c r="IF159" t="e">
        <f>AND('UP133'!FY122,"AAAAAF/YHu8=")</f>
        <v>#VALUE!</v>
      </c>
      <c r="IG159" t="e">
        <f>AND('UP133'!FZ122,"AAAAAF/YHvA=")</f>
        <v>#VALUE!</v>
      </c>
      <c r="IH159" t="e">
        <f>AND('UP133'!GA122,"AAAAAF/YHvE=")</f>
        <v>#VALUE!</v>
      </c>
      <c r="II159" t="e">
        <f>AND('UP133'!GB122,"AAAAAF/YHvI=")</f>
        <v>#VALUE!</v>
      </c>
      <c r="IJ159" t="e">
        <f>AND('UP133'!GC122,"AAAAAF/YHvM=")</f>
        <v>#VALUE!</v>
      </c>
      <c r="IK159" t="e">
        <f>AND('UP133'!GD122,"AAAAAF/YHvQ=")</f>
        <v>#VALUE!</v>
      </c>
      <c r="IL159" t="e">
        <f>AND('UP133'!GE122,"AAAAAF/YHvU=")</f>
        <v>#VALUE!</v>
      </c>
      <c r="IM159" t="e">
        <f>AND('UP133'!GF122,"AAAAAF/YHvY=")</f>
        <v>#VALUE!</v>
      </c>
      <c r="IN159" t="e">
        <f>AND('UP133'!GG122,"AAAAAF/YHvc=")</f>
        <v>#VALUE!</v>
      </c>
      <c r="IO159" t="e">
        <f>AND('UP133'!GH122,"AAAAAF/YHvg=")</f>
        <v>#VALUE!</v>
      </c>
      <c r="IP159" t="e">
        <f>AND('UP133'!GI122,"AAAAAF/YHvk=")</f>
        <v>#VALUE!</v>
      </c>
      <c r="IQ159" t="e">
        <f>AND('UP133'!GJ122,"AAAAAF/YHvo=")</f>
        <v>#VALUE!</v>
      </c>
      <c r="IR159" t="e">
        <f>AND('UP133'!GK122,"AAAAAF/YHvs=")</f>
        <v>#VALUE!</v>
      </c>
      <c r="IS159" t="e">
        <f>AND('UP133'!GL122,"AAAAAF/YHvw=")</f>
        <v>#VALUE!</v>
      </c>
      <c r="IT159" t="e">
        <f>AND('UP133'!GM122,"AAAAAF/YHv0=")</f>
        <v>#VALUE!</v>
      </c>
      <c r="IU159" t="e">
        <f>AND('UP133'!GN122,"AAAAAF/YHv4=")</f>
        <v>#VALUE!</v>
      </c>
      <c r="IV159" t="e">
        <f>AND('UP133'!GO122,"AAAAAF/YHv8=")</f>
        <v>#VALUE!</v>
      </c>
    </row>
    <row r="160" spans="1:256">
      <c r="A160" t="e">
        <f>AND('UP133'!GP122,"AAAAAH/v/wA=")</f>
        <v>#VALUE!</v>
      </c>
      <c r="B160" t="e">
        <f>AND('UP133'!GQ122,"AAAAAH/v/wE=")</f>
        <v>#VALUE!</v>
      </c>
      <c r="C160" t="e">
        <f>AND('UP133'!GR122,"AAAAAH/v/wI=")</f>
        <v>#VALUE!</v>
      </c>
      <c r="D160" t="e">
        <f>AND('UP133'!GS122,"AAAAAH/v/wM=")</f>
        <v>#VALUE!</v>
      </c>
      <c r="E160" t="e">
        <f>AND('UP133'!GT122,"AAAAAH/v/wQ=")</f>
        <v>#VALUE!</v>
      </c>
      <c r="F160" t="e">
        <f>AND('UP133'!GU122,"AAAAAH/v/wU=")</f>
        <v>#VALUE!</v>
      </c>
      <c r="G160" t="e">
        <f>AND('UP133'!GV122,"AAAAAH/v/wY=")</f>
        <v>#VALUE!</v>
      </c>
      <c r="H160" t="e">
        <f>AND('UP133'!GW122,"AAAAAH/v/wc=")</f>
        <v>#VALUE!</v>
      </c>
      <c r="I160" t="e">
        <f>AND('UP133'!GX122,"AAAAAH/v/wg=")</f>
        <v>#VALUE!</v>
      </c>
      <c r="J160" t="e">
        <f>AND('UP133'!GY122,"AAAAAH/v/wk=")</f>
        <v>#VALUE!</v>
      </c>
      <c r="K160" t="e">
        <f>AND('UP133'!GZ122,"AAAAAH/v/wo=")</f>
        <v>#VALUE!</v>
      </c>
      <c r="L160" t="e">
        <f>AND('UP133'!HA122,"AAAAAH/v/ws=")</f>
        <v>#VALUE!</v>
      </c>
      <c r="M160" t="e">
        <f>AND('UP133'!HB122,"AAAAAH/v/ww=")</f>
        <v>#VALUE!</v>
      </c>
      <c r="N160" t="e">
        <f>AND('UP133'!HC122,"AAAAAH/v/w0=")</f>
        <v>#VALUE!</v>
      </c>
      <c r="O160" t="e">
        <f>AND('UP133'!HD122,"AAAAAH/v/w4=")</f>
        <v>#VALUE!</v>
      </c>
      <c r="P160" t="e">
        <f>AND('UP133'!HE122,"AAAAAH/v/w8=")</f>
        <v>#VALUE!</v>
      </c>
      <c r="Q160" t="e">
        <f>AND('UP133'!HF122,"AAAAAH/v/xA=")</f>
        <v>#VALUE!</v>
      </c>
      <c r="R160" t="e">
        <f>AND('UP133'!HG122,"AAAAAH/v/xE=")</f>
        <v>#VALUE!</v>
      </c>
      <c r="S160" t="e">
        <f>AND('UP133'!HH122,"AAAAAH/v/xI=")</f>
        <v>#VALUE!</v>
      </c>
      <c r="T160" t="e">
        <f>AND('UP133'!HI122,"AAAAAH/v/xM=")</f>
        <v>#VALUE!</v>
      </c>
      <c r="U160" t="e">
        <f>AND('UP133'!HJ122,"AAAAAH/v/xQ=")</f>
        <v>#VALUE!</v>
      </c>
      <c r="V160" t="e">
        <f>AND('UP133'!HK122,"AAAAAH/v/xU=")</f>
        <v>#VALUE!</v>
      </c>
      <c r="W160" t="e">
        <f>AND('UP133'!HL122,"AAAAAH/v/xY=")</f>
        <v>#VALUE!</v>
      </c>
      <c r="X160" t="e">
        <f>AND('UP133'!HM122,"AAAAAH/v/xc=")</f>
        <v>#VALUE!</v>
      </c>
      <c r="Y160" t="e">
        <f>AND('UP133'!HN122,"AAAAAH/v/xg=")</f>
        <v>#VALUE!</v>
      </c>
      <c r="Z160" t="e">
        <f>AND('UP133'!HO122,"AAAAAH/v/xk=")</f>
        <v>#VALUE!</v>
      </c>
      <c r="AA160" t="e">
        <f>AND('UP133'!HP122,"AAAAAH/v/xo=")</f>
        <v>#VALUE!</v>
      </c>
      <c r="AB160" t="e">
        <f>AND('UP133'!HQ122,"AAAAAH/v/xs=")</f>
        <v>#VALUE!</v>
      </c>
      <c r="AC160" t="e">
        <f>AND('UP133'!HR122,"AAAAAH/v/xw=")</f>
        <v>#VALUE!</v>
      </c>
      <c r="AD160" t="e">
        <f>AND('UP133'!HS122,"AAAAAH/v/x0=")</f>
        <v>#VALUE!</v>
      </c>
      <c r="AE160" t="e">
        <f>AND('UP133'!HT122,"AAAAAH/v/x4=")</f>
        <v>#VALUE!</v>
      </c>
      <c r="AF160" t="e">
        <f>AND('UP133'!HU122,"AAAAAH/v/x8=")</f>
        <v>#VALUE!</v>
      </c>
      <c r="AG160" t="e">
        <f>AND('UP133'!HV122,"AAAAAH/v/yA=")</f>
        <v>#VALUE!</v>
      </c>
      <c r="AH160" t="e">
        <f>AND('UP133'!HW122,"AAAAAH/v/yE=")</f>
        <v>#VALUE!</v>
      </c>
      <c r="AI160" t="e">
        <f>AND('UP133'!HX122,"AAAAAH/v/yI=")</f>
        <v>#VALUE!</v>
      </c>
      <c r="AJ160" t="e">
        <f>AND('UP133'!HY122,"AAAAAH/v/yM=")</f>
        <v>#VALUE!</v>
      </c>
      <c r="AK160" t="e">
        <f>AND('UP133'!HZ122,"AAAAAH/v/yQ=")</f>
        <v>#VALUE!</v>
      </c>
      <c r="AL160" t="e">
        <f>AND('UP133'!IA122,"AAAAAH/v/yU=")</f>
        <v>#VALUE!</v>
      </c>
      <c r="AM160" t="e">
        <f>AND('UP133'!IB122,"AAAAAH/v/yY=")</f>
        <v>#VALUE!</v>
      </c>
      <c r="AN160" t="e">
        <f>AND('UP133'!IC122,"AAAAAH/v/yc=")</f>
        <v>#VALUE!</v>
      </c>
      <c r="AO160" t="e">
        <f>AND('UP133'!ID122,"AAAAAH/v/yg=")</f>
        <v>#VALUE!</v>
      </c>
      <c r="AP160" t="e">
        <f>AND('UP133'!IE122,"AAAAAH/v/yk=")</f>
        <v>#VALUE!</v>
      </c>
      <c r="AQ160" t="e">
        <f>AND('UP133'!IF122,"AAAAAH/v/yo=")</f>
        <v>#VALUE!</v>
      </c>
      <c r="AR160" t="e">
        <f>AND('UP133'!IG122,"AAAAAH/v/ys=")</f>
        <v>#VALUE!</v>
      </c>
      <c r="AS160" t="e">
        <f>AND('UP133'!IH122,"AAAAAH/v/yw=")</f>
        <v>#VALUE!</v>
      </c>
      <c r="AT160" t="e">
        <f>AND('UP133'!II122,"AAAAAH/v/y0=")</f>
        <v>#VALUE!</v>
      </c>
      <c r="AU160" t="e">
        <f>AND('UP133'!IJ122,"AAAAAH/v/y4=")</f>
        <v>#VALUE!</v>
      </c>
      <c r="AV160" t="e">
        <f>AND('UP133'!IK122,"AAAAAH/v/y8=")</f>
        <v>#VALUE!</v>
      </c>
      <c r="AW160" t="e">
        <f>AND('UP133'!IL122,"AAAAAH/v/zA=")</f>
        <v>#VALUE!</v>
      </c>
      <c r="AX160" t="e">
        <f>AND('UP133'!IM122,"AAAAAH/v/zE=")</f>
        <v>#VALUE!</v>
      </c>
      <c r="AY160" t="e">
        <f>AND('UP133'!IN122,"AAAAAH/v/zI=")</f>
        <v>#VALUE!</v>
      </c>
      <c r="AZ160" t="e">
        <f>AND('UP133'!IO122,"AAAAAH/v/zM=")</f>
        <v>#VALUE!</v>
      </c>
      <c r="BA160" t="e">
        <f>AND('UP133'!IP122,"AAAAAH/v/zQ=")</f>
        <v>#VALUE!</v>
      </c>
      <c r="BB160" t="e">
        <f>AND('UP133'!IQ122,"AAAAAH/v/zU=")</f>
        <v>#VALUE!</v>
      </c>
      <c r="BC160">
        <f>IF('UP133'!123:123,"AAAAAH/v/zY=",0)</f>
        <v>0</v>
      </c>
      <c r="BD160" t="e">
        <f>AND('UP133'!A123,"AAAAAH/v/zc=")</f>
        <v>#VALUE!</v>
      </c>
      <c r="BE160" t="e">
        <f>AND('UP133'!B123,"AAAAAH/v/zg=")</f>
        <v>#VALUE!</v>
      </c>
      <c r="BF160" t="e">
        <f>AND('UP133'!C123,"AAAAAH/v/zk=")</f>
        <v>#VALUE!</v>
      </c>
      <c r="BG160" t="e">
        <f>AND('UP133'!D123,"AAAAAH/v/zo=")</f>
        <v>#VALUE!</v>
      </c>
      <c r="BH160" t="e">
        <f>AND('UP133'!E123,"AAAAAH/v/zs=")</f>
        <v>#VALUE!</v>
      </c>
      <c r="BI160" t="e">
        <f>AND('UP133'!F123,"AAAAAH/v/zw=")</f>
        <v>#VALUE!</v>
      </c>
      <c r="BJ160" t="e">
        <f>AND('UP133'!G123,"AAAAAH/v/z0=")</f>
        <v>#VALUE!</v>
      </c>
      <c r="BK160" t="e">
        <f>AND('UP133'!H123,"AAAAAH/v/z4=")</f>
        <v>#VALUE!</v>
      </c>
      <c r="BL160" t="e">
        <f>AND('UP133'!I123,"AAAAAH/v/z8=")</f>
        <v>#VALUE!</v>
      </c>
      <c r="BM160" t="e">
        <f>AND('UP133'!J123,"AAAAAH/v/0A=")</f>
        <v>#VALUE!</v>
      </c>
      <c r="BN160" t="e">
        <f>AND('UP133'!K123,"AAAAAH/v/0E=")</f>
        <v>#VALUE!</v>
      </c>
      <c r="BO160" t="e">
        <f>AND('UP133'!L123,"AAAAAH/v/0I=")</f>
        <v>#VALUE!</v>
      </c>
      <c r="BP160" t="e">
        <f>AND('UP133'!M123,"AAAAAH/v/0M=")</f>
        <v>#VALUE!</v>
      </c>
      <c r="BQ160" t="e">
        <f>AND('UP133'!N123,"AAAAAH/v/0Q=")</f>
        <v>#VALUE!</v>
      </c>
      <c r="BR160" t="e">
        <f>AND('UP133'!O123,"AAAAAH/v/0U=")</f>
        <v>#VALUE!</v>
      </c>
      <c r="BS160" t="e">
        <f>AND('UP133'!P123,"AAAAAH/v/0Y=")</f>
        <v>#VALUE!</v>
      </c>
      <c r="BT160" t="e">
        <f>AND('UP133'!Q123,"AAAAAH/v/0c=")</f>
        <v>#VALUE!</v>
      </c>
      <c r="BU160" t="e">
        <f>AND('UP133'!R123,"AAAAAH/v/0g=")</f>
        <v>#VALUE!</v>
      </c>
      <c r="BV160" t="e">
        <f>AND('UP133'!S123,"AAAAAH/v/0k=")</f>
        <v>#VALUE!</v>
      </c>
      <c r="BW160" t="e">
        <f>AND('UP133'!T123,"AAAAAH/v/0o=")</f>
        <v>#VALUE!</v>
      </c>
      <c r="BX160" t="e">
        <f>AND('UP133'!U123,"AAAAAH/v/0s=")</f>
        <v>#VALUE!</v>
      </c>
      <c r="BY160" t="e">
        <f>AND('UP133'!V123,"AAAAAH/v/0w=")</f>
        <v>#VALUE!</v>
      </c>
      <c r="BZ160" t="e">
        <f>AND('UP133'!W123,"AAAAAH/v/00=")</f>
        <v>#VALUE!</v>
      </c>
      <c r="CA160" t="e">
        <f>AND('UP133'!X123,"AAAAAH/v/04=")</f>
        <v>#VALUE!</v>
      </c>
      <c r="CB160" t="e">
        <f>AND('UP133'!Y123,"AAAAAH/v/08=")</f>
        <v>#VALUE!</v>
      </c>
      <c r="CC160" t="e">
        <f>AND('UP133'!Z123,"AAAAAH/v/1A=")</f>
        <v>#VALUE!</v>
      </c>
      <c r="CD160" t="e">
        <f>AND('UP133'!AA123,"AAAAAH/v/1E=")</f>
        <v>#VALUE!</v>
      </c>
      <c r="CE160" t="e">
        <f>AND('UP133'!AB123,"AAAAAH/v/1I=")</f>
        <v>#VALUE!</v>
      </c>
      <c r="CF160" t="e">
        <f>AND('UP133'!AC123,"AAAAAH/v/1M=")</f>
        <v>#VALUE!</v>
      </c>
      <c r="CG160" t="e">
        <f>AND('UP133'!AD123,"AAAAAH/v/1Q=")</f>
        <v>#VALUE!</v>
      </c>
      <c r="CH160" t="e">
        <f>AND('UP133'!AE123,"AAAAAH/v/1U=")</f>
        <v>#VALUE!</v>
      </c>
      <c r="CI160" t="e">
        <f>AND('UP133'!AF123,"AAAAAH/v/1Y=")</f>
        <v>#VALUE!</v>
      </c>
      <c r="CJ160" t="e">
        <f>AND('UP133'!AG123,"AAAAAH/v/1c=")</f>
        <v>#VALUE!</v>
      </c>
      <c r="CK160" t="e">
        <f>AND('UP133'!AH123,"AAAAAH/v/1g=")</f>
        <v>#VALUE!</v>
      </c>
      <c r="CL160" t="e">
        <f>AND('UP133'!AI123,"AAAAAH/v/1k=")</f>
        <v>#VALUE!</v>
      </c>
      <c r="CM160" t="e">
        <f>AND('UP133'!AJ123,"AAAAAH/v/1o=")</f>
        <v>#VALUE!</v>
      </c>
      <c r="CN160" t="e">
        <f>AND('UP133'!AK123,"AAAAAH/v/1s=")</f>
        <v>#VALUE!</v>
      </c>
      <c r="CO160" t="e">
        <f>AND('UP133'!AL123,"AAAAAH/v/1w=")</f>
        <v>#VALUE!</v>
      </c>
      <c r="CP160" t="e">
        <f>AND('UP133'!AM123,"AAAAAH/v/10=")</f>
        <v>#VALUE!</v>
      </c>
      <c r="CQ160" t="e">
        <f>AND('UP133'!AN123,"AAAAAH/v/14=")</f>
        <v>#VALUE!</v>
      </c>
      <c r="CR160" t="e">
        <f>AND('UP133'!AO123,"AAAAAH/v/18=")</f>
        <v>#VALUE!</v>
      </c>
      <c r="CS160" t="e">
        <f>AND('UP133'!AP123,"AAAAAH/v/2A=")</f>
        <v>#VALUE!</v>
      </c>
      <c r="CT160" t="e">
        <f>AND('UP133'!AQ123,"AAAAAH/v/2E=")</f>
        <v>#VALUE!</v>
      </c>
      <c r="CU160" t="e">
        <f>AND('UP133'!AR123,"AAAAAH/v/2I=")</f>
        <v>#VALUE!</v>
      </c>
      <c r="CV160" t="e">
        <f>AND('UP133'!AS123,"AAAAAH/v/2M=")</f>
        <v>#VALUE!</v>
      </c>
      <c r="CW160" t="e">
        <f>AND('UP133'!AT123,"AAAAAH/v/2Q=")</f>
        <v>#VALUE!</v>
      </c>
      <c r="CX160" t="e">
        <f>AND('UP133'!AU123,"AAAAAH/v/2U=")</f>
        <v>#VALUE!</v>
      </c>
      <c r="CY160" t="e">
        <f>AND('UP133'!AV123,"AAAAAH/v/2Y=")</f>
        <v>#VALUE!</v>
      </c>
      <c r="CZ160" t="e">
        <f>AND('UP133'!AW123,"AAAAAH/v/2c=")</f>
        <v>#VALUE!</v>
      </c>
      <c r="DA160" t="e">
        <f>AND('UP133'!AX123,"AAAAAH/v/2g=")</f>
        <v>#VALUE!</v>
      </c>
      <c r="DB160" t="e">
        <f>AND('UP133'!AY123,"AAAAAH/v/2k=")</f>
        <v>#VALUE!</v>
      </c>
      <c r="DC160" t="e">
        <f>AND('UP133'!AZ123,"AAAAAH/v/2o=")</f>
        <v>#VALUE!</v>
      </c>
      <c r="DD160" t="e">
        <f>AND('UP133'!BA123,"AAAAAH/v/2s=")</f>
        <v>#VALUE!</v>
      </c>
      <c r="DE160" t="e">
        <f>AND('UP133'!BB123,"AAAAAH/v/2w=")</f>
        <v>#VALUE!</v>
      </c>
      <c r="DF160" t="e">
        <f>AND('UP133'!BC123,"AAAAAH/v/20=")</f>
        <v>#VALUE!</v>
      </c>
      <c r="DG160" t="e">
        <f>AND('UP133'!BD123,"AAAAAH/v/24=")</f>
        <v>#VALUE!</v>
      </c>
      <c r="DH160" t="e">
        <f>AND('UP133'!BE123,"AAAAAH/v/28=")</f>
        <v>#VALUE!</v>
      </c>
      <c r="DI160" t="e">
        <f>AND('UP133'!BF123,"AAAAAH/v/3A=")</f>
        <v>#VALUE!</v>
      </c>
      <c r="DJ160" t="e">
        <f>AND('UP133'!BG123,"AAAAAH/v/3E=")</f>
        <v>#VALUE!</v>
      </c>
      <c r="DK160" t="e">
        <f>AND('UP133'!BH123,"AAAAAH/v/3I=")</f>
        <v>#VALUE!</v>
      </c>
      <c r="DL160" t="e">
        <f>AND('UP133'!BI123,"AAAAAH/v/3M=")</f>
        <v>#VALUE!</v>
      </c>
      <c r="DM160" t="e">
        <f>AND('UP133'!BJ123,"AAAAAH/v/3Q=")</f>
        <v>#VALUE!</v>
      </c>
      <c r="DN160" t="e">
        <f>AND('UP133'!BK123,"AAAAAH/v/3U=")</f>
        <v>#VALUE!</v>
      </c>
      <c r="DO160" t="e">
        <f>AND('UP133'!BL123,"AAAAAH/v/3Y=")</f>
        <v>#VALUE!</v>
      </c>
      <c r="DP160" t="e">
        <f>AND('UP133'!BM123,"AAAAAH/v/3c=")</f>
        <v>#VALUE!</v>
      </c>
      <c r="DQ160" t="e">
        <f>AND('UP133'!BN123,"AAAAAH/v/3g=")</f>
        <v>#VALUE!</v>
      </c>
      <c r="DR160" t="e">
        <f>AND('UP133'!BO123,"AAAAAH/v/3k=")</f>
        <v>#VALUE!</v>
      </c>
      <c r="DS160" t="e">
        <f>AND('UP133'!BP123,"AAAAAH/v/3o=")</f>
        <v>#VALUE!</v>
      </c>
      <c r="DT160" t="e">
        <f>AND('UP133'!BQ123,"AAAAAH/v/3s=")</f>
        <v>#VALUE!</v>
      </c>
      <c r="DU160" t="e">
        <f>AND('UP133'!BR123,"AAAAAH/v/3w=")</f>
        <v>#VALUE!</v>
      </c>
      <c r="DV160" t="e">
        <f>AND('UP133'!BS123,"AAAAAH/v/30=")</f>
        <v>#VALUE!</v>
      </c>
      <c r="DW160" t="e">
        <f>AND('UP133'!BT123,"AAAAAH/v/34=")</f>
        <v>#VALUE!</v>
      </c>
      <c r="DX160" t="e">
        <f>AND('UP133'!BU123,"AAAAAH/v/38=")</f>
        <v>#VALUE!</v>
      </c>
      <c r="DY160" t="e">
        <f>AND('UP133'!BV123,"AAAAAH/v/4A=")</f>
        <v>#VALUE!</v>
      </c>
      <c r="DZ160" t="e">
        <f>AND('UP133'!BW123,"AAAAAH/v/4E=")</f>
        <v>#VALUE!</v>
      </c>
      <c r="EA160" t="e">
        <f>AND('UP133'!BX123,"AAAAAH/v/4I=")</f>
        <v>#VALUE!</v>
      </c>
      <c r="EB160" t="e">
        <f>AND('UP133'!BY123,"AAAAAH/v/4M=")</f>
        <v>#VALUE!</v>
      </c>
      <c r="EC160" t="e">
        <f>AND('UP133'!BZ123,"AAAAAH/v/4Q=")</f>
        <v>#VALUE!</v>
      </c>
      <c r="ED160" t="e">
        <f>AND('UP133'!CA123,"AAAAAH/v/4U=")</f>
        <v>#VALUE!</v>
      </c>
      <c r="EE160" t="e">
        <f>AND('UP133'!CB123,"AAAAAH/v/4Y=")</f>
        <v>#VALUE!</v>
      </c>
      <c r="EF160" t="e">
        <f>AND('UP133'!CC123,"AAAAAH/v/4c=")</f>
        <v>#VALUE!</v>
      </c>
      <c r="EG160" t="e">
        <f>AND('UP133'!CD123,"AAAAAH/v/4g=")</f>
        <v>#VALUE!</v>
      </c>
      <c r="EH160" t="e">
        <f>AND('UP133'!CE123,"AAAAAH/v/4k=")</f>
        <v>#VALUE!</v>
      </c>
      <c r="EI160" t="e">
        <f>AND('UP133'!CF123,"AAAAAH/v/4o=")</f>
        <v>#VALUE!</v>
      </c>
      <c r="EJ160" t="e">
        <f>AND('UP133'!CG123,"AAAAAH/v/4s=")</f>
        <v>#VALUE!</v>
      </c>
      <c r="EK160" t="e">
        <f>AND('UP133'!CH123,"AAAAAH/v/4w=")</f>
        <v>#VALUE!</v>
      </c>
      <c r="EL160" t="e">
        <f>AND('UP133'!CI123,"AAAAAH/v/40=")</f>
        <v>#VALUE!</v>
      </c>
      <c r="EM160" t="e">
        <f>AND('UP133'!CJ123,"AAAAAH/v/44=")</f>
        <v>#VALUE!</v>
      </c>
      <c r="EN160" t="e">
        <f>AND('UP133'!CK123,"AAAAAH/v/48=")</f>
        <v>#VALUE!</v>
      </c>
      <c r="EO160" t="e">
        <f>AND('UP133'!CL123,"AAAAAH/v/5A=")</f>
        <v>#VALUE!</v>
      </c>
      <c r="EP160" t="e">
        <f>AND('UP133'!CM123,"AAAAAH/v/5E=")</f>
        <v>#VALUE!</v>
      </c>
      <c r="EQ160" t="e">
        <f>AND('UP133'!CN123,"AAAAAH/v/5I=")</f>
        <v>#VALUE!</v>
      </c>
      <c r="ER160" t="e">
        <f>AND('UP133'!CO123,"AAAAAH/v/5M=")</f>
        <v>#VALUE!</v>
      </c>
      <c r="ES160" t="e">
        <f>AND('UP133'!CP123,"AAAAAH/v/5Q=")</f>
        <v>#VALUE!</v>
      </c>
      <c r="ET160" t="e">
        <f>AND('UP133'!CQ123,"AAAAAH/v/5U=")</f>
        <v>#VALUE!</v>
      </c>
      <c r="EU160" t="e">
        <f>AND('UP133'!CR123,"AAAAAH/v/5Y=")</f>
        <v>#VALUE!</v>
      </c>
      <c r="EV160" t="e">
        <f>AND('UP133'!CS123,"AAAAAH/v/5c=")</f>
        <v>#VALUE!</v>
      </c>
      <c r="EW160" t="e">
        <f>AND('UP133'!CT123,"AAAAAH/v/5g=")</f>
        <v>#VALUE!</v>
      </c>
      <c r="EX160" t="e">
        <f>AND('UP133'!CU123,"AAAAAH/v/5k=")</f>
        <v>#VALUE!</v>
      </c>
      <c r="EY160" t="e">
        <f>AND('UP133'!CV123,"AAAAAH/v/5o=")</f>
        <v>#VALUE!</v>
      </c>
      <c r="EZ160" t="e">
        <f>AND('UP133'!CW123,"AAAAAH/v/5s=")</f>
        <v>#VALUE!</v>
      </c>
      <c r="FA160" t="e">
        <f>AND('UP133'!CX123,"AAAAAH/v/5w=")</f>
        <v>#VALUE!</v>
      </c>
      <c r="FB160" t="e">
        <f>AND('UP133'!CY123,"AAAAAH/v/50=")</f>
        <v>#VALUE!</v>
      </c>
      <c r="FC160" t="e">
        <f>AND('UP133'!CZ123,"AAAAAH/v/54=")</f>
        <v>#VALUE!</v>
      </c>
      <c r="FD160" t="e">
        <f>AND('UP133'!DA123,"AAAAAH/v/58=")</f>
        <v>#VALUE!</v>
      </c>
      <c r="FE160" t="e">
        <f>AND('UP133'!DB123,"AAAAAH/v/6A=")</f>
        <v>#VALUE!</v>
      </c>
      <c r="FF160" t="e">
        <f>AND('UP133'!DC123,"AAAAAH/v/6E=")</f>
        <v>#VALUE!</v>
      </c>
      <c r="FG160" t="e">
        <f>AND('UP133'!DD123,"AAAAAH/v/6I=")</f>
        <v>#VALUE!</v>
      </c>
      <c r="FH160" t="e">
        <f>AND('UP133'!DE123,"AAAAAH/v/6M=")</f>
        <v>#VALUE!</v>
      </c>
      <c r="FI160" t="e">
        <f>AND('UP133'!DF123,"AAAAAH/v/6Q=")</f>
        <v>#VALUE!</v>
      </c>
      <c r="FJ160" t="e">
        <f>AND('UP133'!DG123,"AAAAAH/v/6U=")</f>
        <v>#VALUE!</v>
      </c>
      <c r="FK160" t="e">
        <f>AND('UP133'!DH123,"AAAAAH/v/6Y=")</f>
        <v>#VALUE!</v>
      </c>
      <c r="FL160" t="e">
        <f>AND('UP133'!DI123,"AAAAAH/v/6c=")</f>
        <v>#VALUE!</v>
      </c>
      <c r="FM160" t="e">
        <f>AND('UP133'!DJ123,"AAAAAH/v/6g=")</f>
        <v>#VALUE!</v>
      </c>
      <c r="FN160" t="e">
        <f>AND('UP133'!DK123,"AAAAAH/v/6k=")</f>
        <v>#VALUE!</v>
      </c>
      <c r="FO160" t="e">
        <f>AND('UP133'!DL123,"AAAAAH/v/6o=")</f>
        <v>#VALUE!</v>
      </c>
      <c r="FP160" t="e">
        <f>AND('UP133'!DM123,"AAAAAH/v/6s=")</f>
        <v>#VALUE!</v>
      </c>
      <c r="FQ160" t="e">
        <f>AND('UP133'!DN123,"AAAAAH/v/6w=")</f>
        <v>#VALUE!</v>
      </c>
      <c r="FR160" t="e">
        <f>AND('UP133'!DO123,"AAAAAH/v/60=")</f>
        <v>#VALUE!</v>
      </c>
      <c r="FS160" t="e">
        <f>AND('UP133'!DP123,"AAAAAH/v/64=")</f>
        <v>#VALUE!</v>
      </c>
      <c r="FT160" t="e">
        <f>AND('UP133'!DQ123,"AAAAAH/v/68=")</f>
        <v>#VALUE!</v>
      </c>
      <c r="FU160" t="e">
        <f>AND('UP133'!DR123,"AAAAAH/v/7A=")</f>
        <v>#VALUE!</v>
      </c>
      <c r="FV160" t="e">
        <f>AND('UP133'!DS123,"AAAAAH/v/7E=")</f>
        <v>#VALUE!</v>
      </c>
      <c r="FW160" t="e">
        <f>AND('UP133'!DT123,"AAAAAH/v/7I=")</f>
        <v>#VALUE!</v>
      </c>
      <c r="FX160" t="e">
        <f>AND('UP133'!DU123,"AAAAAH/v/7M=")</f>
        <v>#VALUE!</v>
      </c>
      <c r="FY160" t="e">
        <f>AND('UP133'!DV123,"AAAAAH/v/7Q=")</f>
        <v>#VALUE!</v>
      </c>
      <c r="FZ160" t="e">
        <f>AND('UP133'!DW123,"AAAAAH/v/7U=")</f>
        <v>#VALUE!</v>
      </c>
      <c r="GA160" t="e">
        <f>AND('UP133'!DX123,"AAAAAH/v/7Y=")</f>
        <v>#VALUE!</v>
      </c>
      <c r="GB160" t="e">
        <f>AND('UP133'!DY123,"AAAAAH/v/7c=")</f>
        <v>#VALUE!</v>
      </c>
      <c r="GC160" t="e">
        <f>AND('UP133'!DZ123,"AAAAAH/v/7g=")</f>
        <v>#VALUE!</v>
      </c>
      <c r="GD160" t="e">
        <f>AND('UP133'!EA123,"AAAAAH/v/7k=")</f>
        <v>#VALUE!</v>
      </c>
      <c r="GE160" t="e">
        <f>AND('UP133'!EB123,"AAAAAH/v/7o=")</f>
        <v>#VALUE!</v>
      </c>
      <c r="GF160" t="e">
        <f>AND('UP133'!EC123,"AAAAAH/v/7s=")</f>
        <v>#VALUE!</v>
      </c>
      <c r="GG160" t="e">
        <f>AND('UP133'!ED123,"AAAAAH/v/7w=")</f>
        <v>#VALUE!</v>
      </c>
      <c r="GH160" t="e">
        <f>AND('UP133'!EE123,"AAAAAH/v/70=")</f>
        <v>#VALUE!</v>
      </c>
      <c r="GI160" t="e">
        <f>AND('UP133'!EF123,"AAAAAH/v/74=")</f>
        <v>#VALUE!</v>
      </c>
      <c r="GJ160" t="e">
        <f>AND('UP133'!EG123,"AAAAAH/v/78=")</f>
        <v>#VALUE!</v>
      </c>
      <c r="GK160" t="e">
        <f>AND('UP133'!EH123,"AAAAAH/v/8A=")</f>
        <v>#VALUE!</v>
      </c>
      <c r="GL160" t="e">
        <f>AND('UP133'!EI123,"AAAAAH/v/8E=")</f>
        <v>#VALUE!</v>
      </c>
      <c r="GM160" t="e">
        <f>AND('UP133'!EJ123,"AAAAAH/v/8I=")</f>
        <v>#VALUE!</v>
      </c>
      <c r="GN160" t="e">
        <f>AND('UP133'!EK123,"AAAAAH/v/8M=")</f>
        <v>#VALUE!</v>
      </c>
      <c r="GO160" t="e">
        <f>AND('UP133'!EL123,"AAAAAH/v/8Q=")</f>
        <v>#VALUE!</v>
      </c>
      <c r="GP160" t="e">
        <f>AND('UP133'!EM123,"AAAAAH/v/8U=")</f>
        <v>#VALUE!</v>
      </c>
      <c r="GQ160" t="e">
        <f>AND('UP133'!EN123,"AAAAAH/v/8Y=")</f>
        <v>#VALUE!</v>
      </c>
      <c r="GR160" t="e">
        <f>AND('UP133'!EO123,"AAAAAH/v/8c=")</f>
        <v>#VALUE!</v>
      </c>
      <c r="GS160" t="e">
        <f>AND('UP133'!EP123,"AAAAAH/v/8g=")</f>
        <v>#VALUE!</v>
      </c>
      <c r="GT160" t="e">
        <f>AND('UP133'!EQ123,"AAAAAH/v/8k=")</f>
        <v>#VALUE!</v>
      </c>
      <c r="GU160" t="e">
        <f>AND('UP133'!ER123,"AAAAAH/v/8o=")</f>
        <v>#VALUE!</v>
      </c>
      <c r="GV160" t="e">
        <f>AND('UP133'!ES123,"AAAAAH/v/8s=")</f>
        <v>#VALUE!</v>
      </c>
      <c r="GW160" t="e">
        <f>AND('UP133'!ET123,"AAAAAH/v/8w=")</f>
        <v>#VALUE!</v>
      </c>
      <c r="GX160" t="e">
        <f>AND('UP133'!EU123,"AAAAAH/v/80=")</f>
        <v>#VALUE!</v>
      </c>
      <c r="GY160" t="e">
        <f>AND('UP133'!EV123,"AAAAAH/v/84=")</f>
        <v>#VALUE!</v>
      </c>
      <c r="GZ160" t="e">
        <f>AND('UP133'!EW123,"AAAAAH/v/88=")</f>
        <v>#VALUE!</v>
      </c>
      <c r="HA160" t="e">
        <f>AND('UP133'!EX123,"AAAAAH/v/9A=")</f>
        <v>#VALUE!</v>
      </c>
      <c r="HB160" t="e">
        <f>AND('UP133'!EY123,"AAAAAH/v/9E=")</f>
        <v>#VALUE!</v>
      </c>
      <c r="HC160" t="e">
        <f>AND('UP133'!EZ123,"AAAAAH/v/9I=")</f>
        <v>#VALUE!</v>
      </c>
      <c r="HD160" t="e">
        <f>AND('UP133'!FA123,"AAAAAH/v/9M=")</f>
        <v>#VALUE!</v>
      </c>
      <c r="HE160" t="e">
        <f>AND('UP133'!FB123,"AAAAAH/v/9Q=")</f>
        <v>#VALUE!</v>
      </c>
      <c r="HF160" t="e">
        <f>AND('UP133'!FC123,"AAAAAH/v/9U=")</f>
        <v>#VALUE!</v>
      </c>
      <c r="HG160" t="e">
        <f>AND('UP133'!FD123,"AAAAAH/v/9Y=")</f>
        <v>#VALUE!</v>
      </c>
      <c r="HH160" t="e">
        <f>AND('UP133'!FE123,"AAAAAH/v/9c=")</f>
        <v>#VALUE!</v>
      </c>
      <c r="HI160" t="e">
        <f>AND('UP133'!FF123,"AAAAAH/v/9g=")</f>
        <v>#VALUE!</v>
      </c>
      <c r="HJ160" t="e">
        <f>AND('UP133'!FG123,"AAAAAH/v/9k=")</f>
        <v>#VALUE!</v>
      </c>
      <c r="HK160" t="e">
        <f>AND('UP133'!FH123,"AAAAAH/v/9o=")</f>
        <v>#VALUE!</v>
      </c>
      <c r="HL160" t="e">
        <f>AND('UP133'!FI123,"AAAAAH/v/9s=")</f>
        <v>#VALUE!</v>
      </c>
      <c r="HM160" t="e">
        <f>AND('UP133'!FJ123,"AAAAAH/v/9w=")</f>
        <v>#VALUE!</v>
      </c>
      <c r="HN160" t="e">
        <f>AND('UP133'!FK123,"AAAAAH/v/90=")</f>
        <v>#VALUE!</v>
      </c>
      <c r="HO160" t="e">
        <f>AND('UP133'!FL123,"AAAAAH/v/94=")</f>
        <v>#VALUE!</v>
      </c>
      <c r="HP160" t="e">
        <f>AND('UP133'!FM123,"AAAAAH/v/98=")</f>
        <v>#VALUE!</v>
      </c>
      <c r="HQ160" t="e">
        <f>AND('UP133'!FN123,"AAAAAH/v/+A=")</f>
        <v>#VALUE!</v>
      </c>
      <c r="HR160" t="e">
        <f>AND('UP133'!FO123,"AAAAAH/v/+E=")</f>
        <v>#VALUE!</v>
      </c>
      <c r="HS160" t="e">
        <f>AND('UP133'!FP123,"AAAAAH/v/+I=")</f>
        <v>#VALUE!</v>
      </c>
      <c r="HT160" t="e">
        <f>AND('UP133'!FQ123,"AAAAAH/v/+M=")</f>
        <v>#VALUE!</v>
      </c>
      <c r="HU160" t="e">
        <f>AND('UP133'!FR123,"AAAAAH/v/+Q=")</f>
        <v>#VALUE!</v>
      </c>
      <c r="HV160" t="e">
        <f>AND('UP133'!FS123,"AAAAAH/v/+U=")</f>
        <v>#VALUE!</v>
      </c>
      <c r="HW160" t="e">
        <f>AND('UP133'!FT123,"AAAAAH/v/+Y=")</f>
        <v>#VALUE!</v>
      </c>
      <c r="HX160" t="e">
        <f>AND('UP133'!FU123,"AAAAAH/v/+c=")</f>
        <v>#VALUE!</v>
      </c>
      <c r="HY160" t="e">
        <f>AND('UP133'!FV123,"AAAAAH/v/+g=")</f>
        <v>#VALUE!</v>
      </c>
      <c r="HZ160" t="e">
        <f>AND('UP133'!FW123,"AAAAAH/v/+k=")</f>
        <v>#VALUE!</v>
      </c>
      <c r="IA160" t="e">
        <f>AND('UP133'!FX123,"AAAAAH/v/+o=")</f>
        <v>#VALUE!</v>
      </c>
      <c r="IB160" t="e">
        <f>AND('UP133'!FY123,"AAAAAH/v/+s=")</f>
        <v>#VALUE!</v>
      </c>
      <c r="IC160" t="e">
        <f>AND('UP133'!FZ123,"AAAAAH/v/+w=")</f>
        <v>#VALUE!</v>
      </c>
      <c r="ID160" t="e">
        <f>AND('UP133'!GA123,"AAAAAH/v/+0=")</f>
        <v>#VALUE!</v>
      </c>
      <c r="IE160" t="e">
        <f>AND('UP133'!GB123,"AAAAAH/v/+4=")</f>
        <v>#VALUE!</v>
      </c>
      <c r="IF160" t="e">
        <f>AND('UP133'!GC123,"AAAAAH/v/+8=")</f>
        <v>#VALUE!</v>
      </c>
      <c r="IG160" t="e">
        <f>AND('UP133'!GD123,"AAAAAH/v//A=")</f>
        <v>#VALUE!</v>
      </c>
      <c r="IH160" t="e">
        <f>AND('UP133'!GE123,"AAAAAH/v//E=")</f>
        <v>#VALUE!</v>
      </c>
      <c r="II160" t="e">
        <f>AND('UP133'!GF123,"AAAAAH/v//I=")</f>
        <v>#VALUE!</v>
      </c>
      <c r="IJ160" t="e">
        <f>AND('UP133'!GG123,"AAAAAH/v//M=")</f>
        <v>#VALUE!</v>
      </c>
      <c r="IK160" t="e">
        <f>AND('UP133'!GH123,"AAAAAH/v//Q=")</f>
        <v>#VALUE!</v>
      </c>
      <c r="IL160" t="e">
        <f>AND('UP133'!GI123,"AAAAAH/v//U=")</f>
        <v>#VALUE!</v>
      </c>
      <c r="IM160" t="e">
        <f>AND('UP133'!GJ123,"AAAAAH/v//Y=")</f>
        <v>#VALUE!</v>
      </c>
      <c r="IN160" t="e">
        <f>AND('UP133'!GK123,"AAAAAH/v//c=")</f>
        <v>#VALUE!</v>
      </c>
      <c r="IO160" t="e">
        <f>AND('UP133'!GL123,"AAAAAH/v//g=")</f>
        <v>#VALUE!</v>
      </c>
      <c r="IP160" t="e">
        <f>AND('UP133'!GM123,"AAAAAH/v//k=")</f>
        <v>#VALUE!</v>
      </c>
      <c r="IQ160" t="e">
        <f>AND('UP133'!GN123,"AAAAAH/v//o=")</f>
        <v>#VALUE!</v>
      </c>
      <c r="IR160" t="e">
        <f>AND('UP133'!GO123,"AAAAAH/v//s=")</f>
        <v>#VALUE!</v>
      </c>
      <c r="IS160" t="e">
        <f>AND('UP133'!GP123,"AAAAAH/v//w=")</f>
        <v>#VALUE!</v>
      </c>
      <c r="IT160" t="e">
        <f>AND('UP133'!GQ123,"AAAAAH/v//0=")</f>
        <v>#VALUE!</v>
      </c>
      <c r="IU160" t="e">
        <f>AND('UP133'!GR123,"AAAAAH/v//4=")</f>
        <v>#VALUE!</v>
      </c>
      <c r="IV160" t="e">
        <f>AND('UP133'!GS123,"AAAAAH/v//8=")</f>
        <v>#VALUE!</v>
      </c>
    </row>
    <row r="161" spans="1:256">
      <c r="A161" t="e">
        <f>AND('UP133'!GT123,"AAAAADmX3QA=")</f>
        <v>#VALUE!</v>
      </c>
      <c r="B161" t="e">
        <f>AND('UP133'!GU123,"AAAAADmX3QE=")</f>
        <v>#VALUE!</v>
      </c>
      <c r="C161" t="e">
        <f>AND('UP133'!GV123,"AAAAADmX3QI=")</f>
        <v>#VALUE!</v>
      </c>
      <c r="D161" t="e">
        <f>AND('UP133'!GW123,"AAAAADmX3QM=")</f>
        <v>#VALUE!</v>
      </c>
      <c r="E161" t="e">
        <f>AND('UP133'!GX123,"AAAAADmX3QQ=")</f>
        <v>#VALUE!</v>
      </c>
      <c r="F161" t="e">
        <f>AND('UP133'!GY123,"AAAAADmX3QU=")</f>
        <v>#VALUE!</v>
      </c>
      <c r="G161" t="e">
        <f>AND('UP133'!GZ123,"AAAAADmX3QY=")</f>
        <v>#VALUE!</v>
      </c>
      <c r="H161" t="e">
        <f>AND('UP133'!HA123,"AAAAADmX3Qc=")</f>
        <v>#VALUE!</v>
      </c>
      <c r="I161" t="e">
        <f>AND('UP133'!HB123,"AAAAADmX3Qg=")</f>
        <v>#VALUE!</v>
      </c>
      <c r="J161" t="e">
        <f>AND('UP133'!HC123,"AAAAADmX3Qk=")</f>
        <v>#VALUE!</v>
      </c>
      <c r="K161" t="e">
        <f>AND('UP133'!HD123,"AAAAADmX3Qo=")</f>
        <v>#VALUE!</v>
      </c>
      <c r="L161" t="e">
        <f>AND('UP133'!HE123,"AAAAADmX3Qs=")</f>
        <v>#VALUE!</v>
      </c>
      <c r="M161" t="e">
        <f>AND('UP133'!HF123,"AAAAADmX3Qw=")</f>
        <v>#VALUE!</v>
      </c>
      <c r="N161" t="e">
        <f>AND('UP133'!HG123,"AAAAADmX3Q0=")</f>
        <v>#VALUE!</v>
      </c>
      <c r="O161" t="e">
        <f>AND('UP133'!HH123,"AAAAADmX3Q4=")</f>
        <v>#VALUE!</v>
      </c>
      <c r="P161" t="e">
        <f>AND('UP133'!HI123,"AAAAADmX3Q8=")</f>
        <v>#VALUE!</v>
      </c>
      <c r="Q161" t="e">
        <f>AND('UP133'!HJ123,"AAAAADmX3RA=")</f>
        <v>#VALUE!</v>
      </c>
      <c r="R161" t="e">
        <f>AND('UP133'!HK123,"AAAAADmX3RE=")</f>
        <v>#VALUE!</v>
      </c>
      <c r="S161" t="e">
        <f>AND('UP133'!HL123,"AAAAADmX3RI=")</f>
        <v>#VALUE!</v>
      </c>
      <c r="T161" t="e">
        <f>AND('UP133'!HM123,"AAAAADmX3RM=")</f>
        <v>#VALUE!</v>
      </c>
      <c r="U161" t="e">
        <f>AND('UP133'!HN123,"AAAAADmX3RQ=")</f>
        <v>#VALUE!</v>
      </c>
      <c r="V161" t="e">
        <f>AND('UP133'!HO123,"AAAAADmX3RU=")</f>
        <v>#VALUE!</v>
      </c>
      <c r="W161" t="e">
        <f>AND('UP133'!HP123,"AAAAADmX3RY=")</f>
        <v>#VALUE!</v>
      </c>
      <c r="X161" t="e">
        <f>AND('UP133'!HQ123,"AAAAADmX3Rc=")</f>
        <v>#VALUE!</v>
      </c>
      <c r="Y161" t="e">
        <f>AND('UP133'!HR123,"AAAAADmX3Rg=")</f>
        <v>#VALUE!</v>
      </c>
      <c r="Z161" t="e">
        <f>AND('UP133'!HS123,"AAAAADmX3Rk=")</f>
        <v>#VALUE!</v>
      </c>
      <c r="AA161" t="e">
        <f>AND('UP133'!HT123,"AAAAADmX3Ro=")</f>
        <v>#VALUE!</v>
      </c>
      <c r="AB161" t="e">
        <f>AND('UP133'!HU123,"AAAAADmX3Rs=")</f>
        <v>#VALUE!</v>
      </c>
      <c r="AC161" t="e">
        <f>AND('UP133'!HV123,"AAAAADmX3Rw=")</f>
        <v>#VALUE!</v>
      </c>
      <c r="AD161" t="e">
        <f>AND('UP133'!HW123,"AAAAADmX3R0=")</f>
        <v>#VALUE!</v>
      </c>
      <c r="AE161" t="e">
        <f>AND('UP133'!HX123,"AAAAADmX3R4=")</f>
        <v>#VALUE!</v>
      </c>
      <c r="AF161" t="e">
        <f>AND('UP133'!HY123,"AAAAADmX3R8=")</f>
        <v>#VALUE!</v>
      </c>
      <c r="AG161" t="e">
        <f>AND('UP133'!HZ123,"AAAAADmX3SA=")</f>
        <v>#VALUE!</v>
      </c>
      <c r="AH161" t="e">
        <f>AND('UP133'!IA123,"AAAAADmX3SE=")</f>
        <v>#VALUE!</v>
      </c>
      <c r="AI161" t="e">
        <f>AND('UP133'!IB123,"AAAAADmX3SI=")</f>
        <v>#VALUE!</v>
      </c>
      <c r="AJ161" t="e">
        <f>AND('UP133'!IC123,"AAAAADmX3SM=")</f>
        <v>#VALUE!</v>
      </c>
      <c r="AK161" t="e">
        <f>AND('UP133'!ID123,"AAAAADmX3SQ=")</f>
        <v>#VALUE!</v>
      </c>
      <c r="AL161" t="e">
        <f>AND('UP133'!IE123,"AAAAADmX3SU=")</f>
        <v>#VALUE!</v>
      </c>
      <c r="AM161" t="e">
        <f>AND('UP133'!IF123,"AAAAADmX3SY=")</f>
        <v>#VALUE!</v>
      </c>
      <c r="AN161" t="e">
        <f>AND('UP133'!IG123,"AAAAADmX3Sc=")</f>
        <v>#VALUE!</v>
      </c>
      <c r="AO161" t="e">
        <f>AND('UP133'!IH123,"AAAAADmX3Sg=")</f>
        <v>#VALUE!</v>
      </c>
      <c r="AP161" t="e">
        <f>AND('UP133'!II123,"AAAAADmX3Sk=")</f>
        <v>#VALUE!</v>
      </c>
      <c r="AQ161" t="e">
        <f>AND('UP133'!IJ123,"AAAAADmX3So=")</f>
        <v>#VALUE!</v>
      </c>
      <c r="AR161" t="e">
        <f>AND('UP133'!IK123,"AAAAADmX3Ss=")</f>
        <v>#VALUE!</v>
      </c>
      <c r="AS161" t="e">
        <f>AND('UP133'!IL123,"AAAAADmX3Sw=")</f>
        <v>#VALUE!</v>
      </c>
      <c r="AT161" t="e">
        <f>AND('UP133'!IM123,"AAAAADmX3S0=")</f>
        <v>#VALUE!</v>
      </c>
      <c r="AU161" t="e">
        <f>AND('UP133'!IN123,"AAAAADmX3S4=")</f>
        <v>#VALUE!</v>
      </c>
      <c r="AV161" t="e">
        <f>AND('UP133'!IO123,"AAAAADmX3S8=")</f>
        <v>#VALUE!</v>
      </c>
      <c r="AW161" t="e">
        <f>AND('UP133'!IP123,"AAAAADmX3TA=")</f>
        <v>#VALUE!</v>
      </c>
      <c r="AX161" t="e">
        <f>AND('UP133'!IQ123,"AAAAADmX3TE=")</f>
        <v>#VALUE!</v>
      </c>
      <c r="AY161">
        <f>IF('UP133'!124:124,"AAAAADmX3TI=",0)</f>
        <v>0</v>
      </c>
      <c r="AZ161" t="e">
        <f>AND('UP133'!A124,"AAAAADmX3TM=")</f>
        <v>#VALUE!</v>
      </c>
      <c r="BA161" t="e">
        <f>AND('UP133'!B124,"AAAAADmX3TQ=")</f>
        <v>#VALUE!</v>
      </c>
      <c r="BB161" t="e">
        <f>AND('UP133'!C124,"AAAAADmX3TU=")</f>
        <v>#VALUE!</v>
      </c>
      <c r="BC161" t="e">
        <f>AND('UP133'!D124,"AAAAADmX3TY=")</f>
        <v>#VALUE!</v>
      </c>
      <c r="BD161" t="e">
        <f>AND('UP133'!E124,"AAAAADmX3Tc=")</f>
        <v>#VALUE!</v>
      </c>
      <c r="BE161" t="e">
        <f>AND('UP133'!F124,"AAAAADmX3Tg=")</f>
        <v>#VALUE!</v>
      </c>
      <c r="BF161" t="e">
        <f>AND('UP133'!G124,"AAAAADmX3Tk=")</f>
        <v>#VALUE!</v>
      </c>
      <c r="BG161" t="e">
        <f>AND('UP133'!H124,"AAAAADmX3To=")</f>
        <v>#VALUE!</v>
      </c>
      <c r="BH161" t="e">
        <f>AND('UP133'!I124,"AAAAADmX3Ts=")</f>
        <v>#VALUE!</v>
      </c>
      <c r="BI161" t="e">
        <f>AND('UP133'!J124,"AAAAADmX3Tw=")</f>
        <v>#VALUE!</v>
      </c>
      <c r="BJ161" t="e">
        <f>AND('UP133'!K124,"AAAAADmX3T0=")</f>
        <v>#VALUE!</v>
      </c>
      <c r="BK161" t="e">
        <f>AND('UP133'!L124,"AAAAADmX3T4=")</f>
        <v>#VALUE!</v>
      </c>
      <c r="BL161" t="e">
        <f>AND('UP133'!M124,"AAAAADmX3T8=")</f>
        <v>#VALUE!</v>
      </c>
      <c r="BM161" t="e">
        <f>AND('UP133'!N124,"AAAAADmX3UA=")</f>
        <v>#VALUE!</v>
      </c>
      <c r="BN161" t="e">
        <f>AND('UP133'!O124,"AAAAADmX3UE=")</f>
        <v>#VALUE!</v>
      </c>
      <c r="BO161" t="e">
        <f>AND('UP133'!P124,"AAAAADmX3UI=")</f>
        <v>#VALUE!</v>
      </c>
      <c r="BP161" t="e">
        <f>AND('UP133'!Q124,"AAAAADmX3UM=")</f>
        <v>#VALUE!</v>
      </c>
      <c r="BQ161" t="e">
        <f>AND('UP133'!R124,"AAAAADmX3UQ=")</f>
        <v>#VALUE!</v>
      </c>
      <c r="BR161" t="e">
        <f>AND('UP133'!S124,"AAAAADmX3UU=")</f>
        <v>#VALUE!</v>
      </c>
      <c r="BS161" t="e">
        <f>AND('UP133'!T124,"AAAAADmX3UY=")</f>
        <v>#VALUE!</v>
      </c>
      <c r="BT161" t="e">
        <f>AND('UP133'!U124,"AAAAADmX3Uc=")</f>
        <v>#VALUE!</v>
      </c>
      <c r="BU161" t="e">
        <f>AND('UP133'!V124,"AAAAADmX3Ug=")</f>
        <v>#VALUE!</v>
      </c>
      <c r="BV161" t="e">
        <f>AND('UP133'!W124,"AAAAADmX3Uk=")</f>
        <v>#VALUE!</v>
      </c>
      <c r="BW161" t="e">
        <f>AND('UP133'!X124,"AAAAADmX3Uo=")</f>
        <v>#VALUE!</v>
      </c>
      <c r="BX161" t="e">
        <f>AND('UP133'!Y124,"AAAAADmX3Us=")</f>
        <v>#VALUE!</v>
      </c>
      <c r="BY161" t="e">
        <f>AND('UP133'!Z124,"AAAAADmX3Uw=")</f>
        <v>#VALUE!</v>
      </c>
      <c r="BZ161" t="e">
        <f>AND('UP133'!AA124,"AAAAADmX3U0=")</f>
        <v>#VALUE!</v>
      </c>
      <c r="CA161" t="e">
        <f>AND('UP133'!AB124,"AAAAADmX3U4=")</f>
        <v>#VALUE!</v>
      </c>
      <c r="CB161" t="e">
        <f>AND('UP133'!AC124,"AAAAADmX3U8=")</f>
        <v>#VALUE!</v>
      </c>
      <c r="CC161" t="e">
        <f>AND('UP133'!AD124,"AAAAADmX3VA=")</f>
        <v>#VALUE!</v>
      </c>
      <c r="CD161" t="e">
        <f>AND('UP133'!AE124,"AAAAADmX3VE=")</f>
        <v>#VALUE!</v>
      </c>
      <c r="CE161" t="e">
        <f>AND('UP133'!AF124,"AAAAADmX3VI=")</f>
        <v>#VALUE!</v>
      </c>
      <c r="CF161" t="e">
        <f>AND('UP133'!AG124,"AAAAADmX3VM=")</f>
        <v>#VALUE!</v>
      </c>
      <c r="CG161" t="e">
        <f>AND('UP133'!AH124,"AAAAADmX3VQ=")</f>
        <v>#VALUE!</v>
      </c>
      <c r="CH161" t="e">
        <f>AND('UP133'!AI124,"AAAAADmX3VU=")</f>
        <v>#VALUE!</v>
      </c>
      <c r="CI161" t="e">
        <f>AND('UP133'!AJ124,"AAAAADmX3VY=")</f>
        <v>#VALUE!</v>
      </c>
      <c r="CJ161" t="e">
        <f>AND('UP133'!AK124,"AAAAADmX3Vc=")</f>
        <v>#VALUE!</v>
      </c>
      <c r="CK161" t="e">
        <f>AND('UP133'!AL124,"AAAAADmX3Vg=")</f>
        <v>#VALUE!</v>
      </c>
      <c r="CL161" t="e">
        <f>AND('UP133'!AM124,"AAAAADmX3Vk=")</f>
        <v>#VALUE!</v>
      </c>
      <c r="CM161" t="e">
        <f>AND('UP133'!AN124,"AAAAADmX3Vo=")</f>
        <v>#VALUE!</v>
      </c>
      <c r="CN161" t="e">
        <f>AND('UP133'!AO124,"AAAAADmX3Vs=")</f>
        <v>#VALUE!</v>
      </c>
      <c r="CO161" t="e">
        <f>AND('UP133'!AP124,"AAAAADmX3Vw=")</f>
        <v>#VALUE!</v>
      </c>
      <c r="CP161" t="e">
        <f>AND('UP133'!AQ124,"AAAAADmX3V0=")</f>
        <v>#VALUE!</v>
      </c>
      <c r="CQ161" t="e">
        <f>AND('UP133'!AR124,"AAAAADmX3V4=")</f>
        <v>#VALUE!</v>
      </c>
      <c r="CR161" t="e">
        <f>AND('UP133'!AS124,"AAAAADmX3V8=")</f>
        <v>#VALUE!</v>
      </c>
      <c r="CS161" t="e">
        <f>AND('UP133'!AT124,"AAAAADmX3WA=")</f>
        <v>#VALUE!</v>
      </c>
      <c r="CT161" t="e">
        <f>AND('UP133'!AU124,"AAAAADmX3WE=")</f>
        <v>#VALUE!</v>
      </c>
      <c r="CU161" t="e">
        <f>AND('UP133'!AV124,"AAAAADmX3WI=")</f>
        <v>#VALUE!</v>
      </c>
      <c r="CV161" t="e">
        <f>AND('UP133'!AW124,"AAAAADmX3WM=")</f>
        <v>#VALUE!</v>
      </c>
      <c r="CW161" t="e">
        <f>AND('UP133'!AX124,"AAAAADmX3WQ=")</f>
        <v>#VALUE!</v>
      </c>
      <c r="CX161" t="e">
        <f>AND('UP133'!AY124,"AAAAADmX3WU=")</f>
        <v>#VALUE!</v>
      </c>
      <c r="CY161" t="e">
        <f>AND('UP133'!AZ124,"AAAAADmX3WY=")</f>
        <v>#VALUE!</v>
      </c>
      <c r="CZ161" t="e">
        <f>AND('UP133'!BA124,"AAAAADmX3Wc=")</f>
        <v>#VALUE!</v>
      </c>
      <c r="DA161" t="e">
        <f>AND('UP133'!BB124,"AAAAADmX3Wg=")</f>
        <v>#VALUE!</v>
      </c>
      <c r="DB161" t="e">
        <f>AND('UP133'!BC124,"AAAAADmX3Wk=")</f>
        <v>#VALUE!</v>
      </c>
      <c r="DC161" t="e">
        <f>AND('UP133'!BD124,"AAAAADmX3Wo=")</f>
        <v>#VALUE!</v>
      </c>
      <c r="DD161" t="e">
        <f>AND('UP133'!BE124,"AAAAADmX3Ws=")</f>
        <v>#VALUE!</v>
      </c>
      <c r="DE161" t="e">
        <f>AND('UP133'!BF124,"AAAAADmX3Ww=")</f>
        <v>#VALUE!</v>
      </c>
      <c r="DF161" t="e">
        <f>AND('UP133'!BG124,"AAAAADmX3W0=")</f>
        <v>#VALUE!</v>
      </c>
      <c r="DG161" t="e">
        <f>AND('UP133'!BH124,"AAAAADmX3W4=")</f>
        <v>#VALUE!</v>
      </c>
      <c r="DH161" t="e">
        <f>AND('UP133'!BI124,"AAAAADmX3W8=")</f>
        <v>#VALUE!</v>
      </c>
      <c r="DI161" t="e">
        <f>AND('UP133'!BJ124,"AAAAADmX3XA=")</f>
        <v>#VALUE!</v>
      </c>
      <c r="DJ161" t="e">
        <f>AND('UP133'!BK124,"AAAAADmX3XE=")</f>
        <v>#VALUE!</v>
      </c>
      <c r="DK161" t="e">
        <f>AND('UP133'!BL124,"AAAAADmX3XI=")</f>
        <v>#VALUE!</v>
      </c>
      <c r="DL161" t="e">
        <f>AND('UP133'!BM124,"AAAAADmX3XM=")</f>
        <v>#VALUE!</v>
      </c>
      <c r="DM161" t="e">
        <f>AND('UP133'!BN124,"AAAAADmX3XQ=")</f>
        <v>#VALUE!</v>
      </c>
      <c r="DN161" t="e">
        <f>AND('UP133'!BO124,"AAAAADmX3XU=")</f>
        <v>#VALUE!</v>
      </c>
      <c r="DO161" t="e">
        <f>AND('UP133'!BP124,"AAAAADmX3XY=")</f>
        <v>#VALUE!</v>
      </c>
      <c r="DP161" t="e">
        <f>AND('UP133'!BQ124,"AAAAADmX3Xc=")</f>
        <v>#VALUE!</v>
      </c>
      <c r="DQ161" t="e">
        <f>AND('UP133'!BR124,"AAAAADmX3Xg=")</f>
        <v>#VALUE!</v>
      </c>
      <c r="DR161" t="e">
        <f>AND('UP133'!BS124,"AAAAADmX3Xk=")</f>
        <v>#VALUE!</v>
      </c>
      <c r="DS161" t="e">
        <f>AND('UP133'!BT124,"AAAAADmX3Xo=")</f>
        <v>#VALUE!</v>
      </c>
      <c r="DT161" t="e">
        <f>AND('UP133'!BU124,"AAAAADmX3Xs=")</f>
        <v>#VALUE!</v>
      </c>
      <c r="DU161" t="e">
        <f>AND('UP133'!BV124,"AAAAADmX3Xw=")</f>
        <v>#VALUE!</v>
      </c>
      <c r="DV161" t="e">
        <f>AND('UP133'!BW124,"AAAAADmX3X0=")</f>
        <v>#VALUE!</v>
      </c>
      <c r="DW161" t="e">
        <f>AND('UP133'!BX124,"AAAAADmX3X4=")</f>
        <v>#VALUE!</v>
      </c>
      <c r="DX161" t="e">
        <f>AND('UP133'!BY124,"AAAAADmX3X8=")</f>
        <v>#VALUE!</v>
      </c>
      <c r="DY161" t="e">
        <f>AND('UP133'!BZ124,"AAAAADmX3YA=")</f>
        <v>#VALUE!</v>
      </c>
      <c r="DZ161" t="e">
        <f>AND('UP133'!CA124,"AAAAADmX3YE=")</f>
        <v>#VALUE!</v>
      </c>
      <c r="EA161" t="e">
        <f>AND('UP133'!CB124,"AAAAADmX3YI=")</f>
        <v>#VALUE!</v>
      </c>
      <c r="EB161" t="e">
        <f>AND('UP133'!CC124,"AAAAADmX3YM=")</f>
        <v>#VALUE!</v>
      </c>
      <c r="EC161" t="e">
        <f>AND('UP133'!CD124,"AAAAADmX3YQ=")</f>
        <v>#VALUE!</v>
      </c>
      <c r="ED161" t="e">
        <f>AND('UP133'!CE124,"AAAAADmX3YU=")</f>
        <v>#VALUE!</v>
      </c>
      <c r="EE161" t="e">
        <f>AND('UP133'!CF124,"AAAAADmX3YY=")</f>
        <v>#VALUE!</v>
      </c>
      <c r="EF161" t="e">
        <f>AND('UP133'!CG124,"AAAAADmX3Yc=")</f>
        <v>#VALUE!</v>
      </c>
      <c r="EG161" t="e">
        <f>AND('UP133'!CH124,"AAAAADmX3Yg=")</f>
        <v>#VALUE!</v>
      </c>
      <c r="EH161" t="e">
        <f>AND('UP133'!CI124,"AAAAADmX3Yk=")</f>
        <v>#VALUE!</v>
      </c>
      <c r="EI161" t="e">
        <f>AND('UP133'!CJ124,"AAAAADmX3Yo=")</f>
        <v>#VALUE!</v>
      </c>
      <c r="EJ161" t="e">
        <f>AND('UP133'!CK124,"AAAAADmX3Ys=")</f>
        <v>#VALUE!</v>
      </c>
      <c r="EK161" t="e">
        <f>AND('UP133'!CL124,"AAAAADmX3Yw=")</f>
        <v>#VALUE!</v>
      </c>
      <c r="EL161" t="e">
        <f>AND('UP133'!CM124,"AAAAADmX3Y0=")</f>
        <v>#VALUE!</v>
      </c>
      <c r="EM161" t="e">
        <f>AND('UP133'!CN124,"AAAAADmX3Y4=")</f>
        <v>#VALUE!</v>
      </c>
      <c r="EN161" t="e">
        <f>AND('UP133'!CO124,"AAAAADmX3Y8=")</f>
        <v>#VALUE!</v>
      </c>
      <c r="EO161" t="e">
        <f>AND('UP133'!CP124,"AAAAADmX3ZA=")</f>
        <v>#VALUE!</v>
      </c>
      <c r="EP161" t="e">
        <f>AND('UP133'!CQ124,"AAAAADmX3ZE=")</f>
        <v>#VALUE!</v>
      </c>
      <c r="EQ161" t="e">
        <f>AND('UP133'!CR124,"AAAAADmX3ZI=")</f>
        <v>#VALUE!</v>
      </c>
      <c r="ER161" t="e">
        <f>AND('UP133'!CS124,"AAAAADmX3ZM=")</f>
        <v>#VALUE!</v>
      </c>
      <c r="ES161" t="e">
        <f>AND('UP133'!CT124,"AAAAADmX3ZQ=")</f>
        <v>#VALUE!</v>
      </c>
      <c r="ET161" t="e">
        <f>AND('UP133'!CU124,"AAAAADmX3ZU=")</f>
        <v>#VALUE!</v>
      </c>
      <c r="EU161" t="e">
        <f>AND('UP133'!CV124,"AAAAADmX3ZY=")</f>
        <v>#VALUE!</v>
      </c>
      <c r="EV161" t="e">
        <f>AND('UP133'!CW124,"AAAAADmX3Zc=")</f>
        <v>#VALUE!</v>
      </c>
      <c r="EW161" t="e">
        <f>AND('UP133'!CX124,"AAAAADmX3Zg=")</f>
        <v>#VALUE!</v>
      </c>
      <c r="EX161" t="e">
        <f>AND('UP133'!CY124,"AAAAADmX3Zk=")</f>
        <v>#VALUE!</v>
      </c>
      <c r="EY161" t="e">
        <f>AND('UP133'!CZ124,"AAAAADmX3Zo=")</f>
        <v>#VALUE!</v>
      </c>
      <c r="EZ161" t="e">
        <f>AND('UP133'!DA124,"AAAAADmX3Zs=")</f>
        <v>#VALUE!</v>
      </c>
      <c r="FA161" t="e">
        <f>AND('UP133'!DB124,"AAAAADmX3Zw=")</f>
        <v>#VALUE!</v>
      </c>
      <c r="FB161" t="e">
        <f>AND('UP133'!DC124,"AAAAADmX3Z0=")</f>
        <v>#VALUE!</v>
      </c>
      <c r="FC161" t="e">
        <f>AND('UP133'!DD124,"AAAAADmX3Z4=")</f>
        <v>#VALUE!</v>
      </c>
      <c r="FD161" t="e">
        <f>AND('UP133'!DE124,"AAAAADmX3Z8=")</f>
        <v>#VALUE!</v>
      </c>
      <c r="FE161" t="e">
        <f>AND('UP133'!DF124,"AAAAADmX3aA=")</f>
        <v>#VALUE!</v>
      </c>
      <c r="FF161" t="e">
        <f>AND('UP133'!DG124,"AAAAADmX3aE=")</f>
        <v>#VALUE!</v>
      </c>
      <c r="FG161" t="e">
        <f>AND('UP133'!DH124,"AAAAADmX3aI=")</f>
        <v>#VALUE!</v>
      </c>
      <c r="FH161" t="e">
        <f>AND('UP133'!DI124,"AAAAADmX3aM=")</f>
        <v>#VALUE!</v>
      </c>
      <c r="FI161" t="e">
        <f>AND('UP133'!DJ124,"AAAAADmX3aQ=")</f>
        <v>#VALUE!</v>
      </c>
      <c r="FJ161" t="e">
        <f>AND('UP133'!DK124,"AAAAADmX3aU=")</f>
        <v>#VALUE!</v>
      </c>
      <c r="FK161" t="e">
        <f>AND('UP133'!DL124,"AAAAADmX3aY=")</f>
        <v>#VALUE!</v>
      </c>
      <c r="FL161" t="e">
        <f>AND('UP133'!DM124,"AAAAADmX3ac=")</f>
        <v>#VALUE!</v>
      </c>
      <c r="FM161" t="e">
        <f>AND('UP133'!DN124,"AAAAADmX3ag=")</f>
        <v>#VALUE!</v>
      </c>
      <c r="FN161" t="e">
        <f>AND('UP133'!DO124,"AAAAADmX3ak=")</f>
        <v>#VALUE!</v>
      </c>
      <c r="FO161" t="e">
        <f>AND('UP133'!DP124,"AAAAADmX3ao=")</f>
        <v>#VALUE!</v>
      </c>
      <c r="FP161" t="e">
        <f>AND('UP133'!DQ124,"AAAAADmX3as=")</f>
        <v>#VALUE!</v>
      </c>
      <c r="FQ161" t="e">
        <f>AND('UP133'!DR124,"AAAAADmX3aw=")</f>
        <v>#VALUE!</v>
      </c>
      <c r="FR161" t="e">
        <f>AND('UP133'!DS124,"AAAAADmX3a0=")</f>
        <v>#VALUE!</v>
      </c>
      <c r="FS161" t="e">
        <f>AND('UP133'!DT124,"AAAAADmX3a4=")</f>
        <v>#VALUE!</v>
      </c>
      <c r="FT161" t="e">
        <f>AND('UP133'!DU124,"AAAAADmX3a8=")</f>
        <v>#VALUE!</v>
      </c>
      <c r="FU161" t="e">
        <f>AND('UP133'!DV124,"AAAAADmX3bA=")</f>
        <v>#VALUE!</v>
      </c>
      <c r="FV161" t="e">
        <f>AND('UP133'!DW124,"AAAAADmX3bE=")</f>
        <v>#VALUE!</v>
      </c>
      <c r="FW161" t="e">
        <f>AND('UP133'!DX124,"AAAAADmX3bI=")</f>
        <v>#VALUE!</v>
      </c>
      <c r="FX161" t="e">
        <f>AND('UP133'!DY124,"AAAAADmX3bM=")</f>
        <v>#VALUE!</v>
      </c>
      <c r="FY161" t="e">
        <f>AND('UP133'!DZ124,"AAAAADmX3bQ=")</f>
        <v>#VALUE!</v>
      </c>
      <c r="FZ161" t="e">
        <f>AND('UP133'!EA124,"AAAAADmX3bU=")</f>
        <v>#VALUE!</v>
      </c>
      <c r="GA161" t="e">
        <f>AND('UP133'!EB124,"AAAAADmX3bY=")</f>
        <v>#VALUE!</v>
      </c>
      <c r="GB161" t="e">
        <f>AND('UP133'!EC124,"AAAAADmX3bc=")</f>
        <v>#VALUE!</v>
      </c>
      <c r="GC161" t="e">
        <f>AND('UP133'!ED124,"AAAAADmX3bg=")</f>
        <v>#VALUE!</v>
      </c>
      <c r="GD161" t="e">
        <f>AND('UP133'!EE124,"AAAAADmX3bk=")</f>
        <v>#VALUE!</v>
      </c>
      <c r="GE161" t="e">
        <f>AND('UP133'!EF124,"AAAAADmX3bo=")</f>
        <v>#VALUE!</v>
      </c>
      <c r="GF161" t="e">
        <f>AND('UP133'!EG124,"AAAAADmX3bs=")</f>
        <v>#VALUE!</v>
      </c>
      <c r="GG161" t="e">
        <f>AND('UP133'!EH124,"AAAAADmX3bw=")</f>
        <v>#VALUE!</v>
      </c>
      <c r="GH161" t="e">
        <f>AND('UP133'!EI124,"AAAAADmX3b0=")</f>
        <v>#VALUE!</v>
      </c>
      <c r="GI161" t="e">
        <f>AND('UP133'!EJ124,"AAAAADmX3b4=")</f>
        <v>#VALUE!</v>
      </c>
      <c r="GJ161" t="e">
        <f>AND('UP133'!EK124,"AAAAADmX3b8=")</f>
        <v>#VALUE!</v>
      </c>
      <c r="GK161" t="e">
        <f>AND('UP133'!EL124,"AAAAADmX3cA=")</f>
        <v>#VALUE!</v>
      </c>
      <c r="GL161" t="e">
        <f>AND('UP133'!EM124,"AAAAADmX3cE=")</f>
        <v>#VALUE!</v>
      </c>
      <c r="GM161" t="e">
        <f>AND('UP133'!EN124,"AAAAADmX3cI=")</f>
        <v>#VALUE!</v>
      </c>
      <c r="GN161" t="e">
        <f>AND('UP133'!EO124,"AAAAADmX3cM=")</f>
        <v>#VALUE!</v>
      </c>
      <c r="GO161" t="e">
        <f>AND('UP133'!EP124,"AAAAADmX3cQ=")</f>
        <v>#VALUE!</v>
      </c>
      <c r="GP161" t="e">
        <f>AND('UP133'!EQ124,"AAAAADmX3cU=")</f>
        <v>#VALUE!</v>
      </c>
      <c r="GQ161" t="e">
        <f>AND('UP133'!ER124,"AAAAADmX3cY=")</f>
        <v>#VALUE!</v>
      </c>
      <c r="GR161" t="e">
        <f>AND('UP133'!ES124,"AAAAADmX3cc=")</f>
        <v>#VALUE!</v>
      </c>
      <c r="GS161" t="e">
        <f>AND('UP133'!ET124,"AAAAADmX3cg=")</f>
        <v>#VALUE!</v>
      </c>
      <c r="GT161" t="e">
        <f>AND('UP133'!EU124,"AAAAADmX3ck=")</f>
        <v>#VALUE!</v>
      </c>
      <c r="GU161" t="e">
        <f>AND('UP133'!EV124,"AAAAADmX3co=")</f>
        <v>#VALUE!</v>
      </c>
      <c r="GV161" t="e">
        <f>AND('UP133'!EW124,"AAAAADmX3cs=")</f>
        <v>#VALUE!</v>
      </c>
      <c r="GW161" t="e">
        <f>AND('UP133'!EX124,"AAAAADmX3cw=")</f>
        <v>#VALUE!</v>
      </c>
      <c r="GX161" t="e">
        <f>AND('UP133'!EY124,"AAAAADmX3c0=")</f>
        <v>#VALUE!</v>
      </c>
      <c r="GY161" t="e">
        <f>AND('UP133'!EZ124,"AAAAADmX3c4=")</f>
        <v>#VALUE!</v>
      </c>
      <c r="GZ161" t="e">
        <f>AND('UP133'!FA124,"AAAAADmX3c8=")</f>
        <v>#VALUE!</v>
      </c>
      <c r="HA161" t="e">
        <f>AND('UP133'!FB124,"AAAAADmX3dA=")</f>
        <v>#VALUE!</v>
      </c>
      <c r="HB161" t="e">
        <f>AND('UP133'!FC124,"AAAAADmX3dE=")</f>
        <v>#VALUE!</v>
      </c>
      <c r="HC161" t="e">
        <f>AND('UP133'!FD124,"AAAAADmX3dI=")</f>
        <v>#VALUE!</v>
      </c>
      <c r="HD161" t="e">
        <f>AND('UP133'!FE124,"AAAAADmX3dM=")</f>
        <v>#VALUE!</v>
      </c>
      <c r="HE161" t="e">
        <f>AND('UP133'!FF124,"AAAAADmX3dQ=")</f>
        <v>#VALUE!</v>
      </c>
      <c r="HF161" t="e">
        <f>AND('UP133'!FG124,"AAAAADmX3dU=")</f>
        <v>#VALUE!</v>
      </c>
      <c r="HG161" t="e">
        <f>AND('UP133'!FH124,"AAAAADmX3dY=")</f>
        <v>#VALUE!</v>
      </c>
      <c r="HH161" t="e">
        <f>AND('UP133'!FI124,"AAAAADmX3dc=")</f>
        <v>#VALUE!</v>
      </c>
      <c r="HI161" t="e">
        <f>AND('UP133'!FJ124,"AAAAADmX3dg=")</f>
        <v>#VALUE!</v>
      </c>
      <c r="HJ161" t="e">
        <f>AND('UP133'!FK124,"AAAAADmX3dk=")</f>
        <v>#VALUE!</v>
      </c>
      <c r="HK161" t="e">
        <f>AND('UP133'!FL124,"AAAAADmX3do=")</f>
        <v>#VALUE!</v>
      </c>
      <c r="HL161" t="e">
        <f>AND('UP133'!FM124,"AAAAADmX3ds=")</f>
        <v>#VALUE!</v>
      </c>
      <c r="HM161" t="e">
        <f>AND('UP133'!FN124,"AAAAADmX3dw=")</f>
        <v>#VALUE!</v>
      </c>
      <c r="HN161" t="e">
        <f>AND('UP133'!FO124,"AAAAADmX3d0=")</f>
        <v>#VALUE!</v>
      </c>
      <c r="HO161" t="e">
        <f>AND('UP133'!FP124,"AAAAADmX3d4=")</f>
        <v>#VALUE!</v>
      </c>
      <c r="HP161" t="e">
        <f>AND('UP133'!FQ124,"AAAAADmX3d8=")</f>
        <v>#VALUE!</v>
      </c>
      <c r="HQ161" t="e">
        <f>AND('UP133'!FR124,"AAAAADmX3eA=")</f>
        <v>#VALUE!</v>
      </c>
      <c r="HR161" t="e">
        <f>AND('UP133'!FS124,"AAAAADmX3eE=")</f>
        <v>#VALUE!</v>
      </c>
      <c r="HS161" t="e">
        <f>AND('UP133'!FT124,"AAAAADmX3eI=")</f>
        <v>#VALUE!</v>
      </c>
      <c r="HT161" t="e">
        <f>AND('UP133'!FU124,"AAAAADmX3eM=")</f>
        <v>#VALUE!</v>
      </c>
      <c r="HU161" t="e">
        <f>AND('UP133'!FV124,"AAAAADmX3eQ=")</f>
        <v>#VALUE!</v>
      </c>
      <c r="HV161" t="e">
        <f>AND('UP133'!FW124,"AAAAADmX3eU=")</f>
        <v>#VALUE!</v>
      </c>
      <c r="HW161" t="e">
        <f>AND('UP133'!FX124,"AAAAADmX3eY=")</f>
        <v>#VALUE!</v>
      </c>
      <c r="HX161" t="e">
        <f>AND('UP133'!FY124,"AAAAADmX3ec=")</f>
        <v>#VALUE!</v>
      </c>
      <c r="HY161" t="e">
        <f>AND('UP133'!FZ124,"AAAAADmX3eg=")</f>
        <v>#VALUE!</v>
      </c>
      <c r="HZ161" t="e">
        <f>AND('UP133'!GA124,"AAAAADmX3ek=")</f>
        <v>#VALUE!</v>
      </c>
      <c r="IA161" t="e">
        <f>AND('UP133'!GB124,"AAAAADmX3eo=")</f>
        <v>#VALUE!</v>
      </c>
      <c r="IB161" t="e">
        <f>AND('UP133'!GC124,"AAAAADmX3es=")</f>
        <v>#VALUE!</v>
      </c>
      <c r="IC161" t="e">
        <f>AND('UP133'!GD124,"AAAAADmX3ew=")</f>
        <v>#VALUE!</v>
      </c>
      <c r="ID161" t="e">
        <f>AND('UP133'!GE124,"AAAAADmX3e0=")</f>
        <v>#VALUE!</v>
      </c>
      <c r="IE161" t="e">
        <f>AND('UP133'!GF124,"AAAAADmX3e4=")</f>
        <v>#VALUE!</v>
      </c>
      <c r="IF161" t="e">
        <f>AND('UP133'!GG124,"AAAAADmX3e8=")</f>
        <v>#VALUE!</v>
      </c>
      <c r="IG161" t="e">
        <f>AND('UP133'!GH124,"AAAAADmX3fA=")</f>
        <v>#VALUE!</v>
      </c>
      <c r="IH161" t="e">
        <f>AND('UP133'!GI124,"AAAAADmX3fE=")</f>
        <v>#VALUE!</v>
      </c>
      <c r="II161" t="e">
        <f>AND('UP133'!GJ124,"AAAAADmX3fI=")</f>
        <v>#VALUE!</v>
      </c>
      <c r="IJ161" t="e">
        <f>AND('UP133'!GK124,"AAAAADmX3fM=")</f>
        <v>#VALUE!</v>
      </c>
      <c r="IK161" t="e">
        <f>AND('UP133'!GL124,"AAAAADmX3fQ=")</f>
        <v>#VALUE!</v>
      </c>
      <c r="IL161" t="e">
        <f>AND('UP133'!GM124,"AAAAADmX3fU=")</f>
        <v>#VALUE!</v>
      </c>
      <c r="IM161" t="e">
        <f>AND('UP133'!GN124,"AAAAADmX3fY=")</f>
        <v>#VALUE!</v>
      </c>
      <c r="IN161" t="e">
        <f>AND('UP133'!GO124,"AAAAADmX3fc=")</f>
        <v>#VALUE!</v>
      </c>
      <c r="IO161" t="e">
        <f>AND('UP133'!GP124,"AAAAADmX3fg=")</f>
        <v>#VALUE!</v>
      </c>
      <c r="IP161" t="e">
        <f>AND('UP133'!GQ124,"AAAAADmX3fk=")</f>
        <v>#VALUE!</v>
      </c>
      <c r="IQ161" t="e">
        <f>AND('UP133'!GR124,"AAAAADmX3fo=")</f>
        <v>#VALUE!</v>
      </c>
      <c r="IR161" t="e">
        <f>AND('UP133'!GS124,"AAAAADmX3fs=")</f>
        <v>#VALUE!</v>
      </c>
      <c r="IS161" t="e">
        <f>AND('UP133'!GT124,"AAAAADmX3fw=")</f>
        <v>#VALUE!</v>
      </c>
      <c r="IT161" t="e">
        <f>AND('UP133'!GU124,"AAAAADmX3f0=")</f>
        <v>#VALUE!</v>
      </c>
      <c r="IU161" t="e">
        <f>AND('UP133'!GV124,"AAAAADmX3f4=")</f>
        <v>#VALUE!</v>
      </c>
      <c r="IV161" t="e">
        <f>AND('UP133'!GW124,"AAAAADmX3f8=")</f>
        <v>#VALUE!</v>
      </c>
    </row>
    <row r="162" spans="1:256">
      <c r="A162" t="e">
        <f>AND('UP133'!GX124,"AAAAAHt+OgA=")</f>
        <v>#VALUE!</v>
      </c>
      <c r="B162" t="e">
        <f>AND('UP133'!GY124,"AAAAAHt+OgE=")</f>
        <v>#VALUE!</v>
      </c>
      <c r="C162" t="e">
        <f>AND('UP133'!GZ124,"AAAAAHt+OgI=")</f>
        <v>#VALUE!</v>
      </c>
      <c r="D162" t="e">
        <f>AND('UP133'!HA124,"AAAAAHt+OgM=")</f>
        <v>#VALUE!</v>
      </c>
      <c r="E162" t="e">
        <f>AND('UP133'!HB124,"AAAAAHt+OgQ=")</f>
        <v>#VALUE!</v>
      </c>
      <c r="F162" t="e">
        <f>AND('UP133'!HC124,"AAAAAHt+OgU=")</f>
        <v>#VALUE!</v>
      </c>
      <c r="G162" t="e">
        <f>AND('UP133'!HD124,"AAAAAHt+OgY=")</f>
        <v>#VALUE!</v>
      </c>
      <c r="H162" t="e">
        <f>AND('UP133'!HE124,"AAAAAHt+Ogc=")</f>
        <v>#VALUE!</v>
      </c>
      <c r="I162" t="e">
        <f>AND('UP133'!HF124,"AAAAAHt+Ogg=")</f>
        <v>#VALUE!</v>
      </c>
      <c r="J162" t="e">
        <f>AND('UP133'!HG124,"AAAAAHt+Ogk=")</f>
        <v>#VALUE!</v>
      </c>
      <c r="K162" t="e">
        <f>AND('UP133'!HH124,"AAAAAHt+Ogo=")</f>
        <v>#VALUE!</v>
      </c>
      <c r="L162" t="e">
        <f>AND('UP133'!HI124,"AAAAAHt+Ogs=")</f>
        <v>#VALUE!</v>
      </c>
      <c r="M162" t="e">
        <f>AND('UP133'!HJ124,"AAAAAHt+Ogw=")</f>
        <v>#VALUE!</v>
      </c>
      <c r="N162" t="e">
        <f>AND('UP133'!HK124,"AAAAAHt+Og0=")</f>
        <v>#VALUE!</v>
      </c>
      <c r="O162" t="e">
        <f>AND('UP133'!HL124,"AAAAAHt+Og4=")</f>
        <v>#VALUE!</v>
      </c>
      <c r="P162" t="e">
        <f>AND('UP133'!HM124,"AAAAAHt+Og8=")</f>
        <v>#VALUE!</v>
      </c>
      <c r="Q162" t="e">
        <f>AND('UP133'!HN124,"AAAAAHt+OhA=")</f>
        <v>#VALUE!</v>
      </c>
      <c r="R162" t="e">
        <f>AND('UP133'!HO124,"AAAAAHt+OhE=")</f>
        <v>#VALUE!</v>
      </c>
      <c r="S162" t="e">
        <f>AND('UP133'!HP124,"AAAAAHt+OhI=")</f>
        <v>#VALUE!</v>
      </c>
      <c r="T162" t="e">
        <f>AND('UP133'!HQ124,"AAAAAHt+OhM=")</f>
        <v>#VALUE!</v>
      </c>
      <c r="U162" t="e">
        <f>AND('UP133'!HR124,"AAAAAHt+OhQ=")</f>
        <v>#VALUE!</v>
      </c>
      <c r="V162" t="e">
        <f>AND('UP133'!HS124,"AAAAAHt+OhU=")</f>
        <v>#VALUE!</v>
      </c>
      <c r="W162" t="e">
        <f>AND('UP133'!HT124,"AAAAAHt+OhY=")</f>
        <v>#VALUE!</v>
      </c>
      <c r="X162" t="e">
        <f>AND('UP133'!HU124,"AAAAAHt+Ohc=")</f>
        <v>#VALUE!</v>
      </c>
      <c r="Y162" t="e">
        <f>AND('UP133'!HV124,"AAAAAHt+Ohg=")</f>
        <v>#VALUE!</v>
      </c>
      <c r="Z162" t="e">
        <f>AND('UP133'!HW124,"AAAAAHt+Ohk=")</f>
        <v>#VALUE!</v>
      </c>
      <c r="AA162" t="e">
        <f>AND('UP133'!HX124,"AAAAAHt+Oho=")</f>
        <v>#VALUE!</v>
      </c>
      <c r="AB162" t="e">
        <f>AND('UP133'!HY124,"AAAAAHt+Ohs=")</f>
        <v>#VALUE!</v>
      </c>
      <c r="AC162" t="e">
        <f>AND('UP133'!HZ124,"AAAAAHt+Ohw=")</f>
        <v>#VALUE!</v>
      </c>
      <c r="AD162" t="e">
        <f>AND('UP133'!IA124,"AAAAAHt+Oh0=")</f>
        <v>#VALUE!</v>
      </c>
      <c r="AE162" t="e">
        <f>AND('UP133'!IB124,"AAAAAHt+Oh4=")</f>
        <v>#VALUE!</v>
      </c>
      <c r="AF162" t="e">
        <f>AND('UP133'!IC124,"AAAAAHt+Oh8=")</f>
        <v>#VALUE!</v>
      </c>
      <c r="AG162" t="e">
        <f>AND('UP133'!ID124,"AAAAAHt+OiA=")</f>
        <v>#VALUE!</v>
      </c>
      <c r="AH162" t="e">
        <f>AND('UP133'!IE124,"AAAAAHt+OiE=")</f>
        <v>#VALUE!</v>
      </c>
      <c r="AI162" t="e">
        <f>AND('UP133'!IF124,"AAAAAHt+OiI=")</f>
        <v>#VALUE!</v>
      </c>
      <c r="AJ162" t="e">
        <f>AND('UP133'!IG124,"AAAAAHt+OiM=")</f>
        <v>#VALUE!</v>
      </c>
      <c r="AK162" t="e">
        <f>AND('UP133'!IH124,"AAAAAHt+OiQ=")</f>
        <v>#VALUE!</v>
      </c>
      <c r="AL162" t="e">
        <f>AND('UP133'!II124,"AAAAAHt+OiU=")</f>
        <v>#VALUE!</v>
      </c>
      <c r="AM162" t="e">
        <f>AND('UP133'!IJ124,"AAAAAHt+OiY=")</f>
        <v>#VALUE!</v>
      </c>
      <c r="AN162" t="e">
        <f>AND('UP133'!IK124,"AAAAAHt+Oic=")</f>
        <v>#VALUE!</v>
      </c>
      <c r="AO162" t="e">
        <f>AND('UP133'!IL124,"AAAAAHt+Oig=")</f>
        <v>#VALUE!</v>
      </c>
      <c r="AP162" t="e">
        <f>AND('UP133'!IM124,"AAAAAHt+Oik=")</f>
        <v>#VALUE!</v>
      </c>
      <c r="AQ162" t="e">
        <f>AND('UP133'!IN124,"AAAAAHt+Oio=")</f>
        <v>#VALUE!</v>
      </c>
      <c r="AR162" t="e">
        <f>AND('UP133'!IO124,"AAAAAHt+Ois=")</f>
        <v>#VALUE!</v>
      </c>
      <c r="AS162" t="e">
        <f>AND('UP133'!IP124,"AAAAAHt+Oiw=")</f>
        <v>#VALUE!</v>
      </c>
      <c r="AT162" t="e">
        <f>AND('UP133'!IQ124,"AAAAAHt+Oi0=")</f>
        <v>#VALUE!</v>
      </c>
      <c r="AU162">
        <f>IF('UP133'!125:125,"AAAAAHt+Oi4=",0)</f>
        <v>0</v>
      </c>
      <c r="AV162" t="e">
        <f>AND('UP133'!A125,"AAAAAHt+Oi8=")</f>
        <v>#VALUE!</v>
      </c>
      <c r="AW162" t="e">
        <f>AND('UP133'!B125,"AAAAAHt+OjA=")</f>
        <v>#VALUE!</v>
      </c>
      <c r="AX162" t="e">
        <f>AND('UP133'!C125,"AAAAAHt+OjE=")</f>
        <v>#VALUE!</v>
      </c>
      <c r="AY162" t="e">
        <f>AND('UP133'!D125,"AAAAAHt+OjI=")</f>
        <v>#VALUE!</v>
      </c>
      <c r="AZ162" t="e">
        <f>AND('UP133'!E125,"AAAAAHt+OjM=")</f>
        <v>#VALUE!</v>
      </c>
      <c r="BA162" t="e">
        <f>AND('UP133'!F125,"AAAAAHt+OjQ=")</f>
        <v>#VALUE!</v>
      </c>
      <c r="BB162" t="e">
        <f>AND('UP133'!G125,"AAAAAHt+OjU=")</f>
        <v>#VALUE!</v>
      </c>
      <c r="BC162" t="e">
        <f>AND('UP133'!H125,"AAAAAHt+OjY=")</f>
        <v>#VALUE!</v>
      </c>
      <c r="BD162" t="e">
        <f>AND('UP133'!I125,"AAAAAHt+Ojc=")</f>
        <v>#VALUE!</v>
      </c>
      <c r="BE162" t="e">
        <f>AND('UP133'!J125,"AAAAAHt+Ojg=")</f>
        <v>#VALUE!</v>
      </c>
      <c r="BF162" t="e">
        <f>AND('UP133'!K125,"AAAAAHt+Ojk=")</f>
        <v>#VALUE!</v>
      </c>
      <c r="BG162" t="e">
        <f>AND('UP133'!L125,"AAAAAHt+Ojo=")</f>
        <v>#VALUE!</v>
      </c>
      <c r="BH162" t="e">
        <f>AND('UP133'!M125,"AAAAAHt+Ojs=")</f>
        <v>#VALUE!</v>
      </c>
      <c r="BI162" t="e">
        <f>AND('UP133'!N125,"AAAAAHt+Ojw=")</f>
        <v>#VALUE!</v>
      </c>
      <c r="BJ162" t="e">
        <f>AND('UP133'!O125,"AAAAAHt+Oj0=")</f>
        <v>#VALUE!</v>
      </c>
      <c r="BK162" t="e">
        <f>AND('UP133'!P125,"AAAAAHt+Oj4=")</f>
        <v>#VALUE!</v>
      </c>
      <c r="BL162" t="e">
        <f>AND('UP133'!Q125,"AAAAAHt+Oj8=")</f>
        <v>#VALUE!</v>
      </c>
      <c r="BM162" t="e">
        <f>AND('UP133'!R125,"AAAAAHt+OkA=")</f>
        <v>#VALUE!</v>
      </c>
      <c r="BN162" t="e">
        <f>AND('UP133'!S125,"AAAAAHt+OkE=")</f>
        <v>#VALUE!</v>
      </c>
      <c r="BO162" t="e">
        <f>AND('UP133'!T125,"AAAAAHt+OkI=")</f>
        <v>#VALUE!</v>
      </c>
      <c r="BP162" t="e">
        <f>AND('UP133'!U125,"AAAAAHt+OkM=")</f>
        <v>#VALUE!</v>
      </c>
      <c r="BQ162" t="e">
        <f>AND('UP133'!V125,"AAAAAHt+OkQ=")</f>
        <v>#VALUE!</v>
      </c>
      <c r="BR162" t="e">
        <f>AND('UP133'!W125,"AAAAAHt+OkU=")</f>
        <v>#VALUE!</v>
      </c>
      <c r="BS162" t="e">
        <f>AND('UP133'!X125,"AAAAAHt+OkY=")</f>
        <v>#VALUE!</v>
      </c>
      <c r="BT162" t="e">
        <f>AND('UP133'!Y125,"AAAAAHt+Okc=")</f>
        <v>#VALUE!</v>
      </c>
      <c r="BU162" t="e">
        <f>AND('UP133'!Z125,"AAAAAHt+Okg=")</f>
        <v>#VALUE!</v>
      </c>
      <c r="BV162" t="e">
        <f>AND('UP133'!AA125,"AAAAAHt+Okk=")</f>
        <v>#VALUE!</v>
      </c>
      <c r="BW162" t="e">
        <f>AND('UP133'!AB125,"AAAAAHt+Oko=")</f>
        <v>#VALUE!</v>
      </c>
      <c r="BX162" t="e">
        <f>AND('UP133'!AC125,"AAAAAHt+Oks=")</f>
        <v>#VALUE!</v>
      </c>
      <c r="BY162" t="e">
        <f>AND('UP133'!AD125,"AAAAAHt+Okw=")</f>
        <v>#VALUE!</v>
      </c>
      <c r="BZ162" t="e">
        <f>AND('UP133'!AE125,"AAAAAHt+Ok0=")</f>
        <v>#VALUE!</v>
      </c>
      <c r="CA162" t="e">
        <f>AND('UP133'!AF125,"AAAAAHt+Ok4=")</f>
        <v>#VALUE!</v>
      </c>
      <c r="CB162" t="e">
        <f>AND('UP133'!AG125,"AAAAAHt+Ok8=")</f>
        <v>#VALUE!</v>
      </c>
      <c r="CC162" t="e">
        <f>AND('UP133'!AH125,"AAAAAHt+OlA=")</f>
        <v>#VALUE!</v>
      </c>
      <c r="CD162" t="e">
        <f>AND('UP133'!AI125,"AAAAAHt+OlE=")</f>
        <v>#VALUE!</v>
      </c>
      <c r="CE162" t="e">
        <f>AND('UP133'!AJ125,"AAAAAHt+OlI=")</f>
        <v>#VALUE!</v>
      </c>
      <c r="CF162" t="e">
        <f>AND('UP133'!AK125,"AAAAAHt+OlM=")</f>
        <v>#VALUE!</v>
      </c>
      <c r="CG162" t="e">
        <f>AND('UP133'!AL125,"AAAAAHt+OlQ=")</f>
        <v>#VALUE!</v>
      </c>
      <c r="CH162" t="e">
        <f>AND('UP133'!AM125,"AAAAAHt+OlU=")</f>
        <v>#VALUE!</v>
      </c>
      <c r="CI162" t="e">
        <f>AND('UP133'!AN125,"AAAAAHt+OlY=")</f>
        <v>#VALUE!</v>
      </c>
      <c r="CJ162" t="e">
        <f>AND('UP133'!AO125,"AAAAAHt+Olc=")</f>
        <v>#VALUE!</v>
      </c>
      <c r="CK162" t="e">
        <f>AND('UP133'!AP125,"AAAAAHt+Olg=")</f>
        <v>#VALUE!</v>
      </c>
      <c r="CL162" t="e">
        <f>AND('UP133'!AQ125,"AAAAAHt+Olk=")</f>
        <v>#VALUE!</v>
      </c>
      <c r="CM162" t="e">
        <f>AND('UP133'!AR125,"AAAAAHt+Olo=")</f>
        <v>#VALUE!</v>
      </c>
      <c r="CN162" t="e">
        <f>AND('UP133'!AS125,"AAAAAHt+Ols=")</f>
        <v>#VALUE!</v>
      </c>
      <c r="CO162" t="e">
        <f>AND('UP133'!AT125,"AAAAAHt+Olw=")</f>
        <v>#VALUE!</v>
      </c>
      <c r="CP162" t="e">
        <f>AND('UP133'!AU125,"AAAAAHt+Ol0=")</f>
        <v>#VALUE!</v>
      </c>
      <c r="CQ162" t="e">
        <f>AND('UP133'!AV125,"AAAAAHt+Ol4=")</f>
        <v>#VALUE!</v>
      </c>
      <c r="CR162" t="e">
        <f>AND('UP133'!AW125,"AAAAAHt+Ol8=")</f>
        <v>#VALUE!</v>
      </c>
      <c r="CS162" t="e">
        <f>AND('UP133'!AX125,"AAAAAHt+OmA=")</f>
        <v>#VALUE!</v>
      </c>
      <c r="CT162" t="e">
        <f>AND('UP133'!AY125,"AAAAAHt+OmE=")</f>
        <v>#VALUE!</v>
      </c>
      <c r="CU162" t="e">
        <f>AND('UP133'!AZ125,"AAAAAHt+OmI=")</f>
        <v>#VALUE!</v>
      </c>
      <c r="CV162" t="e">
        <f>AND('UP133'!BA125,"AAAAAHt+OmM=")</f>
        <v>#VALUE!</v>
      </c>
      <c r="CW162" t="e">
        <f>AND('UP133'!BB125,"AAAAAHt+OmQ=")</f>
        <v>#VALUE!</v>
      </c>
      <c r="CX162" t="e">
        <f>AND('UP133'!BC125,"AAAAAHt+OmU=")</f>
        <v>#VALUE!</v>
      </c>
      <c r="CY162" t="e">
        <f>AND('UP133'!BD125,"AAAAAHt+OmY=")</f>
        <v>#VALUE!</v>
      </c>
      <c r="CZ162" t="e">
        <f>AND('UP133'!BE125,"AAAAAHt+Omc=")</f>
        <v>#VALUE!</v>
      </c>
      <c r="DA162" t="e">
        <f>AND('UP133'!BF125,"AAAAAHt+Omg=")</f>
        <v>#VALUE!</v>
      </c>
      <c r="DB162" t="e">
        <f>AND('UP133'!BG125,"AAAAAHt+Omk=")</f>
        <v>#VALUE!</v>
      </c>
      <c r="DC162" t="e">
        <f>AND('UP133'!BH125,"AAAAAHt+Omo=")</f>
        <v>#VALUE!</v>
      </c>
      <c r="DD162" t="e">
        <f>AND('UP133'!BI125,"AAAAAHt+Oms=")</f>
        <v>#VALUE!</v>
      </c>
      <c r="DE162" t="e">
        <f>AND('UP133'!BJ125,"AAAAAHt+Omw=")</f>
        <v>#VALUE!</v>
      </c>
      <c r="DF162" t="e">
        <f>AND('UP133'!BK125,"AAAAAHt+Om0=")</f>
        <v>#VALUE!</v>
      </c>
      <c r="DG162" t="e">
        <f>AND('UP133'!BL125,"AAAAAHt+Om4=")</f>
        <v>#VALUE!</v>
      </c>
      <c r="DH162" t="e">
        <f>AND('UP133'!BM125,"AAAAAHt+Om8=")</f>
        <v>#VALUE!</v>
      </c>
      <c r="DI162" t="e">
        <f>AND('UP133'!BN125,"AAAAAHt+OnA=")</f>
        <v>#VALUE!</v>
      </c>
      <c r="DJ162" t="e">
        <f>AND('UP133'!BO125,"AAAAAHt+OnE=")</f>
        <v>#VALUE!</v>
      </c>
      <c r="DK162" t="e">
        <f>AND('UP133'!BP125,"AAAAAHt+OnI=")</f>
        <v>#VALUE!</v>
      </c>
      <c r="DL162" t="e">
        <f>AND('UP133'!BQ125,"AAAAAHt+OnM=")</f>
        <v>#VALUE!</v>
      </c>
      <c r="DM162" t="e">
        <f>AND('UP133'!BR125,"AAAAAHt+OnQ=")</f>
        <v>#VALUE!</v>
      </c>
      <c r="DN162" t="e">
        <f>AND('UP133'!BS125,"AAAAAHt+OnU=")</f>
        <v>#VALUE!</v>
      </c>
      <c r="DO162" t="e">
        <f>AND('UP133'!BT125,"AAAAAHt+OnY=")</f>
        <v>#VALUE!</v>
      </c>
      <c r="DP162" t="e">
        <f>AND('UP133'!BU125,"AAAAAHt+Onc=")</f>
        <v>#VALUE!</v>
      </c>
      <c r="DQ162" t="e">
        <f>AND('UP133'!BV125,"AAAAAHt+Ong=")</f>
        <v>#VALUE!</v>
      </c>
      <c r="DR162" t="e">
        <f>AND('UP133'!BW125,"AAAAAHt+Onk=")</f>
        <v>#VALUE!</v>
      </c>
      <c r="DS162" t="e">
        <f>AND('UP133'!BX125,"AAAAAHt+Ono=")</f>
        <v>#VALUE!</v>
      </c>
      <c r="DT162" t="e">
        <f>AND('UP133'!BY125,"AAAAAHt+Ons=")</f>
        <v>#VALUE!</v>
      </c>
      <c r="DU162" t="e">
        <f>AND('UP133'!BZ125,"AAAAAHt+Onw=")</f>
        <v>#VALUE!</v>
      </c>
      <c r="DV162" t="e">
        <f>AND('UP133'!CA125,"AAAAAHt+On0=")</f>
        <v>#VALUE!</v>
      </c>
      <c r="DW162" t="e">
        <f>AND('UP133'!CB125,"AAAAAHt+On4=")</f>
        <v>#VALUE!</v>
      </c>
      <c r="DX162" t="e">
        <f>AND('UP133'!CC125,"AAAAAHt+On8=")</f>
        <v>#VALUE!</v>
      </c>
      <c r="DY162" t="e">
        <f>AND('UP133'!CD125,"AAAAAHt+OoA=")</f>
        <v>#VALUE!</v>
      </c>
      <c r="DZ162" t="e">
        <f>AND('UP133'!CE125,"AAAAAHt+OoE=")</f>
        <v>#VALUE!</v>
      </c>
      <c r="EA162" t="e">
        <f>AND('UP133'!CF125,"AAAAAHt+OoI=")</f>
        <v>#VALUE!</v>
      </c>
      <c r="EB162" t="e">
        <f>AND('UP133'!CG125,"AAAAAHt+OoM=")</f>
        <v>#VALUE!</v>
      </c>
      <c r="EC162" t="e">
        <f>AND('UP133'!CH125,"AAAAAHt+OoQ=")</f>
        <v>#VALUE!</v>
      </c>
      <c r="ED162" t="e">
        <f>AND('UP133'!CI125,"AAAAAHt+OoU=")</f>
        <v>#VALUE!</v>
      </c>
      <c r="EE162" t="e">
        <f>AND('UP133'!CJ125,"AAAAAHt+OoY=")</f>
        <v>#VALUE!</v>
      </c>
      <c r="EF162" t="e">
        <f>AND('UP133'!CK125,"AAAAAHt+Ooc=")</f>
        <v>#VALUE!</v>
      </c>
      <c r="EG162" t="e">
        <f>AND('UP133'!CL125,"AAAAAHt+Oog=")</f>
        <v>#VALUE!</v>
      </c>
      <c r="EH162" t="e">
        <f>AND('UP133'!CM125,"AAAAAHt+Ook=")</f>
        <v>#VALUE!</v>
      </c>
      <c r="EI162" t="e">
        <f>AND('UP133'!CN125,"AAAAAHt+Ooo=")</f>
        <v>#VALUE!</v>
      </c>
      <c r="EJ162" t="e">
        <f>AND('UP133'!CO125,"AAAAAHt+Oos=")</f>
        <v>#VALUE!</v>
      </c>
      <c r="EK162" t="e">
        <f>AND('UP133'!CP125,"AAAAAHt+Oow=")</f>
        <v>#VALUE!</v>
      </c>
      <c r="EL162" t="e">
        <f>AND('UP133'!CQ125,"AAAAAHt+Oo0=")</f>
        <v>#VALUE!</v>
      </c>
      <c r="EM162" t="e">
        <f>AND('UP133'!CR125,"AAAAAHt+Oo4=")</f>
        <v>#VALUE!</v>
      </c>
      <c r="EN162" t="e">
        <f>AND('UP133'!CS125,"AAAAAHt+Oo8=")</f>
        <v>#VALUE!</v>
      </c>
      <c r="EO162" t="e">
        <f>AND('UP133'!CT125,"AAAAAHt+OpA=")</f>
        <v>#VALUE!</v>
      </c>
      <c r="EP162" t="e">
        <f>AND('UP133'!CU125,"AAAAAHt+OpE=")</f>
        <v>#VALUE!</v>
      </c>
      <c r="EQ162" t="e">
        <f>AND('UP133'!CV125,"AAAAAHt+OpI=")</f>
        <v>#VALUE!</v>
      </c>
      <c r="ER162" t="e">
        <f>AND('UP133'!CW125,"AAAAAHt+OpM=")</f>
        <v>#VALUE!</v>
      </c>
      <c r="ES162" t="e">
        <f>AND('UP133'!CX125,"AAAAAHt+OpQ=")</f>
        <v>#VALUE!</v>
      </c>
      <c r="ET162" t="e">
        <f>AND('UP133'!CY125,"AAAAAHt+OpU=")</f>
        <v>#VALUE!</v>
      </c>
      <c r="EU162" t="e">
        <f>AND('UP133'!CZ125,"AAAAAHt+OpY=")</f>
        <v>#VALUE!</v>
      </c>
      <c r="EV162" t="e">
        <f>AND('UP133'!DA125,"AAAAAHt+Opc=")</f>
        <v>#VALUE!</v>
      </c>
      <c r="EW162" t="e">
        <f>AND('UP133'!DB125,"AAAAAHt+Opg=")</f>
        <v>#VALUE!</v>
      </c>
      <c r="EX162" t="e">
        <f>AND('UP133'!DC125,"AAAAAHt+Opk=")</f>
        <v>#VALUE!</v>
      </c>
      <c r="EY162" t="e">
        <f>AND('UP133'!DD125,"AAAAAHt+Opo=")</f>
        <v>#VALUE!</v>
      </c>
      <c r="EZ162" t="e">
        <f>AND('UP133'!DE125,"AAAAAHt+Ops=")</f>
        <v>#VALUE!</v>
      </c>
      <c r="FA162" t="e">
        <f>AND('UP133'!DF125,"AAAAAHt+Opw=")</f>
        <v>#VALUE!</v>
      </c>
      <c r="FB162" t="e">
        <f>AND('UP133'!DG125,"AAAAAHt+Op0=")</f>
        <v>#VALUE!</v>
      </c>
      <c r="FC162" t="e">
        <f>AND('UP133'!DH125,"AAAAAHt+Op4=")</f>
        <v>#VALUE!</v>
      </c>
      <c r="FD162" t="e">
        <f>AND('UP133'!DI125,"AAAAAHt+Op8=")</f>
        <v>#VALUE!</v>
      </c>
      <c r="FE162" t="e">
        <f>AND('UP133'!DJ125,"AAAAAHt+OqA=")</f>
        <v>#VALUE!</v>
      </c>
      <c r="FF162" t="e">
        <f>AND('UP133'!DK125,"AAAAAHt+OqE=")</f>
        <v>#VALUE!</v>
      </c>
      <c r="FG162" t="e">
        <f>AND('UP133'!DL125,"AAAAAHt+OqI=")</f>
        <v>#VALUE!</v>
      </c>
      <c r="FH162" t="e">
        <f>AND('UP133'!DM125,"AAAAAHt+OqM=")</f>
        <v>#VALUE!</v>
      </c>
      <c r="FI162" t="e">
        <f>AND('UP133'!DN125,"AAAAAHt+OqQ=")</f>
        <v>#VALUE!</v>
      </c>
      <c r="FJ162" t="e">
        <f>AND('UP133'!DO125,"AAAAAHt+OqU=")</f>
        <v>#VALUE!</v>
      </c>
      <c r="FK162" t="e">
        <f>AND('UP133'!DP125,"AAAAAHt+OqY=")</f>
        <v>#VALUE!</v>
      </c>
      <c r="FL162" t="e">
        <f>AND('UP133'!DQ125,"AAAAAHt+Oqc=")</f>
        <v>#VALUE!</v>
      </c>
      <c r="FM162" t="e">
        <f>AND('UP133'!DR125,"AAAAAHt+Oqg=")</f>
        <v>#VALUE!</v>
      </c>
      <c r="FN162" t="e">
        <f>AND('UP133'!DS125,"AAAAAHt+Oqk=")</f>
        <v>#VALUE!</v>
      </c>
      <c r="FO162" t="e">
        <f>AND('UP133'!DT125,"AAAAAHt+Oqo=")</f>
        <v>#VALUE!</v>
      </c>
      <c r="FP162" t="e">
        <f>AND('UP133'!DU125,"AAAAAHt+Oqs=")</f>
        <v>#VALUE!</v>
      </c>
      <c r="FQ162" t="e">
        <f>AND('UP133'!DV125,"AAAAAHt+Oqw=")</f>
        <v>#VALUE!</v>
      </c>
      <c r="FR162" t="e">
        <f>AND('UP133'!DW125,"AAAAAHt+Oq0=")</f>
        <v>#VALUE!</v>
      </c>
      <c r="FS162" t="e">
        <f>AND('UP133'!DX125,"AAAAAHt+Oq4=")</f>
        <v>#VALUE!</v>
      </c>
      <c r="FT162" t="e">
        <f>AND('UP133'!DY125,"AAAAAHt+Oq8=")</f>
        <v>#VALUE!</v>
      </c>
      <c r="FU162" t="e">
        <f>AND('UP133'!DZ125,"AAAAAHt+OrA=")</f>
        <v>#VALUE!</v>
      </c>
      <c r="FV162" t="e">
        <f>AND('UP133'!EA125,"AAAAAHt+OrE=")</f>
        <v>#VALUE!</v>
      </c>
      <c r="FW162" t="e">
        <f>AND('UP133'!EB125,"AAAAAHt+OrI=")</f>
        <v>#VALUE!</v>
      </c>
      <c r="FX162" t="e">
        <f>AND('UP133'!EC125,"AAAAAHt+OrM=")</f>
        <v>#VALUE!</v>
      </c>
      <c r="FY162" t="e">
        <f>AND('UP133'!ED125,"AAAAAHt+OrQ=")</f>
        <v>#VALUE!</v>
      </c>
      <c r="FZ162" t="e">
        <f>AND('UP133'!EE125,"AAAAAHt+OrU=")</f>
        <v>#VALUE!</v>
      </c>
      <c r="GA162" t="e">
        <f>AND('UP133'!EF125,"AAAAAHt+OrY=")</f>
        <v>#VALUE!</v>
      </c>
      <c r="GB162" t="e">
        <f>AND('UP133'!EG125,"AAAAAHt+Orc=")</f>
        <v>#VALUE!</v>
      </c>
      <c r="GC162" t="e">
        <f>AND('UP133'!EH125,"AAAAAHt+Org=")</f>
        <v>#VALUE!</v>
      </c>
      <c r="GD162" t="e">
        <f>AND('UP133'!EI125,"AAAAAHt+Ork=")</f>
        <v>#VALUE!</v>
      </c>
      <c r="GE162" t="e">
        <f>AND('UP133'!EJ125,"AAAAAHt+Oro=")</f>
        <v>#VALUE!</v>
      </c>
      <c r="GF162" t="e">
        <f>AND('UP133'!EK125,"AAAAAHt+Ors=")</f>
        <v>#VALUE!</v>
      </c>
      <c r="GG162" t="e">
        <f>AND('UP133'!EL125,"AAAAAHt+Orw=")</f>
        <v>#VALUE!</v>
      </c>
      <c r="GH162" t="e">
        <f>AND('UP133'!EM125,"AAAAAHt+Or0=")</f>
        <v>#VALUE!</v>
      </c>
      <c r="GI162" t="e">
        <f>AND('UP133'!EN125,"AAAAAHt+Or4=")</f>
        <v>#VALUE!</v>
      </c>
      <c r="GJ162" t="e">
        <f>AND('UP133'!EO125,"AAAAAHt+Or8=")</f>
        <v>#VALUE!</v>
      </c>
      <c r="GK162" t="e">
        <f>AND('UP133'!EP125,"AAAAAHt+OsA=")</f>
        <v>#VALUE!</v>
      </c>
      <c r="GL162" t="e">
        <f>AND('UP133'!EQ125,"AAAAAHt+OsE=")</f>
        <v>#VALUE!</v>
      </c>
      <c r="GM162" t="e">
        <f>AND('UP133'!ER125,"AAAAAHt+OsI=")</f>
        <v>#VALUE!</v>
      </c>
      <c r="GN162" t="e">
        <f>AND('UP133'!ES125,"AAAAAHt+OsM=")</f>
        <v>#VALUE!</v>
      </c>
      <c r="GO162" t="e">
        <f>AND('UP133'!ET125,"AAAAAHt+OsQ=")</f>
        <v>#VALUE!</v>
      </c>
      <c r="GP162" t="e">
        <f>AND('UP133'!EU125,"AAAAAHt+OsU=")</f>
        <v>#VALUE!</v>
      </c>
      <c r="GQ162" t="e">
        <f>AND('UP133'!EV125,"AAAAAHt+OsY=")</f>
        <v>#VALUE!</v>
      </c>
      <c r="GR162" t="e">
        <f>AND('UP133'!EW125,"AAAAAHt+Osc=")</f>
        <v>#VALUE!</v>
      </c>
      <c r="GS162" t="e">
        <f>AND('UP133'!EX125,"AAAAAHt+Osg=")</f>
        <v>#VALUE!</v>
      </c>
      <c r="GT162" t="e">
        <f>AND('UP133'!EY125,"AAAAAHt+Osk=")</f>
        <v>#VALUE!</v>
      </c>
      <c r="GU162" t="e">
        <f>AND('UP133'!EZ125,"AAAAAHt+Oso=")</f>
        <v>#VALUE!</v>
      </c>
      <c r="GV162" t="e">
        <f>AND('UP133'!FA125,"AAAAAHt+Oss=")</f>
        <v>#VALUE!</v>
      </c>
      <c r="GW162" t="e">
        <f>AND('UP133'!FB125,"AAAAAHt+Osw=")</f>
        <v>#VALUE!</v>
      </c>
      <c r="GX162" t="e">
        <f>AND('UP133'!FC125,"AAAAAHt+Os0=")</f>
        <v>#VALUE!</v>
      </c>
      <c r="GY162" t="e">
        <f>AND('UP133'!FD125,"AAAAAHt+Os4=")</f>
        <v>#VALUE!</v>
      </c>
      <c r="GZ162" t="e">
        <f>AND('UP133'!FE125,"AAAAAHt+Os8=")</f>
        <v>#VALUE!</v>
      </c>
      <c r="HA162" t="e">
        <f>AND('UP133'!FF125,"AAAAAHt+OtA=")</f>
        <v>#VALUE!</v>
      </c>
      <c r="HB162" t="e">
        <f>AND('UP133'!FG125,"AAAAAHt+OtE=")</f>
        <v>#VALUE!</v>
      </c>
      <c r="HC162" t="e">
        <f>AND('UP133'!FH125,"AAAAAHt+OtI=")</f>
        <v>#VALUE!</v>
      </c>
      <c r="HD162" t="e">
        <f>AND('UP133'!FI125,"AAAAAHt+OtM=")</f>
        <v>#VALUE!</v>
      </c>
      <c r="HE162" t="e">
        <f>AND('UP133'!FJ125,"AAAAAHt+OtQ=")</f>
        <v>#VALUE!</v>
      </c>
      <c r="HF162" t="e">
        <f>AND('UP133'!FK125,"AAAAAHt+OtU=")</f>
        <v>#VALUE!</v>
      </c>
      <c r="HG162" t="e">
        <f>AND('UP133'!FL125,"AAAAAHt+OtY=")</f>
        <v>#VALUE!</v>
      </c>
      <c r="HH162" t="e">
        <f>AND('UP133'!FM125,"AAAAAHt+Otc=")</f>
        <v>#VALUE!</v>
      </c>
      <c r="HI162" t="e">
        <f>AND('UP133'!FN125,"AAAAAHt+Otg=")</f>
        <v>#VALUE!</v>
      </c>
      <c r="HJ162" t="e">
        <f>AND('UP133'!FO125,"AAAAAHt+Otk=")</f>
        <v>#VALUE!</v>
      </c>
      <c r="HK162" t="e">
        <f>AND('UP133'!FP125,"AAAAAHt+Oto=")</f>
        <v>#VALUE!</v>
      </c>
      <c r="HL162" t="e">
        <f>AND('UP133'!FQ125,"AAAAAHt+Ots=")</f>
        <v>#VALUE!</v>
      </c>
      <c r="HM162" t="e">
        <f>AND('UP133'!FR125,"AAAAAHt+Otw=")</f>
        <v>#VALUE!</v>
      </c>
      <c r="HN162" t="e">
        <f>AND('UP133'!FS125,"AAAAAHt+Ot0=")</f>
        <v>#VALUE!</v>
      </c>
      <c r="HO162" t="e">
        <f>AND('UP133'!FT125,"AAAAAHt+Ot4=")</f>
        <v>#VALUE!</v>
      </c>
      <c r="HP162" t="e">
        <f>AND('UP133'!FU125,"AAAAAHt+Ot8=")</f>
        <v>#VALUE!</v>
      </c>
      <c r="HQ162" t="e">
        <f>AND('UP133'!FV125,"AAAAAHt+OuA=")</f>
        <v>#VALUE!</v>
      </c>
      <c r="HR162" t="e">
        <f>AND('UP133'!FW125,"AAAAAHt+OuE=")</f>
        <v>#VALUE!</v>
      </c>
      <c r="HS162" t="e">
        <f>AND('UP133'!FX125,"AAAAAHt+OuI=")</f>
        <v>#VALUE!</v>
      </c>
      <c r="HT162" t="e">
        <f>AND('UP133'!FY125,"AAAAAHt+OuM=")</f>
        <v>#VALUE!</v>
      </c>
      <c r="HU162" t="e">
        <f>AND('UP133'!FZ125,"AAAAAHt+OuQ=")</f>
        <v>#VALUE!</v>
      </c>
      <c r="HV162" t="e">
        <f>AND('UP133'!GA125,"AAAAAHt+OuU=")</f>
        <v>#VALUE!</v>
      </c>
      <c r="HW162" t="e">
        <f>AND('UP133'!GB125,"AAAAAHt+OuY=")</f>
        <v>#VALUE!</v>
      </c>
      <c r="HX162" t="e">
        <f>AND('UP133'!GC125,"AAAAAHt+Ouc=")</f>
        <v>#VALUE!</v>
      </c>
      <c r="HY162" t="e">
        <f>AND('UP133'!GD125,"AAAAAHt+Oug=")</f>
        <v>#VALUE!</v>
      </c>
      <c r="HZ162" t="e">
        <f>AND('UP133'!GE125,"AAAAAHt+Ouk=")</f>
        <v>#VALUE!</v>
      </c>
      <c r="IA162" t="e">
        <f>AND('UP133'!GF125,"AAAAAHt+Ouo=")</f>
        <v>#VALUE!</v>
      </c>
      <c r="IB162" t="e">
        <f>AND('UP133'!GG125,"AAAAAHt+Ous=")</f>
        <v>#VALUE!</v>
      </c>
      <c r="IC162" t="e">
        <f>AND('UP133'!GH125,"AAAAAHt+Ouw=")</f>
        <v>#VALUE!</v>
      </c>
      <c r="ID162" t="e">
        <f>AND('UP133'!GI125,"AAAAAHt+Ou0=")</f>
        <v>#VALUE!</v>
      </c>
      <c r="IE162" t="e">
        <f>AND('UP133'!GJ125,"AAAAAHt+Ou4=")</f>
        <v>#VALUE!</v>
      </c>
      <c r="IF162" t="e">
        <f>AND('UP133'!GK125,"AAAAAHt+Ou8=")</f>
        <v>#VALUE!</v>
      </c>
      <c r="IG162" t="e">
        <f>AND('UP133'!GL125,"AAAAAHt+OvA=")</f>
        <v>#VALUE!</v>
      </c>
      <c r="IH162" t="e">
        <f>AND('UP133'!GM125,"AAAAAHt+OvE=")</f>
        <v>#VALUE!</v>
      </c>
      <c r="II162" t="e">
        <f>AND('UP133'!GN125,"AAAAAHt+OvI=")</f>
        <v>#VALUE!</v>
      </c>
      <c r="IJ162" t="e">
        <f>AND('UP133'!GO125,"AAAAAHt+OvM=")</f>
        <v>#VALUE!</v>
      </c>
      <c r="IK162" t="e">
        <f>AND('UP133'!GP125,"AAAAAHt+OvQ=")</f>
        <v>#VALUE!</v>
      </c>
      <c r="IL162" t="e">
        <f>AND('UP133'!GQ125,"AAAAAHt+OvU=")</f>
        <v>#VALUE!</v>
      </c>
      <c r="IM162" t="e">
        <f>AND('UP133'!GR125,"AAAAAHt+OvY=")</f>
        <v>#VALUE!</v>
      </c>
      <c r="IN162" t="e">
        <f>AND('UP133'!GS125,"AAAAAHt+Ovc=")</f>
        <v>#VALUE!</v>
      </c>
      <c r="IO162" t="e">
        <f>AND('UP133'!GT125,"AAAAAHt+Ovg=")</f>
        <v>#VALUE!</v>
      </c>
      <c r="IP162" t="e">
        <f>AND('UP133'!GU125,"AAAAAHt+Ovk=")</f>
        <v>#VALUE!</v>
      </c>
      <c r="IQ162" t="e">
        <f>AND('UP133'!GV125,"AAAAAHt+Ovo=")</f>
        <v>#VALUE!</v>
      </c>
      <c r="IR162" t="e">
        <f>AND('UP133'!GW125,"AAAAAHt+Ovs=")</f>
        <v>#VALUE!</v>
      </c>
      <c r="IS162" t="e">
        <f>AND('UP133'!GX125,"AAAAAHt+Ovw=")</f>
        <v>#VALUE!</v>
      </c>
      <c r="IT162" t="e">
        <f>AND('UP133'!GY125,"AAAAAHt+Ov0=")</f>
        <v>#VALUE!</v>
      </c>
      <c r="IU162" t="e">
        <f>AND('UP133'!GZ125,"AAAAAHt+Ov4=")</f>
        <v>#VALUE!</v>
      </c>
      <c r="IV162" t="e">
        <f>AND('UP133'!HA125,"AAAAAHt+Ov8=")</f>
        <v>#VALUE!</v>
      </c>
    </row>
    <row r="163" spans="1:256">
      <c r="A163" t="e">
        <f>AND('UP133'!HB125,"AAAAAHj3zgA=")</f>
        <v>#VALUE!</v>
      </c>
      <c r="B163" t="e">
        <f>AND('UP133'!HC125,"AAAAAHj3zgE=")</f>
        <v>#VALUE!</v>
      </c>
      <c r="C163" t="e">
        <f>AND('UP133'!HD125,"AAAAAHj3zgI=")</f>
        <v>#VALUE!</v>
      </c>
      <c r="D163" t="e">
        <f>AND('UP133'!HE125,"AAAAAHj3zgM=")</f>
        <v>#VALUE!</v>
      </c>
      <c r="E163" t="e">
        <f>AND('UP133'!HF125,"AAAAAHj3zgQ=")</f>
        <v>#VALUE!</v>
      </c>
      <c r="F163" t="e">
        <f>AND('UP133'!HG125,"AAAAAHj3zgU=")</f>
        <v>#VALUE!</v>
      </c>
      <c r="G163" t="e">
        <f>AND('UP133'!HH125,"AAAAAHj3zgY=")</f>
        <v>#VALUE!</v>
      </c>
      <c r="H163" t="e">
        <f>AND('UP133'!HI125,"AAAAAHj3zgc=")</f>
        <v>#VALUE!</v>
      </c>
      <c r="I163" t="e">
        <f>AND('UP133'!HJ125,"AAAAAHj3zgg=")</f>
        <v>#VALUE!</v>
      </c>
      <c r="J163" t="e">
        <f>AND('UP133'!HK125,"AAAAAHj3zgk=")</f>
        <v>#VALUE!</v>
      </c>
      <c r="K163" t="e">
        <f>AND('UP133'!HL125,"AAAAAHj3zgo=")</f>
        <v>#VALUE!</v>
      </c>
      <c r="L163" t="e">
        <f>AND('UP133'!HM125,"AAAAAHj3zgs=")</f>
        <v>#VALUE!</v>
      </c>
      <c r="M163" t="e">
        <f>AND('UP133'!HN125,"AAAAAHj3zgw=")</f>
        <v>#VALUE!</v>
      </c>
      <c r="N163" t="e">
        <f>AND('UP133'!HO125,"AAAAAHj3zg0=")</f>
        <v>#VALUE!</v>
      </c>
      <c r="O163" t="e">
        <f>AND('UP133'!HP125,"AAAAAHj3zg4=")</f>
        <v>#VALUE!</v>
      </c>
      <c r="P163" t="e">
        <f>AND('UP133'!HQ125,"AAAAAHj3zg8=")</f>
        <v>#VALUE!</v>
      </c>
      <c r="Q163" t="e">
        <f>AND('UP133'!HR125,"AAAAAHj3zhA=")</f>
        <v>#VALUE!</v>
      </c>
      <c r="R163" t="e">
        <f>AND('UP133'!HS125,"AAAAAHj3zhE=")</f>
        <v>#VALUE!</v>
      </c>
      <c r="S163" t="e">
        <f>AND('UP133'!HT125,"AAAAAHj3zhI=")</f>
        <v>#VALUE!</v>
      </c>
      <c r="T163" t="e">
        <f>AND('UP133'!HU125,"AAAAAHj3zhM=")</f>
        <v>#VALUE!</v>
      </c>
      <c r="U163" t="e">
        <f>AND('UP133'!HV125,"AAAAAHj3zhQ=")</f>
        <v>#VALUE!</v>
      </c>
      <c r="V163" t="e">
        <f>AND('UP133'!HW125,"AAAAAHj3zhU=")</f>
        <v>#VALUE!</v>
      </c>
      <c r="W163" t="e">
        <f>AND('UP133'!HX125,"AAAAAHj3zhY=")</f>
        <v>#VALUE!</v>
      </c>
      <c r="X163" t="e">
        <f>AND('UP133'!HY125,"AAAAAHj3zhc=")</f>
        <v>#VALUE!</v>
      </c>
      <c r="Y163" t="e">
        <f>AND('UP133'!HZ125,"AAAAAHj3zhg=")</f>
        <v>#VALUE!</v>
      </c>
      <c r="Z163" t="e">
        <f>AND('UP133'!IA125,"AAAAAHj3zhk=")</f>
        <v>#VALUE!</v>
      </c>
      <c r="AA163" t="e">
        <f>AND('UP133'!IB125,"AAAAAHj3zho=")</f>
        <v>#VALUE!</v>
      </c>
      <c r="AB163" t="e">
        <f>AND('UP133'!IC125,"AAAAAHj3zhs=")</f>
        <v>#VALUE!</v>
      </c>
      <c r="AC163" t="e">
        <f>AND('UP133'!ID125,"AAAAAHj3zhw=")</f>
        <v>#VALUE!</v>
      </c>
      <c r="AD163" t="e">
        <f>AND('UP133'!IE125,"AAAAAHj3zh0=")</f>
        <v>#VALUE!</v>
      </c>
      <c r="AE163" t="e">
        <f>AND('UP133'!IF125,"AAAAAHj3zh4=")</f>
        <v>#VALUE!</v>
      </c>
      <c r="AF163" t="e">
        <f>AND('UP133'!IG125,"AAAAAHj3zh8=")</f>
        <v>#VALUE!</v>
      </c>
      <c r="AG163" t="e">
        <f>AND('UP133'!IH125,"AAAAAHj3ziA=")</f>
        <v>#VALUE!</v>
      </c>
      <c r="AH163" t="e">
        <f>AND('UP133'!II125,"AAAAAHj3ziE=")</f>
        <v>#VALUE!</v>
      </c>
      <c r="AI163" t="e">
        <f>AND('UP133'!IJ125,"AAAAAHj3ziI=")</f>
        <v>#VALUE!</v>
      </c>
      <c r="AJ163" t="e">
        <f>AND('UP133'!IK125,"AAAAAHj3ziM=")</f>
        <v>#VALUE!</v>
      </c>
      <c r="AK163" t="e">
        <f>AND('UP133'!IL125,"AAAAAHj3ziQ=")</f>
        <v>#VALUE!</v>
      </c>
      <c r="AL163" t="e">
        <f>AND('UP133'!IM125,"AAAAAHj3ziU=")</f>
        <v>#VALUE!</v>
      </c>
      <c r="AM163" t="e">
        <f>AND('UP133'!IN125,"AAAAAHj3ziY=")</f>
        <v>#VALUE!</v>
      </c>
      <c r="AN163" t="e">
        <f>AND('UP133'!IO125,"AAAAAHj3zic=")</f>
        <v>#VALUE!</v>
      </c>
      <c r="AO163" t="e">
        <f>AND('UP133'!IP125,"AAAAAHj3zig=")</f>
        <v>#VALUE!</v>
      </c>
      <c r="AP163" t="e">
        <f>AND('UP133'!IQ125,"AAAAAHj3zik=")</f>
        <v>#VALUE!</v>
      </c>
      <c r="AQ163">
        <f>IF('UP133'!126:126,"AAAAAHj3zio=",0)</f>
        <v>0</v>
      </c>
      <c r="AR163" t="e">
        <f>AND('UP133'!A126,"AAAAAHj3zis=")</f>
        <v>#VALUE!</v>
      </c>
      <c r="AS163" t="e">
        <f>AND('UP133'!B126,"AAAAAHj3ziw=")</f>
        <v>#VALUE!</v>
      </c>
      <c r="AT163" t="e">
        <f>AND('UP133'!C126,"AAAAAHj3zi0=")</f>
        <v>#VALUE!</v>
      </c>
      <c r="AU163" t="e">
        <f>AND('UP133'!D126,"AAAAAHj3zi4=")</f>
        <v>#VALUE!</v>
      </c>
      <c r="AV163" t="e">
        <f>AND('UP133'!E126,"AAAAAHj3zi8=")</f>
        <v>#VALUE!</v>
      </c>
      <c r="AW163" t="e">
        <f>AND('UP133'!F126,"AAAAAHj3zjA=")</f>
        <v>#VALUE!</v>
      </c>
      <c r="AX163" t="e">
        <f>AND('UP133'!G126,"AAAAAHj3zjE=")</f>
        <v>#VALUE!</v>
      </c>
      <c r="AY163" t="e">
        <f>AND('UP133'!H126,"AAAAAHj3zjI=")</f>
        <v>#VALUE!</v>
      </c>
      <c r="AZ163" t="e">
        <f>AND('UP133'!I126,"AAAAAHj3zjM=")</f>
        <v>#VALUE!</v>
      </c>
      <c r="BA163" t="e">
        <f>AND('UP133'!J126,"AAAAAHj3zjQ=")</f>
        <v>#VALUE!</v>
      </c>
      <c r="BB163" t="e">
        <f>AND('UP133'!K126,"AAAAAHj3zjU=")</f>
        <v>#VALUE!</v>
      </c>
      <c r="BC163" t="e">
        <f>AND('UP133'!L126,"AAAAAHj3zjY=")</f>
        <v>#VALUE!</v>
      </c>
      <c r="BD163" t="e">
        <f>AND('UP133'!M126,"AAAAAHj3zjc=")</f>
        <v>#VALUE!</v>
      </c>
      <c r="BE163" t="e">
        <f>AND('UP133'!N126,"AAAAAHj3zjg=")</f>
        <v>#VALUE!</v>
      </c>
      <c r="BF163" t="e">
        <f>AND('UP133'!O126,"AAAAAHj3zjk=")</f>
        <v>#VALUE!</v>
      </c>
      <c r="BG163" t="e">
        <f>AND('UP133'!P126,"AAAAAHj3zjo=")</f>
        <v>#VALUE!</v>
      </c>
      <c r="BH163" t="e">
        <f>AND('UP133'!Q126,"AAAAAHj3zjs=")</f>
        <v>#VALUE!</v>
      </c>
      <c r="BI163" t="e">
        <f>AND('UP133'!R126,"AAAAAHj3zjw=")</f>
        <v>#VALUE!</v>
      </c>
      <c r="BJ163" t="e">
        <f>AND('UP133'!S126,"AAAAAHj3zj0=")</f>
        <v>#VALUE!</v>
      </c>
      <c r="BK163" t="e">
        <f>AND('UP133'!T126,"AAAAAHj3zj4=")</f>
        <v>#VALUE!</v>
      </c>
      <c r="BL163" t="e">
        <f>AND('UP133'!U126,"AAAAAHj3zj8=")</f>
        <v>#VALUE!</v>
      </c>
      <c r="BM163" t="e">
        <f>AND('UP133'!V126,"AAAAAHj3zkA=")</f>
        <v>#VALUE!</v>
      </c>
      <c r="BN163" t="e">
        <f>AND('UP133'!W126,"AAAAAHj3zkE=")</f>
        <v>#VALUE!</v>
      </c>
      <c r="BO163" t="e">
        <f>AND('UP133'!X126,"AAAAAHj3zkI=")</f>
        <v>#VALUE!</v>
      </c>
      <c r="BP163" t="e">
        <f>AND('UP133'!Y126,"AAAAAHj3zkM=")</f>
        <v>#VALUE!</v>
      </c>
      <c r="BQ163" t="e">
        <f>AND('UP133'!Z126,"AAAAAHj3zkQ=")</f>
        <v>#VALUE!</v>
      </c>
      <c r="BR163" t="e">
        <f>AND('UP133'!AA126,"AAAAAHj3zkU=")</f>
        <v>#VALUE!</v>
      </c>
      <c r="BS163" t="e">
        <f>AND('UP133'!AB126,"AAAAAHj3zkY=")</f>
        <v>#VALUE!</v>
      </c>
      <c r="BT163" t="e">
        <f>AND('UP133'!AC126,"AAAAAHj3zkc=")</f>
        <v>#VALUE!</v>
      </c>
      <c r="BU163" t="e">
        <f>AND('UP133'!AD126,"AAAAAHj3zkg=")</f>
        <v>#VALUE!</v>
      </c>
      <c r="BV163" t="e">
        <f>AND('UP133'!AE126,"AAAAAHj3zkk=")</f>
        <v>#VALUE!</v>
      </c>
      <c r="BW163" t="e">
        <f>AND('UP133'!AF126,"AAAAAHj3zko=")</f>
        <v>#VALUE!</v>
      </c>
      <c r="BX163" t="e">
        <f>AND('UP133'!AG126,"AAAAAHj3zks=")</f>
        <v>#VALUE!</v>
      </c>
      <c r="BY163" t="e">
        <f>AND('UP133'!AH126,"AAAAAHj3zkw=")</f>
        <v>#VALUE!</v>
      </c>
      <c r="BZ163" t="e">
        <f>AND('UP133'!AI126,"AAAAAHj3zk0=")</f>
        <v>#VALUE!</v>
      </c>
      <c r="CA163" t="e">
        <f>AND('UP133'!AJ126,"AAAAAHj3zk4=")</f>
        <v>#VALUE!</v>
      </c>
      <c r="CB163" t="e">
        <f>AND('UP133'!AK126,"AAAAAHj3zk8=")</f>
        <v>#VALUE!</v>
      </c>
      <c r="CC163" t="e">
        <f>AND('UP133'!AL126,"AAAAAHj3zlA=")</f>
        <v>#VALUE!</v>
      </c>
      <c r="CD163" t="e">
        <f>AND('UP133'!AM126,"AAAAAHj3zlE=")</f>
        <v>#VALUE!</v>
      </c>
      <c r="CE163" t="e">
        <f>AND('UP133'!AN126,"AAAAAHj3zlI=")</f>
        <v>#VALUE!</v>
      </c>
      <c r="CF163" t="e">
        <f>AND('UP133'!AO126,"AAAAAHj3zlM=")</f>
        <v>#VALUE!</v>
      </c>
      <c r="CG163" t="e">
        <f>AND('UP133'!AP126,"AAAAAHj3zlQ=")</f>
        <v>#VALUE!</v>
      </c>
      <c r="CH163" t="e">
        <f>AND('UP133'!AQ126,"AAAAAHj3zlU=")</f>
        <v>#VALUE!</v>
      </c>
      <c r="CI163" t="e">
        <f>AND('UP133'!AR126,"AAAAAHj3zlY=")</f>
        <v>#VALUE!</v>
      </c>
      <c r="CJ163" t="e">
        <f>AND('UP133'!AS126,"AAAAAHj3zlc=")</f>
        <v>#VALUE!</v>
      </c>
      <c r="CK163" t="e">
        <f>AND('UP133'!AT126,"AAAAAHj3zlg=")</f>
        <v>#VALUE!</v>
      </c>
      <c r="CL163" t="e">
        <f>AND('UP133'!AU126,"AAAAAHj3zlk=")</f>
        <v>#VALUE!</v>
      </c>
      <c r="CM163" t="e">
        <f>AND('UP133'!AV126,"AAAAAHj3zlo=")</f>
        <v>#VALUE!</v>
      </c>
      <c r="CN163" t="e">
        <f>AND('UP133'!AW126,"AAAAAHj3zls=")</f>
        <v>#VALUE!</v>
      </c>
      <c r="CO163" t="e">
        <f>AND('UP133'!AX126,"AAAAAHj3zlw=")</f>
        <v>#VALUE!</v>
      </c>
      <c r="CP163" t="e">
        <f>AND('UP133'!AY126,"AAAAAHj3zl0=")</f>
        <v>#VALUE!</v>
      </c>
      <c r="CQ163" t="e">
        <f>AND('UP133'!AZ126,"AAAAAHj3zl4=")</f>
        <v>#VALUE!</v>
      </c>
      <c r="CR163" t="e">
        <f>AND('UP133'!BA126,"AAAAAHj3zl8=")</f>
        <v>#VALUE!</v>
      </c>
      <c r="CS163" t="e">
        <f>AND('UP133'!BB126,"AAAAAHj3zmA=")</f>
        <v>#VALUE!</v>
      </c>
      <c r="CT163" t="e">
        <f>AND('UP133'!BC126,"AAAAAHj3zmE=")</f>
        <v>#VALUE!</v>
      </c>
      <c r="CU163" t="e">
        <f>AND('UP133'!BD126,"AAAAAHj3zmI=")</f>
        <v>#VALUE!</v>
      </c>
      <c r="CV163" t="e">
        <f>AND('UP133'!BE126,"AAAAAHj3zmM=")</f>
        <v>#VALUE!</v>
      </c>
      <c r="CW163" t="e">
        <f>AND('UP133'!BF126,"AAAAAHj3zmQ=")</f>
        <v>#VALUE!</v>
      </c>
      <c r="CX163" t="e">
        <f>AND('UP133'!BG126,"AAAAAHj3zmU=")</f>
        <v>#VALUE!</v>
      </c>
      <c r="CY163" t="e">
        <f>AND('UP133'!BH126,"AAAAAHj3zmY=")</f>
        <v>#VALUE!</v>
      </c>
      <c r="CZ163" t="e">
        <f>AND('UP133'!BI126,"AAAAAHj3zmc=")</f>
        <v>#VALUE!</v>
      </c>
      <c r="DA163" t="e">
        <f>AND('UP133'!BJ126,"AAAAAHj3zmg=")</f>
        <v>#VALUE!</v>
      </c>
      <c r="DB163" t="e">
        <f>AND('UP133'!BK126,"AAAAAHj3zmk=")</f>
        <v>#VALUE!</v>
      </c>
      <c r="DC163" t="e">
        <f>AND('UP133'!BL126,"AAAAAHj3zmo=")</f>
        <v>#VALUE!</v>
      </c>
      <c r="DD163" t="e">
        <f>AND('UP133'!BM126,"AAAAAHj3zms=")</f>
        <v>#VALUE!</v>
      </c>
      <c r="DE163" t="e">
        <f>AND('UP133'!BN126,"AAAAAHj3zmw=")</f>
        <v>#VALUE!</v>
      </c>
      <c r="DF163" t="e">
        <f>AND('UP133'!BO126,"AAAAAHj3zm0=")</f>
        <v>#VALUE!</v>
      </c>
      <c r="DG163" t="e">
        <f>AND('UP133'!BP126,"AAAAAHj3zm4=")</f>
        <v>#VALUE!</v>
      </c>
      <c r="DH163" t="e">
        <f>AND('UP133'!BQ126,"AAAAAHj3zm8=")</f>
        <v>#VALUE!</v>
      </c>
      <c r="DI163" t="e">
        <f>AND('UP133'!BR126,"AAAAAHj3znA=")</f>
        <v>#VALUE!</v>
      </c>
      <c r="DJ163" t="e">
        <f>AND('UP133'!BS126,"AAAAAHj3znE=")</f>
        <v>#VALUE!</v>
      </c>
      <c r="DK163" t="e">
        <f>AND('UP133'!BT126,"AAAAAHj3znI=")</f>
        <v>#VALUE!</v>
      </c>
      <c r="DL163" t="e">
        <f>AND('UP133'!BU126,"AAAAAHj3znM=")</f>
        <v>#VALUE!</v>
      </c>
      <c r="DM163" t="e">
        <f>AND('UP133'!BV126,"AAAAAHj3znQ=")</f>
        <v>#VALUE!</v>
      </c>
      <c r="DN163" t="e">
        <f>AND('UP133'!BW126,"AAAAAHj3znU=")</f>
        <v>#VALUE!</v>
      </c>
      <c r="DO163" t="e">
        <f>AND('UP133'!BX126,"AAAAAHj3znY=")</f>
        <v>#VALUE!</v>
      </c>
      <c r="DP163" t="e">
        <f>AND('UP133'!BY126,"AAAAAHj3znc=")</f>
        <v>#VALUE!</v>
      </c>
      <c r="DQ163" t="e">
        <f>AND('UP133'!BZ126,"AAAAAHj3zng=")</f>
        <v>#VALUE!</v>
      </c>
      <c r="DR163" t="e">
        <f>AND('UP133'!CA126,"AAAAAHj3znk=")</f>
        <v>#VALUE!</v>
      </c>
      <c r="DS163" t="e">
        <f>AND('UP133'!CB126,"AAAAAHj3zno=")</f>
        <v>#VALUE!</v>
      </c>
      <c r="DT163" t="e">
        <f>AND('UP133'!CC126,"AAAAAHj3zns=")</f>
        <v>#VALUE!</v>
      </c>
      <c r="DU163" t="e">
        <f>AND('UP133'!CD126,"AAAAAHj3znw=")</f>
        <v>#VALUE!</v>
      </c>
      <c r="DV163" t="e">
        <f>AND('UP133'!CE126,"AAAAAHj3zn0=")</f>
        <v>#VALUE!</v>
      </c>
      <c r="DW163" t="e">
        <f>AND('UP133'!CF126,"AAAAAHj3zn4=")</f>
        <v>#VALUE!</v>
      </c>
      <c r="DX163" t="e">
        <f>AND('UP133'!CG126,"AAAAAHj3zn8=")</f>
        <v>#VALUE!</v>
      </c>
      <c r="DY163" t="e">
        <f>AND('UP133'!CH126,"AAAAAHj3zoA=")</f>
        <v>#VALUE!</v>
      </c>
      <c r="DZ163" t="e">
        <f>AND('UP133'!CI126,"AAAAAHj3zoE=")</f>
        <v>#VALUE!</v>
      </c>
      <c r="EA163" t="e">
        <f>AND('UP133'!CJ126,"AAAAAHj3zoI=")</f>
        <v>#VALUE!</v>
      </c>
      <c r="EB163" t="e">
        <f>AND('UP133'!CK126,"AAAAAHj3zoM=")</f>
        <v>#VALUE!</v>
      </c>
      <c r="EC163" t="e">
        <f>AND('UP133'!CL126,"AAAAAHj3zoQ=")</f>
        <v>#VALUE!</v>
      </c>
      <c r="ED163" t="e">
        <f>AND('UP133'!CM126,"AAAAAHj3zoU=")</f>
        <v>#VALUE!</v>
      </c>
      <c r="EE163" t="e">
        <f>AND('UP133'!CN126,"AAAAAHj3zoY=")</f>
        <v>#VALUE!</v>
      </c>
      <c r="EF163" t="e">
        <f>AND('UP133'!CO126,"AAAAAHj3zoc=")</f>
        <v>#VALUE!</v>
      </c>
      <c r="EG163" t="e">
        <f>AND('UP133'!CP126,"AAAAAHj3zog=")</f>
        <v>#VALUE!</v>
      </c>
      <c r="EH163" t="e">
        <f>AND('UP133'!CQ126,"AAAAAHj3zok=")</f>
        <v>#VALUE!</v>
      </c>
      <c r="EI163" t="e">
        <f>AND('UP133'!CR126,"AAAAAHj3zoo=")</f>
        <v>#VALUE!</v>
      </c>
      <c r="EJ163" t="e">
        <f>AND('UP133'!CS126,"AAAAAHj3zos=")</f>
        <v>#VALUE!</v>
      </c>
      <c r="EK163" t="e">
        <f>AND('UP133'!CT126,"AAAAAHj3zow=")</f>
        <v>#VALUE!</v>
      </c>
      <c r="EL163" t="e">
        <f>AND('UP133'!CU126,"AAAAAHj3zo0=")</f>
        <v>#VALUE!</v>
      </c>
      <c r="EM163" t="e">
        <f>AND('UP133'!CV126,"AAAAAHj3zo4=")</f>
        <v>#VALUE!</v>
      </c>
      <c r="EN163" t="e">
        <f>AND('UP133'!CW126,"AAAAAHj3zo8=")</f>
        <v>#VALUE!</v>
      </c>
      <c r="EO163" t="e">
        <f>AND('UP133'!CX126,"AAAAAHj3zpA=")</f>
        <v>#VALUE!</v>
      </c>
      <c r="EP163" t="e">
        <f>AND('UP133'!CY126,"AAAAAHj3zpE=")</f>
        <v>#VALUE!</v>
      </c>
      <c r="EQ163" t="e">
        <f>AND('UP133'!CZ126,"AAAAAHj3zpI=")</f>
        <v>#VALUE!</v>
      </c>
      <c r="ER163" t="e">
        <f>AND('UP133'!DA126,"AAAAAHj3zpM=")</f>
        <v>#VALUE!</v>
      </c>
      <c r="ES163" t="e">
        <f>AND('UP133'!DB126,"AAAAAHj3zpQ=")</f>
        <v>#VALUE!</v>
      </c>
      <c r="ET163" t="e">
        <f>AND('UP133'!DC126,"AAAAAHj3zpU=")</f>
        <v>#VALUE!</v>
      </c>
      <c r="EU163" t="e">
        <f>AND('UP133'!DD126,"AAAAAHj3zpY=")</f>
        <v>#VALUE!</v>
      </c>
      <c r="EV163" t="e">
        <f>AND('UP133'!DE126,"AAAAAHj3zpc=")</f>
        <v>#VALUE!</v>
      </c>
      <c r="EW163" t="e">
        <f>AND('UP133'!DF126,"AAAAAHj3zpg=")</f>
        <v>#VALUE!</v>
      </c>
      <c r="EX163" t="e">
        <f>AND('UP133'!DG126,"AAAAAHj3zpk=")</f>
        <v>#VALUE!</v>
      </c>
      <c r="EY163" t="e">
        <f>AND('UP133'!DH126,"AAAAAHj3zpo=")</f>
        <v>#VALUE!</v>
      </c>
      <c r="EZ163" t="e">
        <f>AND('UP133'!DI126,"AAAAAHj3zps=")</f>
        <v>#VALUE!</v>
      </c>
      <c r="FA163" t="e">
        <f>AND('UP133'!DJ126,"AAAAAHj3zpw=")</f>
        <v>#VALUE!</v>
      </c>
      <c r="FB163" t="e">
        <f>AND('UP133'!DK126,"AAAAAHj3zp0=")</f>
        <v>#VALUE!</v>
      </c>
      <c r="FC163" t="e">
        <f>AND('UP133'!DL126,"AAAAAHj3zp4=")</f>
        <v>#VALUE!</v>
      </c>
      <c r="FD163" t="e">
        <f>AND('UP133'!DM126,"AAAAAHj3zp8=")</f>
        <v>#VALUE!</v>
      </c>
      <c r="FE163" t="e">
        <f>AND('UP133'!DN126,"AAAAAHj3zqA=")</f>
        <v>#VALUE!</v>
      </c>
      <c r="FF163" t="e">
        <f>AND('UP133'!DO126,"AAAAAHj3zqE=")</f>
        <v>#VALUE!</v>
      </c>
      <c r="FG163" t="e">
        <f>AND('UP133'!DP126,"AAAAAHj3zqI=")</f>
        <v>#VALUE!</v>
      </c>
      <c r="FH163" t="e">
        <f>AND('UP133'!DQ126,"AAAAAHj3zqM=")</f>
        <v>#VALUE!</v>
      </c>
      <c r="FI163" t="e">
        <f>AND('UP133'!DR126,"AAAAAHj3zqQ=")</f>
        <v>#VALUE!</v>
      </c>
      <c r="FJ163" t="e">
        <f>AND('UP133'!DS126,"AAAAAHj3zqU=")</f>
        <v>#VALUE!</v>
      </c>
      <c r="FK163" t="e">
        <f>AND('UP133'!DT126,"AAAAAHj3zqY=")</f>
        <v>#VALUE!</v>
      </c>
      <c r="FL163" t="e">
        <f>AND('UP133'!DU126,"AAAAAHj3zqc=")</f>
        <v>#VALUE!</v>
      </c>
      <c r="FM163" t="e">
        <f>AND('UP133'!DV126,"AAAAAHj3zqg=")</f>
        <v>#VALUE!</v>
      </c>
      <c r="FN163" t="e">
        <f>AND('UP133'!DW126,"AAAAAHj3zqk=")</f>
        <v>#VALUE!</v>
      </c>
      <c r="FO163" t="e">
        <f>AND('UP133'!DX126,"AAAAAHj3zqo=")</f>
        <v>#VALUE!</v>
      </c>
      <c r="FP163" t="e">
        <f>AND('UP133'!DY126,"AAAAAHj3zqs=")</f>
        <v>#VALUE!</v>
      </c>
      <c r="FQ163" t="e">
        <f>AND('UP133'!DZ126,"AAAAAHj3zqw=")</f>
        <v>#VALUE!</v>
      </c>
      <c r="FR163" t="e">
        <f>AND('UP133'!EA126,"AAAAAHj3zq0=")</f>
        <v>#VALUE!</v>
      </c>
      <c r="FS163" t="e">
        <f>AND('UP133'!EB126,"AAAAAHj3zq4=")</f>
        <v>#VALUE!</v>
      </c>
      <c r="FT163" t="e">
        <f>AND('UP133'!EC126,"AAAAAHj3zq8=")</f>
        <v>#VALUE!</v>
      </c>
      <c r="FU163" t="e">
        <f>AND('UP133'!ED126,"AAAAAHj3zrA=")</f>
        <v>#VALUE!</v>
      </c>
      <c r="FV163" t="e">
        <f>AND('UP133'!EE126,"AAAAAHj3zrE=")</f>
        <v>#VALUE!</v>
      </c>
      <c r="FW163" t="e">
        <f>AND('UP133'!EF126,"AAAAAHj3zrI=")</f>
        <v>#VALUE!</v>
      </c>
      <c r="FX163" t="e">
        <f>AND('UP133'!EG126,"AAAAAHj3zrM=")</f>
        <v>#VALUE!</v>
      </c>
      <c r="FY163" t="e">
        <f>AND('UP133'!EH126,"AAAAAHj3zrQ=")</f>
        <v>#VALUE!</v>
      </c>
      <c r="FZ163" t="e">
        <f>AND('UP133'!EI126,"AAAAAHj3zrU=")</f>
        <v>#VALUE!</v>
      </c>
      <c r="GA163" t="e">
        <f>AND('UP133'!EJ126,"AAAAAHj3zrY=")</f>
        <v>#VALUE!</v>
      </c>
      <c r="GB163" t="e">
        <f>AND('UP133'!EK126,"AAAAAHj3zrc=")</f>
        <v>#VALUE!</v>
      </c>
      <c r="GC163" t="e">
        <f>AND('UP133'!EL126,"AAAAAHj3zrg=")</f>
        <v>#VALUE!</v>
      </c>
      <c r="GD163" t="e">
        <f>AND('UP133'!EM126,"AAAAAHj3zrk=")</f>
        <v>#VALUE!</v>
      </c>
      <c r="GE163" t="e">
        <f>AND('UP133'!EN126,"AAAAAHj3zro=")</f>
        <v>#VALUE!</v>
      </c>
      <c r="GF163" t="e">
        <f>AND('UP133'!EO126,"AAAAAHj3zrs=")</f>
        <v>#VALUE!</v>
      </c>
      <c r="GG163" t="e">
        <f>AND('UP133'!EP126,"AAAAAHj3zrw=")</f>
        <v>#VALUE!</v>
      </c>
      <c r="GH163" t="e">
        <f>AND('UP133'!EQ126,"AAAAAHj3zr0=")</f>
        <v>#VALUE!</v>
      </c>
      <c r="GI163" t="e">
        <f>AND('UP133'!ER126,"AAAAAHj3zr4=")</f>
        <v>#VALUE!</v>
      </c>
      <c r="GJ163" t="e">
        <f>AND('UP133'!ES126,"AAAAAHj3zr8=")</f>
        <v>#VALUE!</v>
      </c>
      <c r="GK163" t="e">
        <f>AND('UP133'!ET126,"AAAAAHj3zsA=")</f>
        <v>#VALUE!</v>
      </c>
      <c r="GL163" t="e">
        <f>AND('UP133'!EU126,"AAAAAHj3zsE=")</f>
        <v>#VALUE!</v>
      </c>
      <c r="GM163" t="e">
        <f>AND('UP133'!EV126,"AAAAAHj3zsI=")</f>
        <v>#VALUE!</v>
      </c>
      <c r="GN163" t="e">
        <f>AND('UP133'!EW126,"AAAAAHj3zsM=")</f>
        <v>#VALUE!</v>
      </c>
      <c r="GO163" t="e">
        <f>AND('UP133'!EX126,"AAAAAHj3zsQ=")</f>
        <v>#VALUE!</v>
      </c>
      <c r="GP163" t="e">
        <f>AND('UP133'!EY126,"AAAAAHj3zsU=")</f>
        <v>#VALUE!</v>
      </c>
      <c r="GQ163" t="e">
        <f>AND('UP133'!EZ126,"AAAAAHj3zsY=")</f>
        <v>#VALUE!</v>
      </c>
      <c r="GR163" t="e">
        <f>AND('UP133'!FA126,"AAAAAHj3zsc=")</f>
        <v>#VALUE!</v>
      </c>
      <c r="GS163" t="e">
        <f>AND('UP133'!FB126,"AAAAAHj3zsg=")</f>
        <v>#VALUE!</v>
      </c>
      <c r="GT163" t="e">
        <f>AND('UP133'!FC126,"AAAAAHj3zsk=")</f>
        <v>#VALUE!</v>
      </c>
      <c r="GU163" t="e">
        <f>AND('UP133'!FD126,"AAAAAHj3zso=")</f>
        <v>#VALUE!</v>
      </c>
      <c r="GV163" t="e">
        <f>AND('UP133'!FE126,"AAAAAHj3zss=")</f>
        <v>#VALUE!</v>
      </c>
      <c r="GW163" t="e">
        <f>AND('UP133'!FF126,"AAAAAHj3zsw=")</f>
        <v>#VALUE!</v>
      </c>
      <c r="GX163" t="e">
        <f>AND('UP133'!FG126,"AAAAAHj3zs0=")</f>
        <v>#VALUE!</v>
      </c>
      <c r="GY163" t="e">
        <f>AND('UP133'!FH126,"AAAAAHj3zs4=")</f>
        <v>#VALUE!</v>
      </c>
      <c r="GZ163" t="e">
        <f>AND('UP133'!FI126,"AAAAAHj3zs8=")</f>
        <v>#VALUE!</v>
      </c>
      <c r="HA163" t="e">
        <f>AND('UP133'!FJ126,"AAAAAHj3ztA=")</f>
        <v>#VALUE!</v>
      </c>
      <c r="HB163" t="e">
        <f>AND('UP133'!FK126,"AAAAAHj3ztE=")</f>
        <v>#VALUE!</v>
      </c>
      <c r="HC163" t="e">
        <f>AND('UP133'!FL126,"AAAAAHj3ztI=")</f>
        <v>#VALUE!</v>
      </c>
      <c r="HD163" t="e">
        <f>AND('UP133'!FM126,"AAAAAHj3ztM=")</f>
        <v>#VALUE!</v>
      </c>
      <c r="HE163" t="e">
        <f>AND('UP133'!FN126,"AAAAAHj3ztQ=")</f>
        <v>#VALUE!</v>
      </c>
      <c r="HF163" t="e">
        <f>AND('UP133'!FO126,"AAAAAHj3ztU=")</f>
        <v>#VALUE!</v>
      </c>
      <c r="HG163" t="e">
        <f>AND('UP133'!FP126,"AAAAAHj3ztY=")</f>
        <v>#VALUE!</v>
      </c>
      <c r="HH163" t="e">
        <f>AND('UP133'!FQ126,"AAAAAHj3ztc=")</f>
        <v>#VALUE!</v>
      </c>
      <c r="HI163" t="e">
        <f>AND('UP133'!FR126,"AAAAAHj3ztg=")</f>
        <v>#VALUE!</v>
      </c>
      <c r="HJ163" t="e">
        <f>AND('UP133'!FS126,"AAAAAHj3ztk=")</f>
        <v>#VALUE!</v>
      </c>
      <c r="HK163" t="e">
        <f>AND('UP133'!FT126,"AAAAAHj3zto=")</f>
        <v>#VALUE!</v>
      </c>
      <c r="HL163" t="e">
        <f>AND('UP133'!FU126,"AAAAAHj3zts=")</f>
        <v>#VALUE!</v>
      </c>
      <c r="HM163" t="e">
        <f>AND('UP133'!FV126,"AAAAAHj3ztw=")</f>
        <v>#VALUE!</v>
      </c>
      <c r="HN163" t="e">
        <f>AND('UP133'!FW126,"AAAAAHj3zt0=")</f>
        <v>#VALUE!</v>
      </c>
      <c r="HO163" t="e">
        <f>AND('UP133'!FX126,"AAAAAHj3zt4=")</f>
        <v>#VALUE!</v>
      </c>
      <c r="HP163" t="e">
        <f>AND('UP133'!FY126,"AAAAAHj3zt8=")</f>
        <v>#VALUE!</v>
      </c>
      <c r="HQ163" t="e">
        <f>AND('UP133'!FZ126,"AAAAAHj3zuA=")</f>
        <v>#VALUE!</v>
      </c>
      <c r="HR163" t="e">
        <f>AND('UP133'!GA126,"AAAAAHj3zuE=")</f>
        <v>#VALUE!</v>
      </c>
      <c r="HS163" t="e">
        <f>AND('UP133'!GB126,"AAAAAHj3zuI=")</f>
        <v>#VALUE!</v>
      </c>
      <c r="HT163" t="e">
        <f>AND('UP133'!GC126,"AAAAAHj3zuM=")</f>
        <v>#VALUE!</v>
      </c>
      <c r="HU163" t="e">
        <f>AND('UP133'!GD126,"AAAAAHj3zuQ=")</f>
        <v>#VALUE!</v>
      </c>
      <c r="HV163" t="e">
        <f>AND('UP133'!GE126,"AAAAAHj3zuU=")</f>
        <v>#VALUE!</v>
      </c>
      <c r="HW163" t="e">
        <f>AND('UP133'!GF126,"AAAAAHj3zuY=")</f>
        <v>#VALUE!</v>
      </c>
      <c r="HX163" t="e">
        <f>AND('UP133'!GG126,"AAAAAHj3zuc=")</f>
        <v>#VALUE!</v>
      </c>
      <c r="HY163" t="e">
        <f>AND('UP133'!GH126,"AAAAAHj3zug=")</f>
        <v>#VALUE!</v>
      </c>
      <c r="HZ163" t="e">
        <f>AND('UP133'!GI126,"AAAAAHj3zuk=")</f>
        <v>#VALUE!</v>
      </c>
      <c r="IA163" t="e">
        <f>AND('UP133'!GJ126,"AAAAAHj3zuo=")</f>
        <v>#VALUE!</v>
      </c>
      <c r="IB163" t="e">
        <f>AND('UP133'!GK126,"AAAAAHj3zus=")</f>
        <v>#VALUE!</v>
      </c>
      <c r="IC163" t="e">
        <f>AND('UP133'!GL126,"AAAAAHj3zuw=")</f>
        <v>#VALUE!</v>
      </c>
      <c r="ID163" t="e">
        <f>AND('UP133'!GM126,"AAAAAHj3zu0=")</f>
        <v>#VALUE!</v>
      </c>
      <c r="IE163" t="e">
        <f>AND('UP133'!GN126,"AAAAAHj3zu4=")</f>
        <v>#VALUE!</v>
      </c>
      <c r="IF163" t="e">
        <f>AND('UP133'!GO126,"AAAAAHj3zu8=")</f>
        <v>#VALUE!</v>
      </c>
      <c r="IG163" t="e">
        <f>AND('UP133'!GP126,"AAAAAHj3zvA=")</f>
        <v>#VALUE!</v>
      </c>
      <c r="IH163" t="e">
        <f>AND('UP133'!GQ126,"AAAAAHj3zvE=")</f>
        <v>#VALUE!</v>
      </c>
      <c r="II163" t="e">
        <f>AND('UP133'!GR126,"AAAAAHj3zvI=")</f>
        <v>#VALUE!</v>
      </c>
      <c r="IJ163" t="e">
        <f>AND('UP133'!GS126,"AAAAAHj3zvM=")</f>
        <v>#VALUE!</v>
      </c>
      <c r="IK163" t="e">
        <f>AND('UP133'!GT126,"AAAAAHj3zvQ=")</f>
        <v>#VALUE!</v>
      </c>
      <c r="IL163" t="e">
        <f>AND('UP133'!GU126,"AAAAAHj3zvU=")</f>
        <v>#VALUE!</v>
      </c>
      <c r="IM163" t="e">
        <f>AND('UP133'!GV126,"AAAAAHj3zvY=")</f>
        <v>#VALUE!</v>
      </c>
      <c r="IN163" t="e">
        <f>AND('UP133'!GW126,"AAAAAHj3zvc=")</f>
        <v>#VALUE!</v>
      </c>
      <c r="IO163" t="e">
        <f>AND('UP133'!GX126,"AAAAAHj3zvg=")</f>
        <v>#VALUE!</v>
      </c>
      <c r="IP163" t="e">
        <f>AND('UP133'!GY126,"AAAAAHj3zvk=")</f>
        <v>#VALUE!</v>
      </c>
      <c r="IQ163" t="e">
        <f>AND('UP133'!GZ126,"AAAAAHj3zvo=")</f>
        <v>#VALUE!</v>
      </c>
      <c r="IR163" t="e">
        <f>AND('UP133'!HA126,"AAAAAHj3zvs=")</f>
        <v>#VALUE!</v>
      </c>
      <c r="IS163" t="e">
        <f>AND('UP133'!HB126,"AAAAAHj3zvw=")</f>
        <v>#VALUE!</v>
      </c>
      <c r="IT163" t="e">
        <f>AND('UP133'!HC126,"AAAAAHj3zv0=")</f>
        <v>#VALUE!</v>
      </c>
      <c r="IU163" t="e">
        <f>AND('UP133'!HD126,"AAAAAHj3zv4=")</f>
        <v>#VALUE!</v>
      </c>
      <c r="IV163" t="e">
        <f>AND('UP133'!HE126,"AAAAAHj3zv8=")</f>
        <v>#VALUE!</v>
      </c>
    </row>
    <row r="164" spans="1:256">
      <c r="A164" t="e">
        <f>AND('UP133'!HF126,"AAAAAHx/dwA=")</f>
        <v>#VALUE!</v>
      </c>
      <c r="B164" t="e">
        <f>AND('UP133'!HG126,"AAAAAHx/dwE=")</f>
        <v>#VALUE!</v>
      </c>
      <c r="C164" t="e">
        <f>AND('UP133'!HH126,"AAAAAHx/dwI=")</f>
        <v>#VALUE!</v>
      </c>
      <c r="D164" t="e">
        <f>AND('UP133'!HI126,"AAAAAHx/dwM=")</f>
        <v>#VALUE!</v>
      </c>
      <c r="E164" t="e">
        <f>AND('UP133'!HJ126,"AAAAAHx/dwQ=")</f>
        <v>#VALUE!</v>
      </c>
      <c r="F164" t="e">
        <f>AND('UP133'!HK126,"AAAAAHx/dwU=")</f>
        <v>#VALUE!</v>
      </c>
      <c r="G164" t="e">
        <f>AND('UP133'!HL126,"AAAAAHx/dwY=")</f>
        <v>#VALUE!</v>
      </c>
      <c r="H164" t="e">
        <f>AND('UP133'!HM126,"AAAAAHx/dwc=")</f>
        <v>#VALUE!</v>
      </c>
      <c r="I164" t="e">
        <f>AND('UP133'!HN126,"AAAAAHx/dwg=")</f>
        <v>#VALUE!</v>
      </c>
      <c r="J164" t="e">
        <f>AND('UP133'!HO126,"AAAAAHx/dwk=")</f>
        <v>#VALUE!</v>
      </c>
      <c r="K164" t="e">
        <f>AND('UP133'!HP126,"AAAAAHx/dwo=")</f>
        <v>#VALUE!</v>
      </c>
      <c r="L164" t="e">
        <f>AND('UP133'!HQ126,"AAAAAHx/dws=")</f>
        <v>#VALUE!</v>
      </c>
      <c r="M164" t="e">
        <f>AND('UP133'!HR126,"AAAAAHx/dww=")</f>
        <v>#VALUE!</v>
      </c>
      <c r="N164" t="e">
        <f>AND('UP133'!HS126,"AAAAAHx/dw0=")</f>
        <v>#VALUE!</v>
      </c>
      <c r="O164" t="e">
        <f>AND('UP133'!HT126,"AAAAAHx/dw4=")</f>
        <v>#VALUE!</v>
      </c>
      <c r="P164" t="e">
        <f>AND('UP133'!HU126,"AAAAAHx/dw8=")</f>
        <v>#VALUE!</v>
      </c>
      <c r="Q164" t="e">
        <f>AND('UP133'!HV126,"AAAAAHx/dxA=")</f>
        <v>#VALUE!</v>
      </c>
      <c r="R164" t="e">
        <f>AND('UP133'!HW126,"AAAAAHx/dxE=")</f>
        <v>#VALUE!</v>
      </c>
      <c r="S164" t="e">
        <f>AND('UP133'!HX126,"AAAAAHx/dxI=")</f>
        <v>#VALUE!</v>
      </c>
      <c r="T164" t="e">
        <f>AND('UP133'!HY126,"AAAAAHx/dxM=")</f>
        <v>#VALUE!</v>
      </c>
      <c r="U164" t="e">
        <f>AND('UP133'!HZ126,"AAAAAHx/dxQ=")</f>
        <v>#VALUE!</v>
      </c>
      <c r="V164" t="e">
        <f>AND('UP133'!IA126,"AAAAAHx/dxU=")</f>
        <v>#VALUE!</v>
      </c>
      <c r="W164" t="e">
        <f>AND('UP133'!IB126,"AAAAAHx/dxY=")</f>
        <v>#VALUE!</v>
      </c>
      <c r="X164" t="e">
        <f>AND('UP133'!IC126,"AAAAAHx/dxc=")</f>
        <v>#VALUE!</v>
      </c>
      <c r="Y164" t="e">
        <f>AND('UP133'!ID126,"AAAAAHx/dxg=")</f>
        <v>#VALUE!</v>
      </c>
      <c r="Z164" t="e">
        <f>AND('UP133'!IE126,"AAAAAHx/dxk=")</f>
        <v>#VALUE!</v>
      </c>
      <c r="AA164" t="e">
        <f>AND('UP133'!IF126,"AAAAAHx/dxo=")</f>
        <v>#VALUE!</v>
      </c>
      <c r="AB164" t="e">
        <f>AND('UP133'!IG126,"AAAAAHx/dxs=")</f>
        <v>#VALUE!</v>
      </c>
      <c r="AC164" t="e">
        <f>AND('UP133'!IH126,"AAAAAHx/dxw=")</f>
        <v>#VALUE!</v>
      </c>
      <c r="AD164" t="e">
        <f>AND('UP133'!II126,"AAAAAHx/dx0=")</f>
        <v>#VALUE!</v>
      </c>
      <c r="AE164" t="e">
        <f>AND('UP133'!IJ126,"AAAAAHx/dx4=")</f>
        <v>#VALUE!</v>
      </c>
      <c r="AF164" t="e">
        <f>AND('UP133'!IK126,"AAAAAHx/dx8=")</f>
        <v>#VALUE!</v>
      </c>
      <c r="AG164" t="e">
        <f>AND('UP133'!IL126,"AAAAAHx/dyA=")</f>
        <v>#VALUE!</v>
      </c>
      <c r="AH164" t="e">
        <f>AND('UP133'!IM126,"AAAAAHx/dyE=")</f>
        <v>#VALUE!</v>
      </c>
      <c r="AI164" t="e">
        <f>AND('UP133'!IN126,"AAAAAHx/dyI=")</f>
        <v>#VALUE!</v>
      </c>
      <c r="AJ164" t="e">
        <f>AND('UP133'!IO126,"AAAAAHx/dyM=")</f>
        <v>#VALUE!</v>
      </c>
      <c r="AK164" t="e">
        <f>AND('UP133'!IP126,"AAAAAHx/dyQ=")</f>
        <v>#VALUE!</v>
      </c>
      <c r="AL164" t="e">
        <f>AND('UP133'!IQ126,"AAAAAHx/dyU=")</f>
        <v>#VALUE!</v>
      </c>
      <c r="AM164">
        <f>IF('UP133'!127:127,"AAAAAHx/dyY=",0)</f>
        <v>0</v>
      </c>
      <c r="AN164" t="e">
        <f>AND('UP133'!A127,"AAAAAHx/dyc=")</f>
        <v>#VALUE!</v>
      </c>
      <c r="AO164" t="e">
        <f>AND('UP133'!B127,"AAAAAHx/dyg=")</f>
        <v>#VALUE!</v>
      </c>
      <c r="AP164" t="e">
        <f>AND('UP133'!C127,"AAAAAHx/dyk=")</f>
        <v>#VALUE!</v>
      </c>
      <c r="AQ164" t="e">
        <f>AND('UP133'!D127,"AAAAAHx/dyo=")</f>
        <v>#VALUE!</v>
      </c>
      <c r="AR164" t="e">
        <f>AND('UP133'!E127,"AAAAAHx/dys=")</f>
        <v>#VALUE!</v>
      </c>
      <c r="AS164" t="e">
        <f>AND('UP133'!F127,"AAAAAHx/dyw=")</f>
        <v>#VALUE!</v>
      </c>
      <c r="AT164" t="e">
        <f>AND('UP133'!G127,"AAAAAHx/dy0=")</f>
        <v>#VALUE!</v>
      </c>
      <c r="AU164" t="e">
        <f>AND('UP133'!H127,"AAAAAHx/dy4=")</f>
        <v>#VALUE!</v>
      </c>
      <c r="AV164" t="e">
        <f>AND('UP133'!I127,"AAAAAHx/dy8=")</f>
        <v>#VALUE!</v>
      </c>
      <c r="AW164" t="e">
        <f>AND('UP133'!J127,"AAAAAHx/dzA=")</f>
        <v>#VALUE!</v>
      </c>
      <c r="AX164" t="e">
        <f>AND('UP133'!K127,"AAAAAHx/dzE=")</f>
        <v>#VALUE!</v>
      </c>
      <c r="AY164" t="e">
        <f>AND('UP133'!L127,"AAAAAHx/dzI=")</f>
        <v>#VALUE!</v>
      </c>
      <c r="AZ164" t="e">
        <f>AND('UP133'!M127,"AAAAAHx/dzM=")</f>
        <v>#VALUE!</v>
      </c>
      <c r="BA164" t="e">
        <f>AND('UP133'!N127,"AAAAAHx/dzQ=")</f>
        <v>#VALUE!</v>
      </c>
      <c r="BB164" t="e">
        <f>AND('UP133'!O127,"AAAAAHx/dzU=")</f>
        <v>#VALUE!</v>
      </c>
      <c r="BC164" t="e">
        <f>AND('UP133'!P127,"AAAAAHx/dzY=")</f>
        <v>#VALUE!</v>
      </c>
      <c r="BD164" t="e">
        <f>AND('UP133'!Q127,"AAAAAHx/dzc=")</f>
        <v>#VALUE!</v>
      </c>
      <c r="BE164" t="e">
        <f>AND('UP133'!R127,"AAAAAHx/dzg=")</f>
        <v>#VALUE!</v>
      </c>
      <c r="BF164" t="e">
        <f>AND('UP133'!S127,"AAAAAHx/dzk=")</f>
        <v>#VALUE!</v>
      </c>
      <c r="BG164" t="e">
        <f>AND('UP133'!T127,"AAAAAHx/dzo=")</f>
        <v>#VALUE!</v>
      </c>
      <c r="BH164" t="e">
        <f>AND('UP133'!U127,"AAAAAHx/dzs=")</f>
        <v>#VALUE!</v>
      </c>
      <c r="BI164" t="e">
        <f>AND('UP133'!V127,"AAAAAHx/dzw=")</f>
        <v>#VALUE!</v>
      </c>
      <c r="BJ164" t="e">
        <f>AND('UP133'!W127,"AAAAAHx/dz0=")</f>
        <v>#VALUE!</v>
      </c>
      <c r="BK164" t="e">
        <f>AND('UP133'!X127,"AAAAAHx/dz4=")</f>
        <v>#VALUE!</v>
      </c>
      <c r="BL164" t="e">
        <f>AND('UP133'!Y127,"AAAAAHx/dz8=")</f>
        <v>#VALUE!</v>
      </c>
      <c r="BM164" t="e">
        <f>AND('UP133'!Z127,"AAAAAHx/d0A=")</f>
        <v>#VALUE!</v>
      </c>
      <c r="BN164" t="e">
        <f>AND('UP133'!AA127,"AAAAAHx/d0E=")</f>
        <v>#VALUE!</v>
      </c>
      <c r="BO164" t="e">
        <f>AND('UP133'!AB127,"AAAAAHx/d0I=")</f>
        <v>#VALUE!</v>
      </c>
      <c r="BP164" t="e">
        <f>AND('UP133'!AC127,"AAAAAHx/d0M=")</f>
        <v>#VALUE!</v>
      </c>
      <c r="BQ164" t="e">
        <f>AND('UP133'!AD127,"AAAAAHx/d0Q=")</f>
        <v>#VALUE!</v>
      </c>
      <c r="BR164" t="e">
        <f>AND('UP133'!AE127,"AAAAAHx/d0U=")</f>
        <v>#VALUE!</v>
      </c>
      <c r="BS164" t="e">
        <f>AND('UP133'!AF127,"AAAAAHx/d0Y=")</f>
        <v>#VALUE!</v>
      </c>
      <c r="BT164" t="e">
        <f>AND('UP133'!AG127,"AAAAAHx/d0c=")</f>
        <v>#VALUE!</v>
      </c>
      <c r="BU164" t="e">
        <f>AND('UP133'!AH127,"AAAAAHx/d0g=")</f>
        <v>#VALUE!</v>
      </c>
      <c r="BV164" t="e">
        <f>AND('UP133'!AI127,"AAAAAHx/d0k=")</f>
        <v>#VALUE!</v>
      </c>
      <c r="BW164" t="e">
        <f>AND('UP133'!AJ127,"AAAAAHx/d0o=")</f>
        <v>#VALUE!</v>
      </c>
      <c r="BX164" t="e">
        <f>AND('UP133'!AK127,"AAAAAHx/d0s=")</f>
        <v>#VALUE!</v>
      </c>
      <c r="BY164" t="e">
        <f>AND('UP133'!AL127,"AAAAAHx/d0w=")</f>
        <v>#VALUE!</v>
      </c>
      <c r="BZ164" t="e">
        <f>AND('UP133'!AM127,"AAAAAHx/d00=")</f>
        <v>#VALUE!</v>
      </c>
      <c r="CA164" t="e">
        <f>AND('UP133'!AN127,"AAAAAHx/d04=")</f>
        <v>#VALUE!</v>
      </c>
      <c r="CB164" t="e">
        <f>AND('UP133'!AO127,"AAAAAHx/d08=")</f>
        <v>#VALUE!</v>
      </c>
      <c r="CC164" t="e">
        <f>AND('UP133'!AP127,"AAAAAHx/d1A=")</f>
        <v>#VALUE!</v>
      </c>
      <c r="CD164" t="e">
        <f>AND('UP133'!AQ127,"AAAAAHx/d1E=")</f>
        <v>#VALUE!</v>
      </c>
      <c r="CE164" t="e">
        <f>AND('UP133'!AR127,"AAAAAHx/d1I=")</f>
        <v>#VALUE!</v>
      </c>
      <c r="CF164" t="e">
        <f>AND('UP133'!AS127,"AAAAAHx/d1M=")</f>
        <v>#VALUE!</v>
      </c>
      <c r="CG164" t="e">
        <f>AND('UP133'!AT127,"AAAAAHx/d1Q=")</f>
        <v>#VALUE!</v>
      </c>
      <c r="CH164" t="e">
        <f>AND('UP133'!AU127,"AAAAAHx/d1U=")</f>
        <v>#VALUE!</v>
      </c>
      <c r="CI164" t="e">
        <f>AND('UP133'!AV127,"AAAAAHx/d1Y=")</f>
        <v>#VALUE!</v>
      </c>
      <c r="CJ164" t="e">
        <f>AND('UP133'!AW127,"AAAAAHx/d1c=")</f>
        <v>#VALUE!</v>
      </c>
      <c r="CK164" t="e">
        <f>AND('UP133'!AX127,"AAAAAHx/d1g=")</f>
        <v>#VALUE!</v>
      </c>
      <c r="CL164" t="e">
        <f>AND('UP133'!AY127,"AAAAAHx/d1k=")</f>
        <v>#VALUE!</v>
      </c>
      <c r="CM164" t="e">
        <f>AND('UP133'!AZ127,"AAAAAHx/d1o=")</f>
        <v>#VALUE!</v>
      </c>
      <c r="CN164" t="e">
        <f>AND('UP133'!BA127,"AAAAAHx/d1s=")</f>
        <v>#VALUE!</v>
      </c>
      <c r="CO164" t="e">
        <f>AND('UP133'!BB127,"AAAAAHx/d1w=")</f>
        <v>#VALUE!</v>
      </c>
      <c r="CP164" t="e">
        <f>AND('UP133'!BC127,"AAAAAHx/d10=")</f>
        <v>#VALUE!</v>
      </c>
      <c r="CQ164" t="e">
        <f>AND('UP133'!BD127,"AAAAAHx/d14=")</f>
        <v>#VALUE!</v>
      </c>
      <c r="CR164" t="e">
        <f>AND('UP133'!BE127,"AAAAAHx/d18=")</f>
        <v>#VALUE!</v>
      </c>
      <c r="CS164" t="e">
        <f>AND('UP133'!BF127,"AAAAAHx/d2A=")</f>
        <v>#VALUE!</v>
      </c>
      <c r="CT164" t="e">
        <f>AND('UP133'!BG127,"AAAAAHx/d2E=")</f>
        <v>#VALUE!</v>
      </c>
      <c r="CU164" t="e">
        <f>AND('UP133'!BH127,"AAAAAHx/d2I=")</f>
        <v>#VALUE!</v>
      </c>
      <c r="CV164" t="e">
        <f>AND('UP133'!BI127,"AAAAAHx/d2M=")</f>
        <v>#VALUE!</v>
      </c>
      <c r="CW164" t="e">
        <f>AND('UP133'!BJ127,"AAAAAHx/d2Q=")</f>
        <v>#VALUE!</v>
      </c>
      <c r="CX164" t="e">
        <f>AND('UP133'!BK127,"AAAAAHx/d2U=")</f>
        <v>#VALUE!</v>
      </c>
      <c r="CY164" t="e">
        <f>AND('UP133'!BL127,"AAAAAHx/d2Y=")</f>
        <v>#VALUE!</v>
      </c>
      <c r="CZ164" t="e">
        <f>AND('UP133'!BM127,"AAAAAHx/d2c=")</f>
        <v>#VALUE!</v>
      </c>
      <c r="DA164" t="e">
        <f>AND('UP133'!BN127,"AAAAAHx/d2g=")</f>
        <v>#VALUE!</v>
      </c>
      <c r="DB164" t="e">
        <f>AND('UP133'!BO127,"AAAAAHx/d2k=")</f>
        <v>#VALUE!</v>
      </c>
      <c r="DC164" t="e">
        <f>AND('UP133'!BP127,"AAAAAHx/d2o=")</f>
        <v>#VALUE!</v>
      </c>
      <c r="DD164" t="e">
        <f>AND('UP133'!BQ127,"AAAAAHx/d2s=")</f>
        <v>#VALUE!</v>
      </c>
      <c r="DE164" t="e">
        <f>AND('UP133'!BR127,"AAAAAHx/d2w=")</f>
        <v>#VALUE!</v>
      </c>
      <c r="DF164" t="e">
        <f>AND('UP133'!BS127,"AAAAAHx/d20=")</f>
        <v>#VALUE!</v>
      </c>
      <c r="DG164" t="e">
        <f>AND('UP133'!BT127,"AAAAAHx/d24=")</f>
        <v>#VALUE!</v>
      </c>
      <c r="DH164" t="e">
        <f>AND('UP133'!BU127,"AAAAAHx/d28=")</f>
        <v>#VALUE!</v>
      </c>
      <c r="DI164" t="e">
        <f>AND('UP133'!BV127,"AAAAAHx/d3A=")</f>
        <v>#VALUE!</v>
      </c>
      <c r="DJ164" t="e">
        <f>AND('UP133'!BW127,"AAAAAHx/d3E=")</f>
        <v>#VALUE!</v>
      </c>
      <c r="DK164" t="e">
        <f>AND('UP133'!BX127,"AAAAAHx/d3I=")</f>
        <v>#VALUE!</v>
      </c>
      <c r="DL164" t="e">
        <f>AND('UP133'!BY127,"AAAAAHx/d3M=")</f>
        <v>#VALUE!</v>
      </c>
      <c r="DM164" t="e">
        <f>AND('UP133'!BZ127,"AAAAAHx/d3Q=")</f>
        <v>#VALUE!</v>
      </c>
      <c r="DN164" t="e">
        <f>AND('UP133'!CA127,"AAAAAHx/d3U=")</f>
        <v>#VALUE!</v>
      </c>
      <c r="DO164" t="e">
        <f>AND('UP133'!CB127,"AAAAAHx/d3Y=")</f>
        <v>#VALUE!</v>
      </c>
      <c r="DP164" t="e">
        <f>AND('UP133'!CC127,"AAAAAHx/d3c=")</f>
        <v>#VALUE!</v>
      </c>
      <c r="DQ164" t="e">
        <f>AND('UP133'!CD127,"AAAAAHx/d3g=")</f>
        <v>#VALUE!</v>
      </c>
      <c r="DR164" t="e">
        <f>AND('UP133'!CE127,"AAAAAHx/d3k=")</f>
        <v>#VALUE!</v>
      </c>
      <c r="DS164" t="e">
        <f>AND('UP133'!CF127,"AAAAAHx/d3o=")</f>
        <v>#VALUE!</v>
      </c>
      <c r="DT164" t="e">
        <f>AND('UP133'!CG127,"AAAAAHx/d3s=")</f>
        <v>#VALUE!</v>
      </c>
      <c r="DU164" t="e">
        <f>AND('UP133'!CH127,"AAAAAHx/d3w=")</f>
        <v>#VALUE!</v>
      </c>
      <c r="DV164" t="e">
        <f>AND('UP133'!CI127,"AAAAAHx/d30=")</f>
        <v>#VALUE!</v>
      </c>
      <c r="DW164" t="e">
        <f>AND('UP133'!CJ127,"AAAAAHx/d34=")</f>
        <v>#VALUE!</v>
      </c>
      <c r="DX164" t="e">
        <f>AND('UP133'!CK127,"AAAAAHx/d38=")</f>
        <v>#VALUE!</v>
      </c>
      <c r="DY164" t="e">
        <f>AND('UP133'!CL127,"AAAAAHx/d4A=")</f>
        <v>#VALUE!</v>
      </c>
      <c r="DZ164" t="e">
        <f>AND('UP133'!CM127,"AAAAAHx/d4E=")</f>
        <v>#VALUE!</v>
      </c>
      <c r="EA164" t="e">
        <f>AND('UP133'!CN127,"AAAAAHx/d4I=")</f>
        <v>#VALUE!</v>
      </c>
      <c r="EB164" t="e">
        <f>AND('UP133'!CO127,"AAAAAHx/d4M=")</f>
        <v>#VALUE!</v>
      </c>
      <c r="EC164" t="e">
        <f>AND('UP133'!CP127,"AAAAAHx/d4Q=")</f>
        <v>#VALUE!</v>
      </c>
      <c r="ED164" t="e">
        <f>AND('UP133'!CQ127,"AAAAAHx/d4U=")</f>
        <v>#VALUE!</v>
      </c>
      <c r="EE164" t="e">
        <f>AND('UP133'!CR127,"AAAAAHx/d4Y=")</f>
        <v>#VALUE!</v>
      </c>
      <c r="EF164" t="e">
        <f>AND('UP133'!CS127,"AAAAAHx/d4c=")</f>
        <v>#VALUE!</v>
      </c>
      <c r="EG164" t="e">
        <f>AND('UP133'!CT127,"AAAAAHx/d4g=")</f>
        <v>#VALUE!</v>
      </c>
      <c r="EH164" t="e">
        <f>AND('UP133'!CU127,"AAAAAHx/d4k=")</f>
        <v>#VALUE!</v>
      </c>
      <c r="EI164" t="e">
        <f>AND('UP133'!CV127,"AAAAAHx/d4o=")</f>
        <v>#VALUE!</v>
      </c>
      <c r="EJ164" t="e">
        <f>AND('UP133'!CW127,"AAAAAHx/d4s=")</f>
        <v>#VALUE!</v>
      </c>
      <c r="EK164" t="e">
        <f>AND('UP133'!CX127,"AAAAAHx/d4w=")</f>
        <v>#VALUE!</v>
      </c>
      <c r="EL164" t="e">
        <f>AND('UP133'!CY127,"AAAAAHx/d40=")</f>
        <v>#VALUE!</v>
      </c>
      <c r="EM164" t="e">
        <f>AND('UP133'!CZ127,"AAAAAHx/d44=")</f>
        <v>#VALUE!</v>
      </c>
      <c r="EN164" t="e">
        <f>AND('UP133'!DA127,"AAAAAHx/d48=")</f>
        <v>#VALUE!</v>
      </c>
      <c r="EO164" t="e">
        <f>AND('UP133'!DB127,"AAAAAHx/d5A=")</f>
        <v>#VALUE!</v>
      </c>
      <c r="EP164" t="e">
        <f>AND('UP133'!DC127,"AAAAAHx/d5E=")</f>
        <v>#VALUE!</v>
      </c>
      <c r="EQ164" t="e">
        <f>AND('UP133'!DD127,"AAAAAHx/d5I=")</f>
        <v>#VALUE!</v>
      </c>
      <c r="ER164" t="e">
        <f>AND('UP133'!DE127,"AAAAAHx/d5M=")</f>
        <v>#VALUE!</v>
      </c>
      <c r="ES164" t="e">
        <f>AND('UP133'!DF127,"AAAAAHx/d5Q=")</f>
        <v>#VALUE!</v>
      </c>
      <c r="ET164" t="e">
        <f>AND('UP133'!DG127,"AAAAAHx/d5U=")</f>
        <v>#VALUE!</v>
      </c>
      <c r="EU164" t="e">
        <f>AND('UP133'!DH127,"AAAAAHx/d5Y=")</f>
        <v>#VALUE!</v>
      </c>
      <c r="EV164" t="e">
        <f>AND('UP133'!DI127,"AAAAAHx/d5c=")</f>
        <v>#VALUE!</v>
      </c>
      <c r="EW164" t="e">
        <f>AND('UP133'!DJ127,"AAAAAHx/d5g=")</f>
        <v>#VALUE!</v>
      </c>
      <c r="EX164" t="e">
        <f>AND('UP133'!DK127,"AAAAAHx/d5k=")</f>
        <v>#VALUE!</v>
      </c>
      <c r="EY164" t="e">
        <f>AND('UP133'!DL127,"AAAAAHx/d5o=")</f>
        <v>#VALUE!</v>
      </c>
      <c r="EZ164" t="e">
        <f>AND('UP133'!DM127,"AAAAAHx/d5s=")</f>
        <v>#VALUE!</v>
      </c>
      <c r="FA164" t="e">
        <f>AND('UP133'!DN127,"AAAAAHx/d5w=")</f>
        <v>#VALUE!</v>
      </c>
      <c r="FB164" t="e">
        <f>AND('UP133'!DO127,"AAAAAHx/d50=")</f>
        <v>#VALUE!</v>
      </c>
      <c r="FC164" t="e">
        <f>AND('UP133'!DP127,"AAAAAHx/d54=")</f>
        <v>#VALUE!</v>
      </c>
      <c r="FD164" t="e">
        <f>AND('UP133'!DQ127,"AAAAAHx/d58=")</f>
        <v>#VALUE!</v>
      </c>
      <c r="FE164" t="e">
        <f>AND('UP133'!DR127,"AAAAAHx/d6A=")</f>
        <v>#VALUE!</v>
      </c>
      <c r="FF164" t="e">
        <f>AND('UP133'!DS127,"AAAAAHx/d6E=")</f>
        <v>#VALUE!</v>
      </c>
      <c r="FG164" t="e">
        <f>AND('UP133'!DT127,"AAAAAHx/d6I=")</f>
        <v>#VALUE!</v>
      </c>
      <c r="FH164" t="e">
        <f>AND('UP133'!DU127,"AAAAAHx/d6M=")</f>
        <v>#VALUE!</v>
      </c>
      <c r="FI164" t="e">
        <f>AND('UP133'!DV127,"AAAAAHx/d6Q=")</f>
        <v>#VALUE!</v>
      </c>
      <c r="FJ164" t="e">
        <f>AND('UP133'!DW127,"AAAAAHx/d6U=")</f>
        <v>#VALUE!</v>
      </c>
      <c r="FK164" t="e">
        <f>AND('UP133'!DX127,"AAAAAHx/d6Y=")</f>
        <v>#VALUE!</v>
      </c>
      <c r="FL164" t="e">
        <f>AND('UP133'!DY127,"AAAAAHx/d6c=")</f>
        <v>#VALUE!</v>
      </c>
      <c r="FM164" t="e">
        <f>AND('UP133'!DZ127,"AAAAAHx/d6g=")</f>
        <v>#VALUE!</v>
      </c>
      <c r="FN164" t="e">
        <f>AND('UP133'!EA127,"AAAAAHx/d6k=")</f>
        <v>#VALUE!</v>
      </c>
      <c r="FO164" t="e">
        <f>AND('UP133'!EB127,"AAAAAHx/d6o=")</f>
        <v>#VALUE!</v>
      </c>
      <c r="FP164" t="e">
        <f>AND('UP133'!EC127,"AAAAAHx/d6s=")</f>
        <v>#VALUE!</v>
      </c>
      <c r="FQ164" t="e">
        <f>AND('UP133'!ED127,"AAAAAHx/d6w=")</f>
        <v>#VALUE!</v>
      </c>
      <c r="FR164" t="e">
        <f>AND('UP133'!EE127,"AAAAAHx/d60=")</f>
        <v>#VALUE!</v>
      </c>
      <c r="FS164" t="e">
        <f>AND('UP133'!EF127,"AAAAAHx/d64=")</f>
        <v>#VALUE!</v>
      </c>
      <c r="FT164" t="e">
        <f>AND('UP133'!EG127,"AAAAAHx/d68=")</f>
        <v>#VALUE!</v>
      </c>
      <c r="FU164" t="e">
        <f>AND('UP133'!EH127,"AAAAAHx/d7A=")</f>
        <v>#VALUE!</v>
      </c>
      <c r="FV164" t="e">
        <f>AND('UP133'!EI127,"AAAAAHx/d7E=")</f>
        <v>#VALUE!</v>
      </c>
      <c r="FW164" t="e">
        <f>AND('UP133'!EJ127,"AAAAAHx/d7I=")</f>
        <v>#VALUE!</v>
      </c>
      <c r="FX164" t="e">
        <f>AND('UP133'!EK127,"AAAAAHx/d7M=")</f>
        <v>#VALUE!</v>
      </c>
      <c r="FY164" t="e">
        <f>AND('UP133'!EL127,"AAAAAHx/d7Q=")</f>
        <v>#VALUE!</v>
      </c>
      <c r="FZ164" t="e">
        <f>AND('UP133'!EM127,"AAAAAHx/d7U=")</f>
        <v>#VALUE!</v>
      </c>
      <c r="GA164" t="e">
        <f>AND('UP133'!EN127,"AAAAAHx/d7Y=")</f>
        <v>#VALUE!</v>
      </c>
      <c r="GB164" t="e">
        <f>AND('UP133'!EO127,"AAAAAHx/d7c=")</f>
        <v>#VALUE!</v>
      </c>
      <c r="GC164" t="e">
        <f>AND('UP133'!EP127,"AAAAAHx/d7g=")</f>
        <v>#VALUE!</v>
      </c>
      <c r="GD164" t="e">
        <f>AND('UP133'!EQ127,"AAAAAHx/d7k=")</f>
        <v>#VALUE!</v>
      </c>
      <c r="GE164" t="e">
        <f>AND('UP133'!ER127,"AAAAAHx/d7o=")</f>
        <v>#VALUE!</v>
      </c>
      <c r="GF164" t="e">
        <f>AND('UP133'!ES127,"AAAAAHx/d7s=")</f>
        <v>#VALUE!</v>
      </c>
      <c r="GG164" t="e">
        <f>AND('UP133'!ET127,"AAAAAHx/d7w=")</f>
        <v>#VALUE!</v>
      </c>
      <c r="GH164" t="e">
        <f>AND('UP133'!EU127,"AAAAAHx/d70=")</f>
        <v>#VALUE!</v>
      </c>
      <c r="GI164" t="e">
        <f>AND('UP133'!EV127,"AAAAAHx/d74=")</f>
        <v>#VALUE!</v>
      </c>
      <c r="GJ164" t="e">
        <f>AND('UP133'!EW127,"AAAAAHx/d78=")</f>
        <v>#VALUE!</v>
      </c>
      <c r="GK164" t="e">
        <f>AND('UP133'!EX127,"AAAAAHx/d8A=")</f>
        <v>#VALUE!</v>
      </c>
      <c r="GL164" t="e">
        <f>AND('UP133'!EY127,"AAAAAHx/d8E=")</f>
        <v>#VALUE!</v>
      </c>
      <c r="GM164" t="e">
        <f>AND('UP133'!EZ127,"AAAAAHx/d8I=")</f>
        <v>#VALUE!</v>
      </c>
      <c r="GN164" t="e">
        <f>AND('UP133'!FA127,"AAAAAHx/d8M=")</f>
        <v>#VALUE!</v>
      </c>
      <c r="GO164" t="e">
        <f>AND('UP133'!FB127,"AAAAAHx/d8Q=")</f>
        <v>#VALUE!</v>
      </c>
      <c r="GP164" t="e">
        <f>AND('UP133'!FC127,"AAAAAHx/d8U=")</f>
        <v>#VALUE!</v>
      </c>
      <c r="GQ164" t="e">
        <f>AND('UP133'!FD127,"AAAAAHx/d8Y=")</f>
        <v>#VALUE!</v>
      </c>
      <c r="GR164" t="e">
        <f>AND('UP133'!FE127,"AAAAAHx/d8c=")</f>
        <v>#VALUE!</v>
      </c>
      <c r="GS164" t="e">
        <f>AND('UP133'!FF127,"AAAAAHx/d8g=")</f>
        <v>#VALUE!</v>
      </c>
      <c r="GT164" t="e">
        <f>AND('UP133'!FG127,"AAAAAHx/d8k=")</f>
        <v>#VALUE!</v>
      </c>
      <c r="GU164" t="e">
        <f>AND('UP133'!FH127,"AAAAAHx/d8o=")</f>
        <v>#VALUE!</v>
      </c>
      <c r="GV164" t="e">
        <f>AND('UP133'!FI127,"AAAAAHx/d8s=")</f>
        <v>#VALUE!</v>
      </c>
      <c r="GW164" t="e">
        <f>AND('UP133'!FJ127,"AAAAAHx/d8w=")</f>
        <v>#VALUE!</v>
      </c>
      <c r="GX164" t="e">
        <f>AND('UP133'!FK127,"AAAAAHx/d80=")</f>
        <v>#VALUE!</v>
      </c>
      <c r="GY164" t="e">
        <f>AND('UP133'!FL127,"AAAAAHx/d84=")</f>
        <v>#VALUE!</v>
      </c>
      <c r="GZ164" t="e">
        <f>AND('UP133'!FM127,"AAAAAHx/d88=")</f>
        <v>#VALUE!</v>
      </c>
      <c r="HA164" t="e">
        <f>AND('UP133'!FN127,"AAAAAHx/d9A=")</f>
        <v>#VALUE!</v>
      </c>
      <c r="HB164" t="e">
        <f>AND('UP133'!FO127,"AAAAAHx/d9E=")</f>
        <v>#VALUE!</v>
      </c>
      <c r="HC164" t="e">
        <f>AND('UP133'!FP127,"AAAAAHx/d9I=")</f>
        <v>#VALUE!</v>
      </c>
      <c r="HD164" t="e">
        <f>AND('UP133'!FQ127,"AAAAAHx/d9M=")</f>
        <v>#VALUE!</v>
      </c>
      <c r="HE164" t="e">
        <f>AND('UP133'!FR127,"AAAAAHx/d9Q=")</f>
        <v>#VALUE!</v>
      </c>
      <c r="HF164" t="e">
        <f>AND('UP133'!FS127,"AAAAAHx/d9U=")</f>
        <v>#VALUE!</v>
      </c>
      <c r="HG164" t="e">
        <f>AND('UP133'!FT127,"AAAAAHx/d9Y=")</f>
        <v>#VALUE!</v>
      </c>
      <c r="HH164" t="e">
        <f>AND('UP133'!FU127,"AAAAAHx/d9c=")</f>
        <v>#VALUE!</v>
      </c>
      <c r="HI164" t="e">
        <f>AND('UP133'!FV127,"AAAAAHx/d9g=")</f>
        <v>#VALUE!</v>
      </c>
      <c r="HJ164" t="e">
        <f>AND('UP133'!FW127,"AAAAAHx/d9k=")</f>
        <v>#VALUE!</v>
      </c>
      <c r="HK164" t="e">
        <f>AND('UP133'!FX127,"AAAAAHx/d9o=")</f>
        <v>#VALUE!</v>
      </c>
      <c r="HL164" t="e">
        <f>AND('UP133'!FY127,"AAAAAHx/d9s=")</f>
        <v>#VALUE!</v>
      </c>
      <c r="HM164" t="e">
        <f>AND('UP133'!FZ127,"AAAAAHx/d9w=")</f>
        <v>#VALUE!</v>
      </c>
      <c r="HN164" t="e">
        <f>AND('UP133'!GA127,"AAAAAHx/d90=")</f>
        <v>#VALUE!</v>
      </c>
      <c r="HO164" t="e">
        <f>AND('UP133'!GB127,"AAAAAHx/d94=")</f>
        <v>#VALUE!</v>
      </c>
      <c r="HP164" t="e">
        <f>AND('UP133'!GC127,"AAAAAHx/d98=")</f>
        <v>#VALUE!</v>
      </c>
      <c r="HQ164" t="e">
        <f>AND('UP133'!GD127,"AAAAAHx/d+A=")</f>
        <v>#VALUE!</v>
      </c>
      <c r="HR164" t="e">
        <f>AND('UP133'!GE127,"AAAAAHx/d+E=")</f>
        <v>#VALUE!</v>
      </c>
      <c r="HS164" t="e">
        <f>AND('UP133'!GF127,"AAAAAHx/d+I=")</f>
        <v>#VALUE!</v>
      </c>
      <c r="HT164" t="e">
        <f>AND('UP133'!GG127,"AAAAAHx/d+M=")</f>
        <v>#VALUE!</v>
      </c>
      <c r="HU164" t="e">
        <f>AND('UP133'!GH127,"AAAAAHx/d+Q=")</f>
        <v>#VALUE!</v>
      </c>
      <c r="HV164" t="e">
        <f>AND('UP133'!GI127,"AAAAAHx/d+U=")</f>
        <v>#VALUE!</v>
      </c>
      <c r="HW164" t="e">
        <f>AND('UP133'!GJ127,"AAAAAHx/d+Y=")</f>
        <v>#VALUE!</v>
      </c>
      <c r="HX164" t="e">
        <f>AND('UP133'!GK127,"AAAAAHx/d+c=")</f>
        <v>#VALUE!</v>
      </c>
      <c r="HY164" t="e">
        <f>AND('UP133'!GL127,"AAAAAHx/d+g=")</f>
        <v>#VALUE!</v>
      </c>
      <c r="HZ164" t="e">
        <f>AND('UP133'!GM127,"AAAAAHx/d+k=")</f>
        <v>#VALUE!</v>
      </c>
      <c r="IA164" t="e">
        <f>AND('UP133'!GN127,"AAAAAHx/d+o=")</f>
        <v>#VALUE!</v>
      </c>
      <c r="IB164" t="e">
        <f>AND('UP133'!GO127,"AAAAAHx/d+s=")</f>
        <v>#VALUE!</v>
      </c>
      <c r="IC164" t="e">
        <f>AND('UP133'!GP127,"AAAAAHx/d+w=")</f>
        <v>#VALUE!</v>
      </c>
      <c r="ID164" t="e">
        <f>AND('UP133'!GQ127,"AAAAAHx/d+0=")</f>
        <v>#VALUE!</v>
      </c>
      <c r="IE164" t="e">
        <f>AND('UP133'!GR127,"AAAAAHx/d+4=")</f>
        <v>#VALUE!</v>
      </c>
      <c r="IF164" t="e">
        <f>AND('UP133'!GS127,"AAAAAHx/d+8=")</f>
        <v>#VALUE!</v>
      </c>
      <c r="IG164" t="e">
        <f>AND('UP133'!GT127,"AAAAAHx/d/A=")</f>
        <v>#VALUE!</v>
      </c>
      <c r="IH164" t="e">
        <f>AND('UP133'!GU127,"AAAAAHx/d/E=")</f>
        <v>#VALUE!</v>
      </c>
      <c r="II164" t="e">
        <f>AND('UP133'!GV127,"AAAAAHx/d/I=")</f>
        <v>#VALUE!</v>
      </c>
      <c r="IJ164" t="e">
        <f>AND('UP133'!GW127,"AAAAAHx/d/M=")</f>
        <v>#VALUE!</v>
      </c>
      <c r="IK164" t="e">
        <f>AND('UP133'!GX127,"AAAAAHx/d/Q=")</f>
        <v>#VALUE!</v>
      </c>
      <c r="IL164" t="e">
        <f>AND('UP133'!GY127,"AAAAAHx/d/U=")</f>
        <v>#VALUE!</v>
      </c>
      <c r="IM164" t="e">
        <f>AND('UP133'!GZ127,"AAAAAHx/d/Y=")</f>
        <v>#VALUE!</v>
      </c>
      <c r="IN164" t="e">
        <f>AND('UP133'!HA127,"AAAAAHx/d/c=")</f>
        <v>#VALUE!</v>
      </c>
      <c r="IO164" t="e">
        <f>AND('UP133'!HB127,"AAAAAHx/d/g=")</f>
        <v>#VALUE!</v>
      </c>
      <c r="IP164" t="e">
        <f>AND('UP133'!HC127,"AAAAAHx/d/k=")</f>
        <v>#VALUE!</v>
      </c>
      <c r="IQ164" t="e">
        <f>AND('UP133'!HD127,"AAAAAHx/d/o=")</f>
        <v>#VALUE!</v>
      </c>
      <c r="IR164" t="e">
        <f>AND('UP133'!HE127,"AAAAAHx/d/s=")</f>
        <v>#VALUE!</v>
      </c>
      <c r="IS164" t="e">
        <f>AND('UP133'!HF127,"AAAAAHx/d/w=")</f>
        <v>#VALUE!</v>
      </c>
      <c r="IT164" t="e">
        <f>AND('UP133'!HG127,"AAAAAHx/d/0=")</f>
        <v>#VALUE!</v>
      </c>
      <c r="IU164" t="e">
        <f>AND('UP133'!HH127,"AAAAAHx/d/4=")</f>
        <v>#VALUE!</v>
      </c>
      <c r="IV164" t="e">
        <f>AND('UP133'!HI127,"AAAAAHx/d/8=")</f>
        <v>#VALUE!</v>
      </c>
    </row>
    <row r="165" spans="1:256">
      <c r="A165" t="e">
        <f>AND('UP133'!HJ127,"AAAAAH9fvwA=")</f>
        <v>#VALUE!</v>
      </c>
      <c r="B165" t="e">
        <f>AND('UP133'!HK127,"AAAAAH9fvwE=")</f>
        <v>#VALUE!</v>
      </c>
      <c r="C165" t="e">
        <f>AND('UP133'!HL127,"AAAAAH9fvwI=")</f>
        <v>#VALUE!</v>
      </c>
      <c r="D165" t="e">
        <f>AND('UP133'!HM127,"AAAAAH9fvwM=")</f>
        <v>#VALUE!</v>
      </c>
      <c r="E165" t="e">
        <f>AND('UP133'!HN127,"AAAAAH9fvwQ=")</f>
        <v>#VALUE!</v>
      </c>
      <c r="F165" t="e">
        <f>AND('UP133'!HO127,"AAAAAH9fvwU=")</f>
        <v>#VALUE!</v>
      </c>
      <c r="G165" t="e">
        <f>AND('UP133'!HP127,"AAAAAH9fvwY=")</f>
        <v>#VALUE!</v>
      </c>
      <c r="H165" t="e">
        <f>AND('UP133'!HQ127,"AAAAAH9fvwc=")</f>
        <v>#VALUE!</v>
      </c>
      <c r="I165" t="e">
        <f>AND('UP133'!HR127,"AAAAAH9fvwg=")</f>
        <v>#VALUE!</v>
      </c>
      <c r="J165" t="e">
        <f>AND('UP133'!HS127,"AAAAAH9fvwk=")</f>
        <v>#VALUE!</v>
      </c>
      <c r="K165" t="e">
        <f>AND('UP133'!HT127,"AAAAAH9fvwo=")</f>
        <v>#VALUE!</v>
      </c>
      <c r="L165" t="e">
        <f>AND('UP133'!HU127,"AAAAAH9fvws=")</f>
        <v>#VALUE!</v>
      </c>
      <c r="M165" t="e">
        <f>AND('UP133'!HV127,"AAAAAH9fvww=")</f>
        <v>#VALUE!</v>
      </c>
      <c r="N165" t="e">
        <f>AND('UP133'!HW127,"AAAAAH9fvw0=")</f>
        <v>#VALUE!</v>
      </c>
      <c r="O165" t="e">
        <f>AND('UP133'!HX127,"AAAAAH9fvw4=")</f>
        <v>#VALUE!</v>
      </c>
      <c r="P165" t="e">
        <f>AND('UP133'!HY127,"AAAAAH9fvw8=")</f>
        <v>#VALUE!</v>
      </c>
      <c r="Q165" t="e">
        <f>AND('UP133'!HZ127,"AAAAAH9fvxA=")</f>
        <v>#VALUE!</v>
      </c>
      <c r="R165" t="e">
        <f>AND('UP133'!IA127,"AAAAAH9fvxE=")</f>
        <v>#VALUE!</v>
      </c>
      <c r="S165" t="e">
        <f>AND('UP133'!IB127,"AAAAAH9fvxI=")</f>
        <v>#VALUE!</v>
      </c>
      <c r="T165" t="e">
        <f>AND('UP133'!IC127,"AAAAAH9fvxM=")</f>
        <v>#VALUE!</v>
      </c>
      <c r="U165" t="e">
        <f>AND('UP133'!ID127,"AAAAAH9fvxQ=")</f>
        <v>#VALUE!</v>
      </c>
      <c r="V165" t="e">
        <f>AND('UP133'!IE127,"AAAAAH9fvxU=")</f>
        <v>#VALUE!</v>
      </c>
      <c r="W165" t="e">
        <f>AND('UP133'!IF127,"AAAAAH9fvxY=")</f>
        <v>#VALUE!</v>
      </c>
      <c r="X165" t="e">
        <f>AND('UP133'!IG127,"AAAAAH9fvxc=")</f>
        <v>#VALUE!</v>
      </c>
      <c r="Y165" t="e">
        <f>AND('UP133'!IH127,"AAAAAH9fvxg=")</f>
        <v>#VALUE!</v>
      </c>
      <c r="Z165" t="e">
        <f>AND('UP133'!II127,"AAAAAH9fvxk=")</f>
        <v>#VALUE!</v>
      </c>
      <c r="AA165" t="e">
        <f>AND('UP133'!IJ127,"AAAAAH9fvxo=")</f>
        <v>#VALUE!</v>
      </c>
      <c r="AB165" t="e">
        <f>AND('UP133'!IK127,"AAAAAH9fvxs=")</f>
        <v>#VALUE!</v>
      </c>
      <c r="AC165" t="e">
        <f>AND('UP133'!IL127,"AAAAAH9fvxw=")</f>
        <v>#VALUE!</v>
      </c>
      <c r="AD165" t="e">
        <f>AND('UP133'!IM127,"AAAAAH9fvx0=")</f>
        <v>#VALUE!</v>
      </c>
      <c r="AE165" t="e">
        <f>AND('UP133'!IN127,"AAAAAH9fvx4=")</f>
        <v>#VALUE!</v>
      </c>
      <c r="AF165" t="e">
        <f>AND('UP133'!IO127,"AAAAAH9fvx8=")</f>
        <v>#VALUE!</v>
      </c>
      <c r="AG165" t="e">
        <f>AND('UP133'!IP127,"AAAAAH9fvyA=")</f>
        <v>#VALUE!</v>
      </c>
      <c r="AH165" t="e">
        <f>AND('UP133'!IQ127,"AAAAAH9fvyE=")</f>
        <v>#VALUE!</v>
      </c>
      <c r="AI165">
        <f>IF('UP133'!128:128,"AAAAAH9fvyI=",0)</f>
        <v>0</v>
      </c>
      <c r="AJ165" t="e">
        <f>AND('UP133'!A128,"AAAAAH9fvyM=")</f>
        <v>#VALUE!</v>
      </c>
      <c r="AK165" t="e">
        <f>AND('UP133'!B128,"AAAAAH9fvyQ=")</f>
        <v>#VALUE!</v>
      </c>
      <c r="AL165" t="e">
        <f>AND('UP133'!C128,"AAAAAH9fvyU=")</f>
        <v>#VALUE!</v>
      </c>
      <c r="AM165" t="e">
        <f>AND('UP133'!D128,"AAAAAH9fvyY=")</f>
        <v>#VALUE!</v>
      </c>
      <c r="AN165" t="e">
        <f>AND('UP133'!E128,"AAAAAH9fvyc=")</f>
        <v>#VALUE!</v>
      </c>
      <c r="AO165" t="e">
        <f>AND('UP133'!F128,"AAAAAH9fvyg=")</f>
        <v>#VALUE!</v>
      </c>
      <c r="AP165" t="e">
        <f>AND('UP133'!G128,"AAAAAH9fvyk=")</f>
        <v>#VALUE!</v>
      </c>
      <c r="AQ165" t="e">
        <f>AND('UP133'!H128,"AAAAAH9fvyo=")</f>
        <v>#VALUE!</v>
      </c>
      <c r="AR165" t="e">
        <f>AND('UP133'!I128,"AAAAAH9fvys=")</f>
        <v>#VALUE!</v>
      </c>
      <c r="AS165" t="e">
        <f>AND('UP133'!J128,"AAAAAH9fvyw=")</f>
        <v>#VALUE!</v>
      </c>
      <c r="AT165" t="e">
        <f>AND('UP133'!K128,"AAAAAH9fvy0=")</f>
        <v>#VALUE!</v>
      </c>
      <c r="AU165" t="e">
        <f>AND('UP133'!L128,"AAAAAH9fvy4=")</f>
        <v>#VALUE!</v>
      </c>
      <c r="AV165" t="e">
        <f>AND('UP133'!M128,"AAAAAH9fvy8=")</f>
        <v>#VALUE!</v>
      </c>
      <c r="AW165" t="e">
        <f>AND('UP133'!N128,"AAAAAH9fvzA=")</f>
        <v>#VALUE!</v>
      </c>
      <c r="AX165" t="e">
        <f>AND('UP133'!O128,"AAAAAH9fvzE=")</f>
        <v>#VALUE!</v>
      </c>
      <c r="AY165" t="e">
        <f>AND('UP133'!P128,"AAAAAH9fvzI=")</f>
        <v>#VALUE!</v>
      </c>
      <c r="AZ165" t="e">
        <f>AND('UP133'!Q128,"AAAAAH9fvzM=")</f>
        <v>#VALUE!</v>
      </c>
      <c r="BA165" t="e">
        <f>AND('UP133'!R128,"AAAAAH9fvzQ=")</f>
        <v>#VALUE!</v>
      </c>
      <c r="BB165" t="e">
        <f>AND('UP133'!S128,"AAAAAH9fvzU=")</f>
        <v>#VALUE!</v>
      </c>
      <c r="BC165" t="e">
        <f>AND('UP133'!T128,"AAAAAH9fvzY=")</f>
        <v>#VALUE!</v>
      </c>
      <c r="BD165" t="e">
        <f>AND('UP133'!U128,"AAAAAH9fvzc=")</f>
        <v>#VALUE!</v>
      </c>
      <c r="BE165" t="e">
        <f>AND('UP133'!V128,"AAAAAH9fvzg=")</f>
        <v>#VALUE!</v>
      </c>
      <c r="BF165" t="e">
        <f>AND('UP133'!W128,"AAAAAH9fvzk=")</f>
        <v>#VALUE!</v>
      </c>
      <c r="BG165" t="e">
        <f>AND('UP133'!X128,"AAAAAH9fvzo=")</f>
        <v>#VALUE!</v>
      </c>
      <c r="BH165" t="e">
        <f>AND('UP133'!Y128,"AAAAAH9fvzs=")</f>
        <v>#VALUE!</v>
      </c>
      <c r="BI165" t="e">
        <f>AND('UP133'!Z128,"AAAAAH9fvzw=")</f>
        <v>#VALUE!</v>
      </c>
      <c r="BJ165" t="e">
        <f>AND('UP133'!AA128,"AAAAAH9fvz0=")</f>
        <v>#VALUE!</v>
      </c>
      <c r="BK165" t="e">
        <f>AND('UP133'!AB128,"AAAAAH9fvz4=")</f>
        <v>#VALUE!</v>
      </c>
      <c r="BL165" t="e">
        <f>AND('UP133'!AC128,"AAAAAH9fvz8=")</f>
        <v>#VALUE!</v>
      </c>
      <c r="BM165" t="e">
        <f>AND('UP133'!AD128,"AAAAAH9fv0A=")</f>
        <v>#VALUE!</v>
      </c>
      <c r="BN165" t="e">
        <f>AND('UP133'!AE128,"AAAAAH9fv0E=")</f>
        <v>#VALUE!</v>
      </c>
      <c r="BO165" t="e">
        <f>AND('UP133'!AF128,"AAAAAH9fv0I=")</f>
        <v>#VALUE!</v>
      </c>
      <c r="BP165" t="e">
        <f>AND('UP133'!AG128,"AAAAAH9fv0M=")</f>
        <v>#VALUE!</v>
      </c>
      <c r="BQ165" t="e">
        <f>AND('UP133'!AH128,"AAAAAH9fv0Q=")</f>
        <v>#VALUE!</v>
      </c>
      <c r="BR165" t="e">
        <f>AND('UP133'!AI128,"AAAAAH9fv0U=")</f>
        <v>#VALUE!</v>
      </c>
      <c r="BS165" t="e">
        <f>AND('UP133'!AJ128,"AAAAAH9fv0Y=")</f>
        <v>#VALUE!</v>
      </c>
      <c r="BT165" t="e">
        <f>AND('UP133'!AK128,"AAAAAH9fv0c=")</f>
        <v>#VALUE!</v>
      </c>
      <c r="BU165" t="e">
        <f>AND('UP133'!AL128,"AAAAAH9fv0g=")</f>
        <v>#VALUE!</v>
      </c>
      <c r="BV165" t="e">
        <f>AND('UP133'!AM128,"AAAAAH9fv0k=")</f>
        <v>#VALUE!</v>
      </c>
      <c r="BW165" t="e">
        <f>AND('UP133'!AN128,"AAAAAH9fv0o=")</f>
        <v>#VALUE!</v>
      </c>
      <c r="BX165" t="e">
        <f>AND('UP133'!AO128,"AAAAAH9fv0s=")</f>
        <v>#VALUE!</v>
      </c>
      <c r="BY165" t="e">
        <f>AND('UP133'!AP128,"AAAAAH9fv0w=")</f>
        <v>#VALUE!</v>
      </c>
      <c r="BZ165" t="e">
        <f>AND('UP133'!AQ128,"AAAAAH9fv00=")</f>
        <v>#VALUE!</v>
      </c>
      <c r="CA165" t="e">
        <f>AND('UP133'!AR128,"AAAAAH9fv04=")</f>
        <v>#VALUE!</v>
      </c>
      <c r="CB165" t="e">
        <f>AND('UP133'!AS128,"AAAAAH9fv08=")</f>
        <v>#VALUE!</v>
      </c>
      <c r="CC165" t="e">
        <f>AND('UP133'!AT128,"AAAAAH9fv1A=")</f>
        <v>#VALUE!</v>
      </c>
      <c r="CD165" t="e">
        <f>AND('UP133'!AU128,"AAAAAH9fv1E=")</f>
        <v>#VALUE!</v>
      </c>
      <c r="CE165" t="e">
        <f>AND('UP133'!AV128,"AAAAAH9fv1I=")</f>
        <v>#VALUE!</v>
      </c>
      <c r="CF165" t="e">
        <f>AND('UP133'!AW128,"AAAAAH9fv1M=")</f>
        <v>#VALUE!</v>
      </c>
      <c r="CG165" t="e">
        <f>AND('UP133'!AX128,"AAAAAH9fv1Q=")</f>
        <v>#VALUE!</v>
      </c>
      <c r="CH165" t="e">
        <f>AND('UP133'!AY128,"AAAAAH9fv1U=")</f>
        <v>#VALUE!</v>
      </c>
      <c r="CI165" t="e">
        <f>AND('UP133'!AZ128,"AAAAAH9fv1Y=")</f>
        <v>#VALUE!</v>
      </c>
      <c r="CJ165" t="e">
        <f>AND('UP133'!BA128,"AAAAAH9fv1c=")</f>
        <v>#VALUE!</v>
      </c>
      <c r="CK165" t="e">
        <f>AND('UP133'!BB128,"AAAAAH9fv1g=")</f>
        <v>#VALUE!</v>
      </c>
      <c r="CL165" t="e">
        <f>AND('UP133'!BC128,"AAAAAH9fv1k=")</f>
        <v>#VALUE!</v>
      </c>
      <c r="CM165" t="e">
        <f>AND('UP133'!BD128,"AAAAAH9fv1o=")</f>
        <v>#VALUE!</v>
      </c>
      <c r="CN165" t="e">
        <f>AND('UP133'!BE128,"AAAAAH9fv1s=")</f>
        <v>#VALUE!</v>
      </c>
      <c r="CO165" t="e">
        <f>AND('UP133'!BF128,"AAAAAH9fv1w=")</f>
        <v>#VALUE!</v>
      </c>
      <c r="CP165" t="e">
        <f>AND('UP133'!BG128,"AAAAAH9fv10=")</f>
        <v>#VALUE!</v>
      </c>
      <c r="CQ165" t="e">
        <f>AND('UP133'!BH128,"AAAAAH9fv14=")</f>
        <v>#VALUE!</v>
      </c>
      <c r="CR165" t="e">
        <f>AND('UP133'!BI128,"AAAAAH9fv18=")</f>
        <v>#VALUE!</v>
      </c>
      <c r="CS165" t="e">
        <f>AND('UP133'!BJ128,"AAAAAH9fv2A=")</f>
        <v>#VALUE!</v>
      </c>
      <c r="CT165" t="e">
        <f>AND('UP133'!BK128,"AAAAAH9fv2E=")</f>
        <v>#VALUE!</v>
      </c>
      <c r="CU165" t="e">
        <f>AND('UP133'!BL128,"AAAAAH9fv2I=")</f>
        <v>#VALUE!</v>
      </c>
      <c r="CV165" t="e">
        <f>AND('UP133'!BM128,"AAAAAH9fv2M=")</f>
        <v>#VALUE!</v>
      </c>
      <c r="CW165" t="e">
        <f>AND('UP133'!BN128,"AAAAAH9fv2Q=")</f>
        <v>#VALUE!</v>
      </c>
      <c r="CX165" t="e">
        <f>AND('UP133'!BO128,"AAAAAH9fv2U=")</f>
        <v>#VALUE!</v>
      </c>
      <c r="CY165" t="e">
        <f>AND('UP133'!BP128,"AAAAAH9fv2Y=")</f>
        <v>#VALUE!</v>
      </c>
      <c r="CZ165" t="e">
        <f>AND('UP133'!BQ128,"AAAAAH9fv2c=")</f>
        <v>#VALUE!</v>
      </c>
      <c r="DA165" t="e">
        <f>AND('UP133'!BR128,"AAAAAH9fv2g=")</f>
        <v>#VALUE!</v>
      </c>
      <c r="DB165" t="e">
        <f>AND('UP133'!BS128,"AAAAAH9fv2k=")</f>
        <v>#VALUE!</v>
      </c>
      <c r="DC165" t="e">
        <f>AND('UP133'!BT128,"AAAAAH9fv2o=")</f>
        <v>#VALUE!</v>
      </c>
      <c r="DD165" t="e">
        <f>AND('UP133'!BU128,"AAAAAH9fv2s=")</f>
        <v>#VALUE!</v>
      </c>
      <c r="DE165" t="e">
        <f>AND('UP133'!BV128,"AAAAAH9fv2w=")</f>
        <v>#VALUE!</v>
      </c>
      <c r="DF165" t="e">
        <f>AND('UP133'!BW128,"AAAAAH9fv20=")</f>
        <v>#VALUE!</v>
      </c>
      <c r="DG165" t="e">
        <f>AND('UP133'!BX128,"AAAAAH9fv24=")</f>
        <v>#VALUE!</v>
      </c>
      <c r="DH165" t="e">
        <f>AND('UP133'!BY128,"AAAAAH9fv28=")</f>
        <v>#VALUE!</v>
      </c>
      <c r="DI165" t="e">
        <f>AND('UP133'!BZ128,"AAAAAH9fv3A=")</f>
        <v>#VALUE!</v>
      </c>
      <c r="DJ165" t="e">
        <f>AND('UP133'!CA128,"AAAAAH9fv3E=")</f>
        <v>#VALUE!</v>
      </c>
      <c r="DK165" t="e">
        <f>AND('UP133'!CB128,"AAAAAH9fv3I=")</f>
        <v>#VALUE!</v>
      </c>
      <c r="DL165" t="e">
        <f>AND('UP133'!CC128,"AAAAAH9fv3M=")</f>
        <v>#VALUE!</v>
      </c>
      <c r="DM165" t="e">
        <f>AND('UP133'!CD128,"AAAAAH9fv3Q=")</f>
        <v>#VALUE!</v>
      </c>
      <c r="DN165" t="e">
        <f>AND('UP133'!CE128,"AAAAAH9fv3U=")</f>
        <v>#VALUE!</v>
      </c>
      <c r="DO165" t="e">
        <f>AND('UP133'!CF128,"AAAAAH9fv3Y=")</f>
        <v>#VALUE!</v>
      </c>
      <c r="DP165" t="e">
        <f>AND('UP133'!CG128,"AAAAAH9fv3c=")</f>
        <v>#VALUE!</v>
      </c>
      <c r="DQ165" t="e">
        <f>AND('UP133'!CH128,"AAAAAH9fv3g=")</f>
        <v>#VALUE!</v>
      </c>
      <c r="DR165" t="e">
        <f>AND('UP133'!CI128,"AAAAAH9fv3k=")</f>
        <v>#VALUE!</v>
      </c>
      <c r="DS165" t="e">
        <f>AND('UP133'!CJ128,"AAAAAH9fv3o=")</f>
        <v>#VALUE!</v>
      </c>
      <c r="DT165" t="e">
        <f>AND('UP133'!CK128,"AAAAAH9fv3s=")</f>
        <v>#VALUE!</v>
      </c>
      <c r="DU165" t="e">
        <f>AND('UP133'!CL128,"AAAAAH9fv3w=")</f>
        <v>#VALUE!</v>
      </c>
      <c r="DV165" t="e">
        <f>AND('UP133'!CM128,"AAAAAH9fv30=")</f>
        <v>#VALUE!</v>
      </c>
      <c r="DW165" t="e">
        <f>AND('UP133'!CN128,"AAAAAH9fv34=")</f>
        <v>#VALUE!</v>
      </c>
      <c r="DX165" t="e">
        <f>AND('UP133'!CO128,"AAAAAH9fv38=")</f>
        <v>#VALUE!</v>
      </c>
      <c r="DY165" t="e">
        <f>AND('UP133'!CP128,"AAAAAH9fv4A=")</f>
        <v>#VALUE!</v>
      </c>
      <c r="DZ165" t="e">
        <f>AND('UP133'!CQ128,"AAAAAH9fv4E=")</f>
        <v>#VALUE!</v>
      </c>
      <c r="EA165" t="e">
        <f>AND('UP133'!CR128,"AAAAAH9fv4I=")</f>
        <v>#VALUE!</v>
      </c>
      <c r="EB165" t="e">
        <f>AND('UP133'!CS128,"AAAAAH9fv4M=")</f>
        <v>#VALUE!</v>
      </c>
      <c r="EC165" t="e">
        <f>AND('UP133'!CT128,"AAAAAH9fv4Q=")</f>
        <v>#VALUE!</v>
      </c>
      <c r="ED165" t="e">
        <f>AND('UP133'!CU128,"AAAAAH9fv4U=")</f>
        <v>#VALUE!</v>
      </c>
      <c r="EE165" t="e">
        <f>AND('UP133'!CV128,"AAAAAH9fv4Y=")</f>
        <v>#VALUE!</v>
      </c>
      <c r="EF165" t="e">
        <f>AND('UP133'!CW128,"AAAAAH9fv4c=")</f>
        <v>#VALUE!</v>
      </c>
      <c r="EG165" t="e">
        <f>AND('UP133'!CX128,"AAAAAH9fv4g=")</f>
        <v>#VALUE!</v>
      </c>
      <c r="EH165" t="e">
        <f>AND('UP133'!CY128,"AAAAAH9fv4k=")</f>
        <v>#VALUE!</v>
      </c>
      <c r="EI165" t="e">
        <f>AND('UP133'!CZ128,"AAAAAH9fv4o=")</f>
        <v>#VALUE!</v>
      </c>
      <c r="EJ165" t="e">
        <f>AND('UP133'!DA128,"AAAAAH9fv4s=")</f>
        <v>#VALUE!</v>
      </c>
      <c r="EK165" t="e">
        <f>AND('UP133'!DB128,"AAAAAH9fv4w=")</f>
        <v>#VALUE!</v>
      </c>
      <c r="EL165" t="e">
        <f>AND('UP133'!DC128,"AAAAAH9fv40=")</f>
        <v>#VALUE!</v>
      </c>
      <c r="EM165" t="e">
        <f>AND('UP133'!DD128,"AAAAAH9fv44=")</f>
        <v>#VALUE!</v>
      </c>
      <c r="EN165" t="e">
        <f>AND('UP133'!DE128,"AAAAAH9fv48=")</f>
        <v>#VALUE!</v>
      </c>
      <c r="EO165" t="e">
        <f>AND('UP133'!DF128,"AAAAAH9fv5A=")</f>
        <v>#VALUE!</v>
      </c>
      <c r="EP165" t="e">
        <f>AND('UP133'!DG128,"AAAAAH9fv5E=")</f>
        <v>#VALUE!</v>
      </c>
      <c r="EQ165" t="e">
        <f>AND('UP133'!DH128,"AAAAAH9fv5I=")</f>
        <v>#VALUE!</v>
      </c>
      <c r="ER165" t="e">
        <f>AND('UP133'!DI128,"AAAAAH9fv5M=")</f>
        <v>#VALUE!</v>
      </c>
      <c r="ES165" t="e">
        <f>AND('UP133'!DJ128,"AAAAAH9fv5Q=")</f>
        <v>#VALUE!</v>
      </c>
      <c r="ET165" t="e">
        <f>AND('UP133'!DK128,"AAAAAH9fv5U=")</f>
        <v>#VALUE!</v>
      </c>
      <c r="EU165" t="e">
        <f>AND('UP133'!DL128,"AAAAAH9fv5Y=")</f>
        <v>#VALUE!</v>
      </c>
      <c r="EV165" t="e">
        <f>AND('UP133'!DM128,"AAAAAH9fv5c=")</f>
        <v>#VALUE!</v>
      </c>
      <c r="EW165" t="e">
        <f>AND('UP133'!DN128,"AAAAAH9fv5g=")</f>
        <v>#VALUE!</v>
      </c>
      <c r="EX165" t="e">
        <f>AND('UP133'!DO128,"AAAAAH9fv5k=")</f>
        <v>#VALUE!</v>
      </c>
      <c r="EY165" t="e">
        <f>AND('UP133'!DP128,"AAAAAH9fv5o=")</f>
        <v>#VALUE!</v>
      </c>
      <c r="EZ165" t="e">
        <f>AND('UP133'!DQ128,"AAAAAH9fv5s=")</f>
        <v>#VALUE!</v>
      </c>
      <c r="FA165" t="e">
        <f>AND('UP133'!DR128,"AAAAAH9fv5w=")</f>
        <v>#VALUE!</v>
      </c>
      <c r="FB165" t="e">
        <f>AND('UP133'!DS128,"AAAAAH9fv50=")</f>
        <v>#VALUE!</v>
      </c>
      <c r="FC165" t="e">
        <f>AND('UP133'!DT128,"AAAAAH9fv54=")</f>
        <v>#VALUE!</v>
      </c>
      <c r="FD165" t="e">
        <f>AND('UP133'!DU128,"AAAAAH9fv58=")</f>
        <v>#VALUE!</v>
      </c>
      <c r="FE165" t="e">
        <f>AND('UP133'!DV128,"AAAAAH9fv6A=")</f>
        <v>#VALUE!</v>
      </c>
      <c r="FF165" t="e">
        <f>AND('UP133'!DW128,"AAAAAH9fv6E=")</f>
        <v>#VALUE!</v>
      </c>
      <c r="FG165" t="e">
        <f>AND('UP133'!DX128,"AAAAAH9fv6I=")</f>
        <v>#VALUE!</v>
      </c>
      <c r="FH165" t="e">
        <f>AND('UP133'!DY128,"AAAAAH9fv6M=")</f>
        <v>#VALUE!</v>
      </c>
      <c r="FI165" t="e">
        <f>AND('UP133'!DZ128,"AAAAAH9fv6Q=")</f>
        <v>#VALUE!</v>
      </c>
      <c r="FJ165" t="e">
        <f>AND('UP133'!EA128,"AAAAAH9fv6U=")</f>
        <v>#VALUE!</v>
      </c>
      <c r="FK165" t="e">
        <f>AND('UP133'!EB128,"AAAAAH9fv6Y=")</f>
        <v>#VALUE!</v>
      </c>
      <c r="FL165" t="e">
        <f>AND('UP133'!EC128,"AAAAAH9fv6c=")</f>
        <v>#VALUE!</v>
      </c>
      <c r="FM165" t="e">
        <f>AND('UP133'!ED128,"AAAAAH9fv6g=")</f>
        <v>#VALUE!</v>
      </c>
      <c r="FN165" t="e">
        <f>AND('UP133'!EE128,"AAAAAH9fv6k=")</f>
        <v>#VALUE!</v>
      </c>
      <c r="FO165" t="e">
        <f>AND('UP133'!EF128,"AAAAAH9fv6o=")</f>
        <v>#VALUE!</v>
      </c>
      <c r="FP165" t="e">
        <f>AND('UP133'!EG128,"AAAAAH9fv6s=")</f>
        <v>#VALUE!</v>
      </c>
      <c r="FQ165" t="e">
        <f>AND('UP133'!EH128,"AAAAAH9fv6w=")</f>
        <v>#VALUE!</v>
      </c>
      <c r="FR165" t="e">
        <f>AND('UP133'!EI128,"AAAAAH9fv60=")</f>
        <v>#VALUE!</v>
      </c>
      <c r="FS165" t="e">
        <f>AND('UP133'!EJ128,"AAAAAH9fv64=")</f>
        <v>#VALUE!</v>
      </c>
      <c r="FT165" t="e">
        <f>AND('UP133'!EK128,"AAAAAH9fv68=")</f>
        <v>#VALUE!</v>
      </c>
      <c r="FU165" t="e">
        <f>AND('UP133'!EL128,"AAAAAH9fv7A=")</f>
        <v>#VALUE!</v>
      </c>
      <c r="FV165" t="e">
        <f>AND('UP133'!EM128,"AAAAAH9fv7E=")</f>
        <v>#VALUE!</v>
      </c>
      <c r="FW165" t="e">
        <f>AND('UP133'!EN128,"AAAAAH9fv7I=")</f>
        <v>#VALUE!</v>
      </c>
      <c r="FX165" t="e">
        <f>AND('UP133'!EO128,"AAAAAH9fv7M=")</f>
        <v>#VALUE!</v>
      </c>
      <c r="FY165" t="e">
        <f>AND('UP133'!EP128,"AAAAAH9fv7Q=")</f>
        <v>#VALUE!</v>
      </c>
      <c r="FZ165" t="e">
        <f>AND('UP133'!EQ128,"AAAAAH9fv7U=")</f>
        <v>#VALUE!</v>
      </c>
      <c r="GA165" t="e">
        <f>AND('UP133'!ER128,"AAAAAH9fv7Y=")</f>
        <v>#VALUE!</v>
      </c>
      <c r="GB165" t="e">
        <f>AND('UP133'!ES128,"AAAAAH9fv7c=")</f>
        <v>#VALUE!</v>
      </c>
      <c r="GC165" t="e">
        <f>AND('UP133'!ET128,"AAAAAH9fv7g=")</f>
        <v>#VALUE!</v>
      </c>
      <c r="GD165" t="e">
        <f>AND('UP133'!EU128,"AAAAAH9fv7k=")</f>
        <v>#VALUE!</v>
      </c>
      <c r="GE165" t="e">
        <f>AND('UP133'!EV128,"AAAAAH9fv7o=")</f>
        <v>#VALUE!</v>
      </c>
      <c r="GF165" t="e">
        <f>AND('UP133'!EW128,"AAAAAH9fv7s=")</f>
        <v>#VALUE!</v>
      </c>
      <c r="GG165" t="e">
        <f>AND('UP133'!EX128,"AAAAAH9fv7w=")</f>
        <v>#VALUE!</v>
      </c>
      <c r="GH165" t="e">
        <f>AND('UP133'!EY128,"AAAAAH9fv70=")</f>
        <v>#VALUE!</v>
      </c>
      <c r="GI165" t="e">
        <f>AND('UP133'!EZ128,"AAAAAH9fv74=")</f>
        <v>#VALUE!</v>
      </c>
      <c r="GJ165" t="e">
        <f>AND('UP133'!FA128,"AAAAAH9fv78=")</f>
        <v>#VALUE!</v>
      </c>
      <c r="GK165" t="e">
        <f>AND('UP133'!FB128,"AAAAAH9fv8A=")</f>
        <v>#VALUE!</v>
      </c>
      <c r="GL165" t="e">
        <f>AND('UP133'!FC128,"AAAAAH9fv8E=")</f>
        <v>#VALUE!</v>
      </c>
      <c r="GM165" t="e">
        <f>AND('UP133'!FD128,"AAAAAH9fv8I=")</f>
        <v>#VALUE!</v>
      </c>
      <c r="GN165" t="e">
        <f>AND('UP133'!FE128,"AAAAAH9fv8M=")</f>
        <v>#VALUE!</v>
      </c>
      <c r="GO165" t="e">
        <f>AND('UP133'!FF128,"AAAAAH9fv8Q=")</f>
        <v>#VALUE!</v>
      </c>
      <c r="GP165" t="e">
        <f>AND('UP133'!FG128,"AAAAAH9fv8U=")</f>
        <v>#VALUE!</v>
      </c>
      <c r="GQ165" t="e">
        <f>AND('UP133'!FH128,"AAAAAH9fv8Y=")</f>
        <v>#VALUE!</v>
      </c>
      <c r="GR165" t="e">
        <f>AND('UP133'!FI128,"AAAAAH9fv8c=")</f>
        <v>#VALUE!</v>
      </c>
      <c r="GS165" t="e">
        <f>AND('UP133'!FJ128,"AAAAAH9fv8g=")</f>
        <v>#VALUE!</v>
      </c>
      <c r="GT165" t="e">
        <f>AND('UP133'!FK128,"AAAAAH9fv8k=")</f>
        <v>#VALUE!</v>
      </c>
      <c r="GU165" t="e">
        <f>AND('UP133'!FL128,"AAAAAH9fv8o=")</f>
        <v>#VALUE!</v>
      </c>
      <c r="GV165" t="e">
        <f>AND('UP133'!FM128,"AAAAAH9fv8s=")</f>
        <v>#VALUE!</v>
      </c>
      <c r="GW165" t="e">
        <f>AND('UP133'!FN128,"AAAAAH9fv8w=")</f>
        <v>#VALUE!</v>
      </c>
      <c r="GX165" t="e">
        <f>AND('UP133'!FO128,"AAAAAH9fv80=")</f>
        <v>#VALUE!</v>
      </c>
      <c r="GY165" t="e">
        <f>AND('UP133'!FP128,"AAAAAH9fv84=")</f>
        <v>#VALUE!</v>
      </c>
      <c r="GZ165" t="e">
        <f>AND('UP133'!FQ128,"AAAAAH9fv88=")</f>
        <v>#VALUE!</v>
      </c>
      <c r="HA165" t="e">
        <f>AND('UP133'!FR128,"AAAAAH9fv9A=")</f>
        <v>#VALUE!</v>
      </c>
      <c r="HB165" t="e">
        <f>AND('UP133'!FS128,"AAAAAH9fv9E=")</f>
        <v>#VALUE!</v>
      </c>
      <c r="HC165" t="e">
        <f>AND('UP133'!FT128,"AAAAAH9fv9I=")</f>
        <v>#VALUE!</v>
      </c>
      <c r="HD165" t="e">
        <f>AND('UP133'!FU128,"AAAAAH9fv9M=")</f>
        <v>#VALUE!</v>
      </c>
      <c r="HE165" t="e">
        <f>AND('UP133'!FV128,"AAAAAH9fv9Q=")</f>
        <v>#VALUE!</v>
      </c>
      <c r="HF165" t="e">
        <f>AND('UP133'!FW128,"AAAAAH9fv9U=")</f>
        <v>#VALUE!</v>
      </c>
      <c r="HG165" t="e">
        <f>AND('UP133'!FX128,"AAAAAH9fv9Y=")</f>
        <v>#VALUE!</v>
      </c>
      <c r="HH165" t="e">
        <f>AND('UP133'!FY128,"AAAAAH9fv9c=")</f>
        <v>#VALUE!</v>
      </c>
      <c r="HI165" t="e">
        <f>AND('UP133'!FZ128,"AAAAAH9fv9g=")</f>
        <v>#VALUE!</v>
      </c>
      <c r="HJ165" t="e">
        <f>AND('UP133'!GA128,"AAAAAH9fv9k=")</f>
        <v>#VALUE!</v>
      </c>
      <c r="HK165" t="e">
        <f>AND('UP133'!GB128,"AAAAAH9fv9o=")</f>
        <v>#VALUE!</v>
      </c>
      <c r="HL165" t="e">
        <f>AND('UP133'!GC128,"AAAAAH9fv9s=")</f>
        <v>#VALUE!</v>
      </c>
      <c r="HM165" t="e">
        <f>AND('UP133'!GD128,"AAAAAH9fv9w=")</f>
        <v>#VALUE!</v>
      </c>
      <c r="HN165" t="e">
        <f>AND('UP133'!GE128,"AAAAAH9fv90=")</f>
        <v>#VALUE!</v>
      </c>
      <c r="HO165" t="e">
        <f>AND('UP133'!GF128,"AAAAAH9fv94=")</f>
        <v>#VALUE!</v>
      </c>
      <c r="HP165" t="e">
        <f>AND('UP133'!GG128,"AAAAAH9fv98=")</f>
        <v>#VALUE!</v>
      </c>
      <c r="HQ165" t="e">
        <f>AND('UP133'!GH128,"AAAAAH9fv+A=")</f>
        <v>#VALUE!</v>
      </c>
      <c r="HR165" t="e">
        <f>AND('UP133'!GI128,"AAAAAH9fv+E=")</f>
        <v>#VALUE!</v>
      </c>
      <c r="HS165" t="e">
        <f>AND('UP133'!GJ128,"AAAAAH9fv+I=")</f>
        <v>#VALUE!</v>
      </c>
      <c r="HT165" t="e">
        <f>AND('UP133'!GK128,"AAAAAH9fv+M=")</f>
        <v>#VALUE!</v>
      </c>
      <c r="HU165" t="e">
        <f>AND('UP133'!GL128,"AAAAAH9fv+Q=")</f>
        <v>#VALUE!</v>
      </c>
      <c r="HV165" t="e">
        <f>AND('UP133'!GM128,"AAAAAH9fv+U=")</f>
        <v>#VALUE!</v>
      </c>
      <c r="HW165" t="e">
        <f>AND('UP133'!GN128,"AAAAAH9fv+Y=")</f>
        <v>#VALUE!</v>
      </c>
      <c r="HX165" t="e">
        <f>AND('UP133'!GO128,"AAAAAH9fv+c=")</f>
        <v>#VALUE!</v>
      </c>
      <c r="HY165" t="e">
        <f>AND('UP133'!GP128,"AAAAAH9fv+g=")</f>
        <v>#VALUE!</v>
      </c>
      <c r="HZ165" t="e">
        <f>AND('UP133'!GQ128,"AAAAAH9fv+k=")</f>
        <v>#VALUE!</v>
      </c>
      <c r="IA165" t="e">
        <f>AND('UP133'!GR128,"AAAAAH9fv+o=")</f>
        <v>#VALUE!</v>
      </c>
      <c r="IB165" t="e">
        <f>AND('UP133'!GS128,"AAAAAH9fv+s=")</f>
        <v>#VALUE!</v>
      </c>
      <c r="IC165" t="e">
        <f>AND('UP133'!GT128,"AAAAAH9fv+w=")</f>
        <v>#VALUE!</v>
      </c>
      <c r="ID165" t="e">
        <f>AND('UP133'!GU128,"AAAAAH9fv+0=")</f>
        <v>#VALUE!</v>
      </c>
      <c r="IE165" t="e">
        <f>AND('UP133'!GV128,"AAAAAH9fv+4=")</f>
        <v>#VALUE!</v>
      </c>
      <c r="IF165" t="e">
        <f>AND('UP133'!GW128,"AAAAAH9fv+8=")</f>
        <v>#VALUE!</v>
      </c>
      <c r="IG165" t="e">
        <f>AND('UP133'!GX128,"AAAAAH9fv/A=")</f>
        <v>#VALUE!</v>
      </c>
      <c r="IH165" t="e">
        <f>AND('UP133'!GY128,"AAAAAH9fv/E=")</f>
        <v>#VALUE!</v>
      </c>
      <c r="II165" t="e">
        <f>AND('UP133'!GZ128,"AAAAAH9fv/I=")</f>
        <v>#VALUE!</v>
      </c>
      <c r="IJ165" t="e">
        <f>AND('UP133'!HA128,"AAAAAH9fv/M=")</f>
        <v>#VALUE!</v>
      </c>
      <c r="IK165" t="e">
        <f>AND('UP133'!HB128,"AAAAAH9fv/Q=")</f>
        <v>#VALUE!</v>
      </c>
      <c r="IL165" t="e">
        <f>AND('UP133'!HC128,"AAAAAH9fv/U=")</f>
        <v>#VALUE!</v>
      </c>
      <c r="IM165" t="e">
        <f>AND('UP133'!HD128,"AAAAAH9fv/Y=")</f>
        <v>#VALUE!</v>
      </c>
      <c r="IN165" t="e">
        <f>AND('UP133'!HE128,"AAAAAH9fv/c=")</f>
        <v>#VALUE!</v>
      </c>
      <c r="IO165" t="e">
        <f>AND('UP133'!HF128,"AAAAAH9fv/g=")</f>
        <v>#VALUE!</v>
      </c>
      <c r="IP165" t="e">
        <f>AND('UP133'!HG128,"AAAAAH9fv/k=")</f>
        <v>#VALUE!</v>
      </c>
      <c r="IQ165" t="e">
        <f>AND('UP133'!HH128,"AAAAAH9fv/o=")</f>
        <v>#VALUE!</v>
      </c>
      <c r="IR165" t="e">
        <f>AND('UP133'!HI128,"AAAAAH9fv/s=")</f>
        <v>#VALUE!</v>
      </c>
      <c r="IS165" t="e">
        <f>AND('UP133'!HJ128,"AAAAAH9fv/w=")</f>
        <v>#VALUE!</v>
      </c>
      <c r="IT165" t="e">
        <f>AND('UP133'!HK128,"AAAAAH9fv/0=")</f>
        <v>#VALUE!</v>
      </c>
      <c r="IU165" t="e">
        <f>AND('UP133'!HL128,"AAAAAH9fv/4=")</f>
        <v>#VALUE!</v>
      </c>
      <c r="IV165" t="e">
        <f>AND('UP133'!HM128,"AAAAAH9fv/8=")</f>
        <v>#VALUE!</v>
      </c>
    </row>
    <row r="166" spans="1:256">
      <c r="A166" t="e">
        <f>AND('UP133'!HN128,"AAAAAFPPtwA=")</f>
        <v>#VALUE!</v>
      </c>
      <c r="B166" t="e">
        <f>AND('UP133'!HO128,"AAAAAFPPtwE=")</f>
        <v>#VALUE!</v>
      </c>
      <c r="C166" t="e">
        <f>AND('UP133'!HP128,"AAAAAFPPtwI=")</f>
        <v>#VALUE!</v>
      </c>
      <c r="D166" t="e">
        <f>AND('UP133'!HQ128,"AAAAAFPPtwM=")</f>
        <v>#VALUE!</v>
      </c>
      <c r="E166" t="e">
        <f>AND('UP133'!HR128,"AAAAAFPPtwQ=")</f>
        <v>#VALUE!</v>
      </c>
      <c r="F166" t="e">
        <f>AND('UP133'!HS128,"AAAAAFPPtwU=")</f>
        <v>#VALUE!</v>
      </c>
      <c r="G166" t="e">
        <f>AND('UP133'!HT128,"AAAAAFPPtwY=")</f>
        <v>#VALUE!</v>
      </c>
      <c r="H166" t="e">
        <f>AND('UP133'!HU128,"AAAAAFPPtwc=")</f>
        <v>#VALUE!</v>
      </c>
      <c r="I166" t="e">
        <f>AND('UP133'!HV128,"AAAAAFPPtwg=")</f>
        <v>#VALUE!</v>
      </c>
      <c r="J166" t="e">
        <f>AND('UP133'!HW128,"AAAAAFPPtwk=")</f>
        <v>#VALUE!</v>
      </c>
      <c r="K166" t="e">
        <f>AND('UP133'!HX128,"AAAAAFPPtwo=")</f>
        <v>#VALUE!</v>
      </c>
      <c r="L166" t="e">
        <f>AND('UP133'!HY128,"AAAAAFPPtws=")</f>
        <v>#VALUE!</v>
      </c>
      <c r="M166" t="e">
        <f>AND('UP133'!HZ128,"AAAAAFPPtww=")</f>
        <v>#VALUE!</v>
      </c>
      <c r="N166" t="e">
        <f>AND('UP133'!IA128,"AAAAAFPPtw0=")</f>
        <v>#VALUE!</v>
      </c>
      <c r="O166" t="e">
        <f>AND('UP133'!IB128,"AAAAAFPPtw4=")</f>
        <v>#VALUE!</v>
      </c>
      <c r="P166" t="e">
        <f>AND('UP133'!IC128,"AAAAAFPPtw8=")</f>
        <v>#VALUE!</v>
      </c>
      <c r="Q166" t="e">
        <f>AND('UP133'!ID128,"AAAAAFPPtxA=")</f>
        <v>#VALUE!</v>
      </c>
      <c r="R166" t="e">
        <f>AND('UP133'!IE128,"AAAAAFPPtxE=")</f>
        <v>#VALUE!</v>
      </c>
      <c r="S166" t="e">
        <f>AND('UP133'!IF128,"AAAAAFPPtxI=")</f>
        <v>#VALUE!</v>
      </c>
      <c r="T166" t="e">
        <f>AND('UP133'!IG128,"AAAAAFPPtxM=")</f>
        <v>#VALUE!</v>
      </c>
      <c r="U166" t="e">
        <f>AND('UP133'!IH128,"AAAAAFPPtxQ=")</f>
        <v>#VALUE!</v>
      </c>
      <c r="V166" t="e">
        <f>AND('UP133'!II128,"AAAAAFPPtxU=")</f>
        <v>#VALUE!</v>
      </c>
      <c r="W166" t="e">
        <f>AND('UP133'!IJ128,"AAAAAFPPtxY=")</f>
        <v>#VALUE!</v>
      </c>
      <c r="X166" t="e">
        <f>AND('UP133'!IK128,"AAAAAFPPtxc=")</f>
        <v>#VALUE!</v>
      </c>
      <c r="Y166" t="e">
        <f>AND('UP133'!IL128,"AAAAAFPPtxg=")</f>
        <v>#VALUE!</v>
      </c>
      <c r="Z166" t="e">
        <f>AND('UP133'!IM128,"AAAAAFPPtxk=")</f>
        <v>#VALUE!</v>
      </c>
      <c r="AA166" t="e">
        <f>AND('UP133'!IN128,"AAAAAFPPtxo=")</f>
        <v>#VALUE!</v>
      </c>
      <c r="AB166" t="e">
        <f>AND('UP133'!IO128,"AAAAAFPPtxs=")</f>
        <v>#VALUE!</v>
      </c>
      <c r="AC166" t="e">
        <f>AND('UP133'!IP128,"AAAAAFPPtxw=")</f>
        <v>#VALUE!</v>
      </c>
      <c r="AD166" t="e">
        <f>AND('UP133'!IQ128,"AAAAAFPPtx0=")</f>
        <v>#VALUE!</v>
      </c>
      <c r="AE166">
        <f>IF('UP133'!129:129,"AAAAAFPPtx4=",0)</f>
        <v>0</v>
      </c>
      <c r="AF166" t="e">
        <f>AND('UP133'!A129,"AAAAAFPPtx8=")</f>
        <v>#VALUE!</v>
      </c>
      <c r="AG166" t="e">
        <f>AND('UP133'!B129,"AAAAAFPPtyA=")</f>
        <v>#VALUE!</v>
      </c>
      <c r="AH166" t="e">
        <f>AND('UP133'!C129,"AAAAAFPPtyE=")</f>
        <v>#VALUE!</v>
      </c>
      <c r="AI166" t="e">
        <f>AND('UP133'!D129,"AAAAAFPPtyI=")</f>
        <v>#VALUE!</v>
      </c>
      <c r="AJ166" t="e">
        <f>AND('UP133'!E129,"AAAAAFPPtyM=")</f>
        <v>#VALUE!</v>
      </c>
      <c r="AK166" t="e">
        <f>AND('UP133'!F129,"AAAAAFPPtyQ=")</f>
        <v>#VALUE!</v>
      </c>
      <c r="AL166" t="e">
        <f>AND('UP133'!G129,"AAAAAFPPtyU=")</f>
        <v>#VALUE!</v>
      </c>
      <c r="AM166" t="e">
        <f>AND('UP133'!H129,"AAAAAFPPtyY=")</f>
        <v>#VALUE!</v>
      </c>
      <c r="AN166" t="e">
        <f>AND('UP133'!I129,"AAAAAFPPtyc=")</f>
        <v>#VALUE!</v>
      </c>
      <c r="AO166" t="e">
        <f>AND('UP133'!J129,"AAAAAFPPtyg=")</f>
        <v>#VALUE!</v>
      </c>
      <c r="AP166" t="e">
        <f>AND('UP133'!K129,"AAAAAFPPtyk=")</f>
        <v>#VALUE!</v>
      </c>
      <c r="AQ166" t="e">
        <f>AND('UP133'!L129,"AAAAAFPPtyo=")</f>
        <v>#VALUE!</v>
      </c>
      <c r="AR166" t="e">
        <f>AND('UP133'!M129,"AAAAAFPPtys=")</f>
        <v>#VALUE!</v>
      </c>
      <c r="AS166" t="e">
        <f>AND('UP133'!N129,"AAAAAFPPtyw=")</f>
        <v>#VALUE!</v>
      </c>
      <c r="AT166" t="e">
        <f>AND('UP133'!O129,"AAAAAFPPty0=")</f>
        <v>#VALUE!</v>
      </c>
      <c r="AU166" t="e">
        <f>AND('UP133'!P129,"AAAAAFPPty4=")</f>
        <v>#VALUE!</v>
      </c>
      <c r="AV166" t="e">
        <f>AND('UP133'!Q129,"AAAAAFPPty8=")</f>
        <v>#VALUE!</v>
      </c>
      <c r="AW166" t="e">
        <f>AND('UP133'!R129,"AAAAAFPPtzA=")</f>
        <v>#VALUE!</v>
      </c>
      <c r="AX166" t="e">
        <f>AND('UP133'!S129,"AAAAAFPPtzE=")</f>
        <v>#VALUE!</v>
      </c>
      <c r="AY166" t="e">
        <f>AND('UP133'!T129,"AAAAAFPPtzI=")</f>
        <v>#VALUE!</v>
      </c>
      <c r="AZ166" t="e">
        <f>AND('UP133'!U129,"AAAAAFPPtzM=")</f>
        <v>#VALUE!</v>
      </c>
      <c r="BA166" t="e">
        <f>AND('UP133'!V129,"AAAAAFPPtzQ=")</f>
        <v>#VALUE!</v>
      </c>
      <c r="BB166" t="e">
        <f>AND('UP133'!W129,"AAAAAFPPtzU=")</f>
        <v>#VALUE!</v>
      </c>
      <c r="BC166" t="e">
        <f>AND('UP133'!X129,"AAAAAFPPtzY=")</f>
        <v>#VALUE!</v>
      </c>
      <c r="BD166" t="e">
        <f>AND('UP133'!Y129,"AAAAAFPPtzc=")</f>
        <v>#VALUE!</v>
      </c>
      <c r="BE166" t="e">
        <f>AND('UP133'!Z129,"AAAAAFPPtzg=")</f>
        <v>#VALUE!</v>
      </c>
      <c r="BF166" t="e">
        <f>AND('UP133'!AA129,"AAAAAFPPtzk=")</f>
        <v>#VALUE!</v>
      </c>
      <c r="BG166" t="e">
        <f>AND('UP133'!AB129,"AAAAAFPPtzo=")</f>
        <v>#VALUE!</v>
      </c>
      <c r="BH166" t="e">
        <f>AND('UP133'!AC129,"AAAAAFPPtzs=")</f>
        <v>#VALUE!</v>
      </c>
      <c r="BI166" t="e">
        <f>AND('UP133'!AD129,"AAAAAFPPtzw=")</f>
        <v>#VALUE!</v>
      </c>
      <c r="BJ166" t="e">
        <f>AND('UP133'!AE129,"AAAAAFPPtz0=")</f>
        <v>#VALUE!</v>
      </c>
      <c r="BK166" t="e">
        <f>AND('UP133'!AF129,"AAAAAFPPtz4=")</f>
        <v>#VALUE!</v>
      </c>
      <c r="BL166" t="e">
        <f>AND('UP133'!AG129,"AAAAAFPPtz8=")</f>
        <v>#VALUE!</v>
      </c>
      <c r="BM166" t="e">
        <f>AND('UP133'!AH129,"AAAAAFPPt0A=")</f>
        <v>#VALUE!</v>
      </c>
      <c r="BN166" t="e">
        <f>AND('UP133'!AI129,"AAAAAFPPt0E=")</f>
        <v>#VALUE!</v>
      </c>
      <c r="BO166" t="e">
        <f>AND('UP133'!AJ129,"AAAAAFPPt0I=")</f>
        <v>#VALUE!</v>
      </c>
      <c r="BP166" t="e">
        <f>AND('UP133'!AK129,"AAAAAFPPt0M=")</f>
        <v>#VALUE!</v>
      </c>
      <c r="BQ166" t="e">
        <f>AND('UP133'!AL129,"AAAAAFPPt0Q=")</f>
        <v>#VALUE!</v>
      </c>
      <c r="BR166" t="e">
        <f>AND('UP133'!AM129,"AAAAAFPPt0U=")</f>
        <v>#VALUE!</v>
      </c>
      <c r="BS166" t="e">
        <f>AND('UP133'!AN129,"AAAAAFPPt0Y=")</f>
        <v>#VALUE!</v>
      </c>
      <c r="BT166" t="e">
        <f>AND('UP133'!AO129,"AAAAAFPPt0c=")</f>
        <v>#VALUE!</v>
      </c>
      <c r="BU166" t="e">
        <f>AND('UP133'!AP129,"AAAAAFPPt0g=")</f>
        <v>#VALUE!</v>
      </c>
      <c r="BV166" t="e">
        <f>AND('UP133'!AQ129,"AAAAAFPPt0k=")</f>
        <v>#VALUE!</v>
      </c>
      <c r="BW166" t="e">
        <f>AND('UP133'!AR129,"AAAAAFPPt0o=")</f>
        <v>#VALUE!</v>
      </c>
      <c r="BX166" t="e">
        <f>AND('UP133'!AS129,"AAAAAFPPt0s=")</f>
        <v>#VALUE!</v>
      </c>
      <c r="BY166" t="e">
        <f>AND('UP133'!AT129,"AAAAAFPPt0w=")</f>
        <v>#VALUE!</v>
      </c>
      <c r="BZ166" t="e">
        <f>AND('UP133'!AU129,"AAAAAFPPt00=")</f>
        <v>#VALUE!</v>
      </c>
      <c r="CA166" t="e">
        <f>AND('UP133'!AV129,"AAAAAFPPt04=")</f>
        <v>#VALUE!</v>
      </c>
      <c r="CB166" t="e">
        <f>AND('UP133'!AW129,"AAAAAFPPt08=")</f>
        <v>#VALUE!</v>
      </c>
      <c r="CC166" t="e">
        <f>AND('UP133'!AX129,"AAAAAFPPt1A=")</f>
        <v>#VALUE!</v>
      </c>
      <c r="CD166" t="e">
        <f>AND('UP133'!AY129,"AAAAAFPPt1E=")</f>
        <v>#VALUE!</v>
      </c>
      <c r="CE166" t="e">
        <f>AND('UP133'!AZ129,"AAAAAFPPt1I=")</f>
        <v>#VALUE!</v>
      </c>
      <c r="CF166" t="e">
        <f>AND('UP133'!BA129,"AAAAAFPPt1M=")</f>
        <v>#VALUE!</v>
      </c>
      <c r="CG166" t="e">
        <f>AND('UP133'!BB129,"AAAAAFPPt1Q=")</f>
        <v>#VALUE!</v>
      </c>
      <c r="CH166" t="e">
        <f>AND('UP133'!BC129,"AAAAAFPPt1U=")</f>
        <v>#VALUE!</v>
      </c>
      <c r="CI166" t="e">
        <f>AND('UP133'!BD129,"AAAAAFPPt1Y=")</f>
        <v>#VALUE!</v>
      </c>
      <c r="CJ166" t="e">
        <f>AND('UP133'!BE129,"AAAAAFPPt1c=")</f>
        <v>#VALUE!</v>
      </c>
      <c r="CK166" t="e">
        <f>AND('UP133'!BF129,"AAAAAFPPt1g=")</f>
        <v>#VALUE!</v>
      </c>
      <c r="CL166" t="e">
        <f>AND('UP133'!BG129,"AAAAAFPPt1k=")</f>
        <v>#VALUE!</v>
      </c>
      <c r="CM166" t="e">
        <f>AND('UP133'!BH129,"AAAAAFPPt1o=")</f>
        <v>#VALUE!</v>
      </c>
      <c r="CN166" t="e">
        <f>AND('UP133'!BI129,"AAAAAFPPt1s=")</f>
        <v>#VALUE!</v>
      </c>
      <c r="CO166" t="e">
        <f>AND('UP133'!BJ129,"AAAAAFPPt1w=")</f>
        <v>#VALUE!</v>
      </c>
      <c r="CP166" t="e">
        <f>AND('UP133'!BK129,"AAAAAFPPt10=")</f>
        <v>#VALUE!</v>
      </c>
      <c r="CQ166" t="e">
        <f>AND('UP133'!BL129,"AAAAAFPPt14=")</f>
        <v>#VALUE!</v>
      </c>
      <c r="CR166" t="e">
        <f>AND('UP133'!BM129,"AAAAAFPPt18=")</f>
        <v>#VALUE!</v>
      </c>
      <c r="CS166" t="e">
        <f>AND('UP133'!BN129,"AAAAAFPPt2A=")</f>
        <v>#VALUE!</v>
      </c>
      <c r="CT166" t="e">
        <f>AND('UP133'!BO129,"AAAAAFPPt2E=")</f>
        <v>#VALUE!</v>
      </c>
      <c r="CU166" t="e">
        <f>AND('UP133'!BP129,"AAAAAFPPt2I=")</f>
        <v>#VALUE!</v>
      </c>
      <c r="CV166" t="e">
        <f>AND('UP133'!BQ129,"AAAAAFPPt2M=")</f>
        <v>#VALUE!</v>
      </c>
      <c r="CW166" t="e">
        <f>AND('UP133'!BR129,"AAAAAFPPt2Q=")</f>
        <v>#VALUE!</v>
      </c>
      <c r="CX166" t="e">
        <f>AND('UP133'!BS129,"AAAAAFPPt2U=")</f>
        <v>#VALUE!</v>
      </c>
      <c r="CY166" t="e">
        <f>AND('UP133'!BT129,"AAAAAFPPt2Y=")</f>
        <v>#VALUE!</v>
      </c>
      <c r="CZ166" t="e">
        <f>AND('UP133'!BU129,"AAAAAFPPt2c=")</f>
        <v>#VALUE!</v>
      </c>
      <c r="DA166" t="e">
        <f>AND('UP133'!BV129,"AAAAAFPPt2g=")</f>
        <v>#VALUE!</v>
      </c>
      <c r="DB166" t="e">
        <f>AND('UP133'!BW129,"AAAAAFPPt2k=")</f>
        <v>#VALUE!</v>
      </c>
      <c r="DC166" t="e">
        <f>AND('UP133'!BX129,"AAAAAFPPt2o=")</f>
        <v>#VALUE!</v>
      </c>
      <c r="DD166" t="e">
        <f>AND('UP133'!BY129,"AAAAAFPPt2s=")</f>
        <v>#VALUE!</v>
      </c>
      <c r="DE166" t="e">
        <f>AND('UP133'!BZ129,"AAAAAFPPt2w=")</f>
        <v>#VALUE!</v>
      </c>
      <c r="DF166" t="e">
        <f>AND('UP133'!CA129,"AAAAAFPPt20=")</f>
        <v>#VALUE!</v>
      </c>
      <c r="DG166" t="e">
        <f>AND('UP133'!CB129,"AAAAAFPPt24=")</f>
        <v>#VALUE!</v>
      </c>
      <c r="DH166" t="e">
        <f>AND('UP133'!CC129,"AAAAAFPPt28=")</f>
        <v>#VALUE!</v>
      </c>
      <c r="DI166" t="e">
        <f>AND('UP133'!CD129,"AAAAAFPPt3A=")</f>
        <v>#VALUE!</v>
      </c>
      <c r="DJ166" t="e">
        <f>AND('UP133'!CE129,"AAAAAFPPt3E=")</f>
        <v>#VALUE!</v>
      </c>
      <c r="DK166" t="e">
        <f>AND('UP133'!CF129,"AAAAAFPPt3I=")</f>
        <v>#VALUE!</v>
      </c>
      <c r="DL166" t="e">
        <f>AND('UP133'!CG129,"AAAAAFPPt3M=")</f>
        <v>#VALUE!</v>
      </c>
      <c r="DM166" t="e">
        <f>AND('UP133'!CH129,"AAAAAFPPt3Q=")</f>
        <v>#VALUE!</v>
      </c>
      <c r="DN166" t="e">
        <f>AND('UP133'!CI129,"AAAAAFPPt3U=")</f>
        <v>#VALUE!</v>
      </c>
      <c r="DO166" t="e">
        <f>AND('UP133'!CJ129,"AAAAAFPPt3Y=")</f>
        <v>#VALUE!</v>
      </c>
      <c r="DP166" t="e">
        <f>AND('UP133'!CK129,"AAAAAFPPt3c=")</f>
        <v>#VALUE!</v>
      </c>
      <c r="DQ166" t="e">
        <f>AND('UP133'!CL129,"AAAAAFPPt3g=")</f>
        <v>#VALUE!</v>
      </c>
      <c r="DR166" t="e">
        <f>AND('UP133'!CM129,"AAAAAFPPt3k=")</f>
        <v>#VALUE!</v>
      </c>
      <c r="DS166" t="e">
        <f>AND('UP133'!CN129,"AAAAAFPPt3o=")</f>
        <v>#VALUE!</v>
      </c>
      <c r="DT166" t="e">
        <f>AND('UP133'!CO129,"AAAAAFPPt3s=")</f>
        <v>#VALUE!</v>
      </c>
      <c r="DU166" t="e">
        <f>AND('UP133'!CP129,"AAAAAFPPt3w=")</f>
        <v>#VALUE!</v>
      </c>
      <c r="DV166" t="e">
        <f>AND('UP133'!CQ129,"AAAAAFPPt30=")</f>
        <v>#VALUE!</v>
      </c>
      <c r="DW166" t="e">
        <f>AND('UP133'!CR129,"AAAAAFPPt34=")</f>
        <v>#VALUE!</v>
      </c>
      <c r="DX166" t="e">
        <f>AND('UP133'!CS129,"AAAAAFPPt38=")</f>
        <v>#VALUE!</v>
      </c>
      <c r="DY166" t="e">
        <f>AND('UP133'!CT129,"AAAAAFPPt4A=")</f>
        <v>#VALUE!</v>
      </c>
      <c r="DZ166" t="e">
        <f>AND('UP133'!CU129,"AAAAAFPPt4E=")</f>
        <v>#VALUE!</v>
      </c>
      <c r="EA166" t="e">
        <f>AND('UP133'!CV129,"AAAAAFPPt4I=")</f>
        <v>#VALUE!</v>
      </c>
      <c r="EB166" t="e">
        <f>AND('UP133'!CW129,"AAAAAFPPt4M=")</f>
        <v>#VALUE!</v>
      </c>
      <c r="EC166" t="e">
        <f>AND('UP133'!CX129,"AAAAAFPPt4Q=")</f>
        <v>#VALUE!</v>
      </c>
      <c r="ED166" t="e">
        <f>AND('UP133'!CY129,"AAAAAFPPt4U=")</f>
        <v>#VALUE!</v>
      </c>
      <c r="EE166" t="e">
        <f>AND('UP133'!CZ129,"AAAAAFPPt4Y=")</f>
        <v>#VALUE!</v>
      </c>
      <c r="EF166" t="e">
        <f>AND('UP133'!DA129,"AAAAAFPPt4c=")</f>
        <v>#VALUE!</v>
      </c>
      <c r="EG166" t="e">
        <f>AND('UP133'!DB129,"AAAAAFPPt4g=")</f>
        <v>#VALUE!</v>
      </c>
      <c r="EH166" t="e">
        <f>AND('UP133'!DC129,"AAAAAFPPt4k=")</f>
        <v>#VALUE!</v>
      </c>
      <c r="EI166" t="e">
        <f>AND('UP133'!DD129,"AAAAAFPPt4o=")</f>
        <v>#VALUE!</v>
      </c>
      <c r="EJ166" t="e">
        <f>AND('UP133'!DE129,"AAAAAFPPt4s=")</f>
        <v>#VALUE!</v>
      </c>
      <c r="EK166" t="e">
        <f>AND('UP133'!DF129,"AAAAAFPPt4w=")</f>
        <v>#VALUE!</v>
      </c>
      <c r="EL166" t="e">
        <f>AND('UP133'!DG129,"AAAAAFPPt40=")</f>
        <v>#VALUE!</v>
      </c>
      <c r="EM166" t="e">
        <f>AND('UP133'!DH129,"AAAAAFPPt44=")</f>
        <v>#VALUE!</v>
      </c>
      <c r="EN166" t="e">
        <f>AND('UP133'!DI129,"AAAAAFPPt48=")</f>
        <v>#VALUE!</v>
      </c>
      <c r="EO166" t="e">
        <f>AND('UP133'!DJ129,"AAAAAFPPt5A=")</f>
        <v>#VALUE!</v>
      </c>
      <c r="EP166" t="e">
        <f>AND('UP133'!DK129,"AAAAAFPPt5E=")</f>
        <v>#VALUE!</v>
      </c>
      <c r="EQ166" t="e">
        <f>AND('UP133'!DL129,"AAAAAFPPt5I=")</f>
        <v>#VALUE!</v>
      </c>
      <c r="ER166" t="e">
        <f>AND('UP133'!DM129,"AAAAAFPPt5M=")</f>
        <v>#VALUE!</v>
      </c>
      <c r="ES166" t="e">
        <f>AND('UP133'!DN129,"AAAAAFPPt5Q=")</f>
        <v>#VALUE!</v>
      </c>
      <c r="ET166" t="e">
        <f>AND('UP133'!DO129,"AAAAAFPPt5U=")</f>
        <v>#VALUE!</v>
      </c>
      <c r="EU166" t="e">
        <f>AND('UP133'!DP129,"AAAAAFPPt5Y=")</f>
        <v>#VALUE!</v>
      </c>
      <c r="EV166" t="e">
        <f>AND('UP133'!DQ129,"AAAAAFPPt5c=")</f>
        <v>#VALUE!</v>
      </c>
      <c r="EW166" t="e">
        <f>AND('UP133'!DR129,"AAAAAFPPt5g=")</f>
        <v>#VALUE!</v>
      </c>
      <c r="EX166" t="e">
        <f>AND('UP133'!DS129,"AAAAAFPPt5k=")</f>
        <v>#VALUE!</v>
      </c>
      <c r="EY166" t="e">
        <f>AND('UP133'!DT129,"AAAAAFPPt5o=")</f>
        <v>#VALUE!</v>
      </c>
      <c r="EZ166" t="e">
        <f>AND('UP133'!DU129,"AAAAAFPPt5s=")</f>
        <v>#VALUE!</v>
      </c>
      <c r="FA166" t="e">
        <f>AND('UP133'!DV129,"AAAAAFPPt5w=")</f>
        <v>#VALUE!</v>
      </c>
      <c r="FB166" t="e">
        <f>AND('UP133'!DW129,"AAAAAFPPt50=")</f>
        <v>#VALUE!</v>
      </c>
      <c r="FC166" t="e">
        <f>AND('UP133'!DX129,"AAAAAFPPt54=")</f>
        <v>#VALUE!</v>
      </c>
      <c r="FD166" t="e">
        <f>AND('UP133'!DY129,"AAAAAFPPt58=")</f>
        <v>#VALUE!</v>
      </c>
      <c r="FE166" t="e">
        <f>AND('UP133'!DZ129,"AAAAAFPPt6A=")</f>
        <v>#VALUE!</v>
      </c>
      <c r="FF166" t="e">
        <f>AND('UP133'!EA129,"AAAAAFPPt6E=")</f>
        <v>#VALUE!</v>
      </c>
      <c r="FG166" t="e">
        <f>AND('UP133'!EB129,"AAAAAFPPt6I=")</f>
        <v>#VALUE!</v>
      </c>
      <c r="FH166" t="e">
        <f>AND('UP133'!EC129,"AAAAAFPPt6M=")</f>
        <v>#VALUE!</v>
      </c>
      <c r="FI166" t="e">
        <f>AND('UP133'!ED129,"AAAAAFPPt6Q=")</f>
        <v>#VALUE!</v>
      </c>
      <c r="FJ166" t="e">
        <f>AND('UP133'!EE129,"AAAAAFPPt6U=")</f>
        <v>#VALUE!</v>
      </c>
      <c r="FK166" t="e">
        <f>AND('UP133'!EF129,"AAAAAFPPt6Y=")</f>
        <v>#VALUE!</v>
      </c>
      <c r="FL166" t="e">
        <f>AND('UP133'!EG129,"AAAAAFPPt6c=")</f>
        <v>#VALUE!</v>
      </c>
      <c r="FM166" t="e">
        <f>AND('UP133'!EH129,"AAAAAFPPt6g=")</f>
        <v>#VALUE!</v>
      </c>
      <c r="FN166" t="e">
        <f>AND('UP133'!EI129,"AAAAAFPPt6k=")</f>
        <v>#VALUE!</v>
      </c>
      <c r="FO166" t="e">
        <f>AND('UP133'!EJ129,"AAAAAFPPt6o=")</f>
        <v>#VALUE!</v>
      </c>
      <c r="FP166" t="e">
        <f>AND('UP133'!EK129,"AAAAAFPPt6s=")</f>
        <v>#VALUE!</v>
      </c>
      <c r="FQ166" t="e">
        <f>AND('UP133'!EL129,"AAAAAFPPt6w=")</f>
        <v>#VALUE!</v>
      </c>
      <c r="FR166" t="e">
        <f>AND('UP133'!EM129,"AAAAAFPPt60=")</f>
        <v>#VALUE!</v>
      </c>
      <c r="FS166" t="e">
        <f>AND('UP133'!EN129,"AAAAAFPPt64=")</f>
        <v>#VALUE!</v>
      </c>
      <c r="FT166" t="e">
        <f>AND('UP133'!EO129,"AAAAAFPPt68=")</f>
        <v>#VALUE!</v>
      </c>
      <c r="FU166" t="e">
        <f>AND('UP133'!EP129,"AAAAAFPPt7A=")</f>
        <v>#VALUE!</v>
      </c>
      <c r="FV166" t="e">
        <f>AND('UP133'!EQ129,"AAAAAFPPt7E=")</f>
        <v>#VALUE!</v>
      </c>
      <c r="FW166" t="e">
        <f>AND('UP133'!ER129,"AAAAAFPPt7I=")</f>
        <v>#VALUE!</v>
      </c>
      <c r="FX166" t="e">
        <f>AND('UP133'!ES129,"AAAAAFPPt7M=")</f>
        <v>#VALUE!</v>
      </c>
      <c r="FY166" t="e">
        <f>AND('UP133'!ET129,"AAAAAFPPt7Q=")</f>
        <v>#VALUE!</v>
      </c>
      <c r="FZ166" t="e">
        <f>AND('UP133'!EU129,"AAAAAFPPt7U=")</f>
        <v>#VALUE!</v>
      </c>
      <c r="GA166" t="e">
        <f>AND('UP133'!EV129,"AAAAAFPPt7Y=")</f>
        <v>#VALUE!</v>
      </c>
      <c r="GB166" t="e">
        <f>AND('UP133'!EW129,"AAAAAFPPt7c=")</f>
        <v>#VALUE!</v>
      </c>
      <c r="GC166" t="e">
        <f>AND('UP133'!EX129,"AAAAAFPPt7g=")</f>
        <v>#VALUE!</v>
      </c>
      <c r="GD166" t="e">
        <f>AND('UP133'!EY129,"AAAAAFPPt7k=")</f>
        <v>#VALUE!</v>
      </c>
      <c r="GE166" t="e">
        <f>AND('UP133'!EZ129,"AAAAAFPPt7o=")</f>
        <v>#VALUE!</v>
      </c>
      <c r="GF166" t="e">
        <f>AND('UP133'!FA129,"AAAAAFPPt7s=")</f>
        <v>#VALUE!</v>
      </c>
      <c r="GG166" t="e">
        <f>AND('UP133'!FB129,"AAAAAFPPt7w=")</f>
        <v>#VALUE!</v>
      </c>
      <c r="GH166" t="e">
        <f>AND('UP133'!FC129,"AAAAAFPPt70=")</f>
        <v>#VALUE!</v>
      </c>
      <c r="GI166" t="e">
        <f>AND('UP133'!FD129,"AAAAAFPPt74=")</f>
        <v>#VALUE!</v>
      </c>
      <c r="GJ166" t="e">
        <f>AND('UP133'!FE129,"AAAAAFPPt78=")</f>
        <v>#VALUE!</v>
      </c>
      <c r="GK166" t="e">
        <f>AND('UP133'!FF129,"AAAAAFPPt8A=")</f>
        <v>#VALUE!</v>
      </c>
      <c r="GL166" t="e">
        <f>AND('UP133'!FG129,"AAAAAFPPt8E=")</f>
        <v>#VALUE!</v>
      </c>
      <c r="GM166" t="e">
        <f>AND('UP133'!FH129,"AAAAAFPPt8I=")</f>
        <v>#VALUE!</v>
      </c>
      <c r="GN166" t="e">
        <f>AND('UP133'!FI129,"AAAAAFPPt8M=")</f>
        <v>#VALUE!</v>
      </c>
      <c r="GO166" t="e">
        <f>AND('UP133'!FJ129,"AAAAAFPPt8Q=")</f>
        <v>#VALUE!</v>
      </c>
      <c r="GP166" t="e">
        <f>AND('UP133'!FK129,"AAAAAFPPt8U=")</f>
        <v>#VALUE!</v>
      </c>
      <c r="GQ166" t="e">
        <f>AND('UP133'!FL129,"AAAAAFPPt8Y=")</f>
        <v>#VALUE!</v>
      </c>
      <c r="GR166" t="e">
        <f>AND('UP133'!FM129,"AAAAAFPPt8c=")</f>
        <v>#VALUE!</v>
      </c>
      <c r="GS166" t="e">
        <f>AND('UP133'!FN129,"AAAAAFPPt8g=")</f>
        <v>#VALUE!</v>
      </c>
      <c r="GT166" t="e">
        <f>AND('UP133'!FO129,"AAAAAFPPt8k=")</f>
        <v>#VALUE!</v>
      </c>
      <c r="GU166" t="e">
        <f>AND('UP133'!FP129,"AAAAAFPPt8o=")</f>
        <v>#VALUE!</v>
      </c>
      <c r="GV166" t="e">
        <f>AND('UP133'!FQ129,"AAAAAFPPt8s=")</f>
        <v>#VALUE!</v>
      </c>
      <c r="GW166" t="e">
        <f>AND('UP133'!FR129,"AAAAAFPPt8w=")</f>
        <v>#VALUE!</v>
      </c>
      <c r="GX166" t="e">
        <f>AND('UP133'!FS129,"AAAAAFPPt80=")</f>
        <v>#VALUE!</v>
      </c>
      <c r="GY166" t="e">
        <f>AND('UP133'!FT129,"AAAAAFPPt84=")</f>
        <v>#VALUE!</v>
      </c>
      <c r="GZ166" t="e">
        <f>AND('UP133'!FU129,"AAAAAFPPt88=")</f>
        <v>#VALUE!</v>
      </c>
      <c r="HA166" t="e">
        <f>AND('UP133'!FV129,"AAAAAFPPt9A=")</f>
        <v>#VALUE!</v>
      </c>
      <c r="HB166" t="e">
        <f>AND('UP133'!FW129,"AAAAAFPPt9E=")</f>
        <v>#VALUE!</v>
      </c>
      <c r="HC166" t="e">
        <f>AND('UP133'!FX129,"AAAAAFPPt9I=")</f>
        <v>#VALUE!</v>
      </c>
      <c r="HD166" t="e">
        <f>AND('UP133'!FY129,"AAAAAFPPt9M=")</f>
        <v>#VALUE!</v>
      </c>
      <c r="HE166" t="e">
        <f>AND('UP133'!FZ129,"AAAAAFPPt9Q=")</f>
        <v>#VALUE!</v>
      </c>
      <c r="HF166" t="e">
        <f>AND('UP133'!GA129,"AAAAAFPPt9U=")</f>
        <v>#VALUE!</v>
      </c>
      <c r="HG166" t="e">
        <f>AND('UP133'!GB129,"AAAAAFPPt9Y=")</f>
        <v>#VALUE!</v>
      </c>
      <c r="HH166" t="e">
        <f>AND('UP133'!GC129,"AAAAAFPPt9c=")</f>
        <v>#VALUE!</v>
      </c>
      <c r="HI166" t="e">
        <f>AND('UP133'!GD129,"AAAAAFPPt9g=")</f>
        <v>#VALUE!</v>
      </c>
      <c r="HJ166" t="e">
        <f>AND('UP133'!GE129,"AAAAAFPPt9k=")</f>
        <v>#VALUE!</v>
      </c>
      <c r="HK166" t="e">
        <f>AND('UP133'!GF129,"AAAAAFPPt9o=")</f>
        <v>#VALUE!</v>
      </c>
      <c r="HL166" t="e">
        <f>AND('UP133'!GG129,"AAAAAFPPt9s=")</f>
        <v>#VALUE!</v>
      </c>
      <c r="HM166" t="e">
        <f>AND('UP133'!GH129,"AAAAAFPPt9w=")</f>
        <v>#VALUE!</v>
      </c>
      <c r="HN166" t="e">
        <f>AND('UP133'!GI129,"AAAAAFPPt90=")</f>
        <v>#VALUE!</v>
      </c>
      <c r="HO166" t="e">
        <f>AND('UP133'!GJ129,"AAAAAFPPt94=")</f>
        <v>#VALUE!</v>
      </c>
      <c r="HP166" t="e">
        <f>AND('UP133'!GK129,"AAAAAFPPt98=")</f>
        <v>#VALUE!</v>
      </c>
      <c r="HQ166" t="e">
        <f>AND('UP133'!GL129,"AAAAAFPPt+A=")</f>
        <v>#VALUE!</v>
      </c>
      <c r="HR166" t="e">
        <f>AND('UP133'!GM129,"AAAAAFPPt+E=")</f>
        <v>#VALUE!</v>
      </c>
      <c r="HS166" t="e">
        <f>AND('UP133'!GN129,"AAAAAFPPt+I=")</f>
        <v>#VALUE!</v>
      </c>
      <c r="HT166" t="e">
        <f>AND('UP133'!GO129,"AAAAAFPPt+M=")</f>
        <v>#VALUE!</v>
      </c>
      <c r="HU166" t="e">
        <f>AND('UP133'!GP129,"AAAAAFPPt+Q=")</f>
        <v>#VALUE!</v>
      </c>
      <c r="HV166" t="e">
        <f>AND('UP133'!GQ129,"AAAAAFPPt+U=")</f>
        <v>#VALUE!</v>
      </c>
      <c r="HW166" t="e">
        <f>AND('UP133'!GR129,"AAAAAFPPt+Y=")</f>
        <v>#VALUE!</v>
      </c>
      <c r="HX166" t="e">
        <f>AND('UP133'!GS129,"AAAAAFPPt+c=")</f>
        <v>#VALUE!</v>
      </c>
      <c r="HY166" t="e">
        <f>AND('UP133'!GT129,"AAAAAFPPt+g=")</f>
        <v>#VALUE!</v>
      </c>
      <c r="HZ166" t="e">
        <f>AND('UP133'!GU129,"AAAAAFPPt+k=")</f>
        <v>#VALUE!</v>
      </c>
      <c r="IA166" t="e">
        <f>AND('UP133'!GV129,"AAAAAFPPt+o=")</f>
        <v>#VALUE!</v>
      </c>
      <c r="IB166" t="e">
        <f>AND('UP133'!GW129,"AAAAAFPPt+s=")</f>
        <v>#VALUE!</v>
      </c>
      <c r="IC166" t="e">
        <f>AND('UP133'!GX129,"AAAAAFPPt+w=")</f>
        <v>#VALUE!</v>
      </c>
      <c r="ID166" t="e">
        <f>AND('UP133'!GY129,"AAAAAFPPt+0=")</f>
        <v>#VALUE!</v>
      </c>
      <c r="IE166" t="e">
        <f>AND('UP133'!GZ129,"AAAAAFPPt+4=")</f>
        <v>#VALUE!</v>
      </c>
      <c r="IF166" t="e">
        <f>AND('UP133'!HA129,"AAAAAFPPt+8=")</f>
        <v>#VALUE!</v>
      </c>
      <c r="IG166" t="e">
        <f>AND('UP133'!HB129,"AAAAAFPPt/A=")</f>
        <v>#VALUE!</v>
      </c>
      <c r="IH166" t="e">
        <f>AND('UP133'!HC129,"AAAAAFPPt/E=")</f>
        <v>#VALUE!</v>
      </c>
      <c r="II166" t="e">
        <f>AND('UP133'!HD129,"AAAAAFPPt/I=")</f>
        <v>#VALUE!</v>
      </c>
      <c r="IJ166" t="e">
        <f>AND('UP133'!HE129,"AAAAAFPPt/M=")</f>
        <v>#VALUE!</v>
      </c>
      <c r="IK166" t="e">
        <f>AND('UP133'!HF129,"AAAAAFPPt/Q=")</f>
        <v>#VALUE!</v>
      </c>
      <c r="IL166" t="e">
        <f>AND('UP133'!HG129,"AAAAAFPPt/U=")</f>
        <v>#VALUE!</v>
      </c>
      <c r="IM166" t="e">
        <f>AND('UP133'!HH129,"AAAAAFPPt/Y=")</f>
        <v>#VALUE!</v>
      </c>
      <c r="IN166" t="e">
        <f>AND('UP133'!HI129,"AAAAAFPPt/c=")</f>
        <v>#VALUE!</v>
      </c>
      <c r="IO166" t="e">
        <f>AND('UP133'!HJ129,"AAAAAFPPt/g=")</f>
        <v>#VALUE!</v>
      </c>
      <c r="IP166" t="e">
        <f>AND('UP133'!HK129,"AAAAAFPPt/k=")</f>
        <v>#VALUE!</v>
      </c>
      <c r="IQ166" t="e">
        <f>AND('UP133'!HL129,"AAAAAFPPt/o=")</f>
        <v>#VALUE!</v>
      </c>
      <c r="IR166" t="e">
        <f>AND('UP133'!HM129,"AAAAAFPPt/s=")</f>
        <v>#VALUE!</v>
      </c>
      <c r="IS166" t="e">
        <f>AND('UP133'!HN129,"AAAAAFPPt/w=")</f>
        <v>#VALUE!</v>
      </c>
      <c r="IT166" t="e">
        <f>AND('UP133'!HO129,"AAAAAFPPt/0=")</f>
        <v>#VALUE!</v>
      </c>
      <c r="IU166" t="e">
        <f>AND('UP133'!HP129,"AAAAAFPPt/4=")</f>
        <v>#VALUE!</v>
      </c>
      <c r="IV166" t="e">
        <f>AND('UP133'!HQ129,"AAAAAFPPt/8=")</f>
        <v>#VALUE!</v>
      </c>
    </row>
    <row r="167" spans="1:256">
      <c r="A167" t="e">
        <f>AND('UP133'!HR129,"AAAAAH+3SwA=")</f>
        <v>#VALUE!</v>
      </c>
      <c r="B167" t="e">
        <f>AND('UP133'!HS129,"AAAAAH+3SwE=")</f>
        <v>#VALUE!</v>
      </c>
      <c r="C167" t="e">
        <f>AND('UP133'!HT129,"AAAAAH+3SwI=")</f>
        <v>#VALUE!</v>
      </c>
      <c r="D167" t="e">
        <f>AND('UP133'!HU129,"AAAAAH+3SwM=")</f>
        <v>#VALUE!</v>
      </c>
      <c r="E167" t="e">
        <f>AND('UP133'!HV129,"AAAAAH+3SwQ=")</f>
        <v>#VALUE!</v>
      </c>
      <c r="F167" t="e">
        <f>AND('UP133'!HW129,"AAAAAH+3SwU=")</f>
        <v>#VALUE!</v>
      </c>
      <c r="G167" t="e">
        <f>AND('UP133'!HX129,"AAAAAH+3SwY=")</f>
        <v>#VALUE!</v>
      </c>
      <c r="H167" t="e">
        <f>AND('UP133'!HY129,"AAAAAH+3Swc=")</f>
        <v>#VALUE!</v>
      </c>
      <c r="I167" t="e">
        <f>AND('UP133'!HZ129,"AAAAAH+3Swg=")</f>
        <v>#VALUE!</v>
      </c>
      <c r="J167" t="e">
        <f>AND('UP133'!IA129,"AAAAAH+3Swk=")</f>
        <v>#VALUE!</v>
      </c>
      <c r="K167" t="e">
        <f>AND('UP133'!IB129,"AAAAAH+3Swo=")</f>
        <v>#VALUE!</v>
      </c>
      <c r="L167" t="e">
        <f>AND('UP133'!IC129,"AAAAAH+3Sws=")</f>
        <v>#VALUE!</v>
      </c>
      <c r="M167" t="e">
        <f>AND('UP133'!ID129,"AAAAAH+3Sww=")</f>
        <v>#VALUE!</v>
      </c>
      <c r="N167" t="e">
        <f>AND('UP133'!IE129,"AAAAAH+3Sw0=")</f>
        <v>#VALUE!</v>
      </c>
      <c r="O167" t="e">
        <f>AND('UP133'!IF129,"AAAAAH+3Sw4=")</f>
        <v>#VALUE!</v>
      </c>
      <c r="P167" t="e">
        <f>AND('UP133'!IG129,"AAAAAH+3Sw8=")</f>
        <v>#VALUE!</v>
      </c>
      <c r="Q167" t="e">
        <f>AND('UP133'!IH129,"AAAAAH+3SxA=")</f>
        <v>#VALUE!</v>
      </c>
      <c r="R167" t="e">
        <f>AND('UP133'!II129,"AAAAAH+3SxE=")</f>
        <v>#VALUE!</v>
      </c>
      <c r="S167" t="e">
        <f>AND('UP133'!IJ129,"AAAAAH+3SxI=")</f>
        <v>#VALUE!</v>
      </c>
      <c r="T167" t="e">
        <f>AND('UP133'!IK129,"AAAAAH+3SxM=")</f>
        <v>#VALUE!</v>
      </c>
      <c r="U167" t="e">
        <f>AND('UP133'!IL129,"AAAAAH+3SxQ=")</f>
        <v>#VALUE!</v>
      </c>
      <c r="V167" t="e">
        <f>AND('UP133'!IM129,"AAAAAH+3SxU=")</f>
        <v>#VALUE!</v>
      </c>
      <c r="W167" t="e">
        <f>AND('UP133'!IN129,"AAAAAH+3SxY=")</f>
        <v>#VALUE!</v>
      </c>
      <c r="X167" t="e">
        <f>AND('UP133'!IO129,"AAAAAH+3Sxc=")</f>
        <v>#VALUE!</v>
      </c>
      <c r="Y167" t="e">
        <f>AND('UP133'!IP129,"AAAAAH+3Sxg=")</f>
        <v>#VALUE!</v>
      </c>
      <c r="Z167" t="e">
        <f>AND('UP133'!IQ129,"AAAAAH+3Sxk=")</f>
        <v>#VALUE!</v>
      </c>
      <c r="AA167">
        <f>IF('UP133'!130:130,"AAAAAH+3Sxo=",0)</f>
        <v>0</v>
      </c>
      <c r="AB167" t="e">
        <f>AND('UP133'!A130,"AAAAAH+3Sxs=")</f>
        <v>#VALUE!</v>
      </c>
      <c r="AC167" t="e">
        <f>AND('UP133'!B130,"AAAAAH+3Sxw=")</f>
        <v>#VALUE!</v>
      </c>
      <c r="AD167" t="e">
        <f>AND('UP133'!C130,"AAAAAH+3Sx0=")</f>
        <v>#VALUE!</v>
      </c>
      <c r="AE167" t="e">
        <f>AND('UP133'!D130,"AAAAAH+3Sx4=")</f>
        <v>#VALUE!</v>
      </c>
      <c r="AF167" t="e">
        <f>AND('UP133'!E130,"AAAAAH+3Sx8=")</f>
        <v>#VALUE!</v>
      </c>
      <c r="AG167" t="e">
        <f>AND('UP133'!F130,"AAAAAH+3SyA=")</f>
        <v>#VALUE!</v>
      </c>
      <c r="AH167" t="e">
        <f>AND('UP133'!G130,"AAAAAH+3SyE=")</f>
        <v>#VALUE!</v>
      </c>
      <c r="AI167" t="e">
        <f>AND('UP133'!H130,"AAAAAH+3SyI=")</f>
        <v>#VALUE!</v>
      </c>
      <c r="AJ167" t="e">
        <f>AND('UP133'!I130,"AAAAAH+3SyM=")</f>
        <v>#VALUE!</v>
      </c>
      <c r="AK167" t="e">
        <f>AND('UP133'!J130,"AAAAAH+3SyQ=")</f>
        <v>#VALUE!</v>
      </c>
      <c r="AL167" t="e">
        <f>AND('UP133'!K130,"AAAAAH+3SyU=")</f>
        <v>#VALUE!</v>
      </c>
      <c r="AM167" t="e">
        <f>AND('UP133'!L130,"AAAAAH+3SyY=")</f>
        <v>#VALUE!</v>
      </c>
      <c r="AN167" t="e">
        <f>AND('UP133'!M130,"AAAAAH+3Syc=")</f>
        <v>#VALUE!</v>
      </c>
      <c r="AO167" t="e">
        <f>AND('UP133'!N130,"AAAAAH+3Syg=")</f>
        <v>#VALUE!</v>
      </c>
      <c r="AP167" t="e">
        <f>AND('UP133'!O130,"AAAAAH+3Syk=")</f>
        <v>#VALUE!</v>
      </c>
      <c r="AQ167" t="e">
        <f>AND('UP133'!P130,"AAAAAH+3Syo=")</f>
        <v>#VALUE!</v>
      </c>
      <c r="AR167" t="e">
        <f>AND('UP133'!Q130,"AAAAAH+3Sys=")</f>
        <v>#VALUE!</v>
      </c>
      <c r="AS167" t="e">
        <f>AND('UP133'!R130,"AAAAAH+3Syw=")</f>
        <v>#VALUE!</v>
      </c>
      <c r="AT167" t="e">
        <f>AND('UP133'!S130,"AAAAAH+3Sy0=")</f>
        <v>#VALUE!</v>
      </c>
      <c r="AU167" t="e">
        <f>AND('UP133'!T130,"AAAAAH+3Sy4=")</f>
        <v>#VALUE!</v>
      </c>
      <c r="AV167" t="e">
        <f>AND('UP133'!U130,"AAAAAH+3Sy8=")</f>
        <v>#VALUE!</v>
      </c>
      <c r="AW167" t="e">
        <f>AND('UP133'!V130,"AAAAAH+3SzA=")</f>
        <v>#VALUE!</v>
      </c>
      <c r="AX167" t="e">
        <f>AND('UP133'!W130,"AAAAAH+3SzE=")</f>
        <v>#VALUE!</v>
      </c>
      <c r="AY167" t="e">
        <f>AND('UP133'!X130,"AAAAAH+3SzI=")</f>
        <v>#VALUE!</v>
      </c>
      <c r="AZ167" t="e">
        <f>AND('UP133'!Y130,"AAAAAH+3SzM=")</f>
        <v>#VALUE!</v>
      </c>
      <c r="BA167" t="e">
        <f>AND('UP133'!Z130,"AAAAAH+3SzQ=")</f>
        <v>#VALUE!</v>
      </c>
      <c r="BB167" t="e">
        <f>AND('UP133'!AA130,"AAAAAH+3SzU=")</f>
        <v>#VALUE!</v>
      </c>
      <c r="BC167" t="e">
        <f>AND('UP133'!AB130,"AAAAAH+3SzY=")</f>
        <v>#VALUE!</v>
      </c>
      <c r="BD167" t="e">
        <f>AND('UP133'!AC130,"AAAAAH+3Szc=")</f>
        <v>#VALUE!</v>
      </c>
      <c r="BE167" t="e">
        <f>AND('UP133'!AD130,"AAAAAH+3Szg=")</f>
        <v>#VALUE!</v>
      </c>
      <c r="BF167" t="e">
        <f>AND('UP133'!AE130,"AAAAAH+3Szk=")</f>
        <v>#VALUE!</v>
      </c>
      <c r="BG167" t="e">
        <f>AND('UP133'!AF130,"AAAAAH+3Szo=")</f>
        <v>#VALUE!</v>
      </c>
      <c r="BH167" t="e">
        <f>AND('UP133'!AG130,"AAAAAH+3Szs=")</f>
        <v>#VALUE!</v>
      </c>
      <c r="BI167" t="e">
        <f>AND('UP133'!AH130,"AAAAAH+3Szw=")</f>
        <v>#VALUE!</v>
      </c>
      <c r="BJ167" t="e">
        <f>AND('UP133'!AI130,"AAAAAH+3Sz0=")</f>
        <v>#VALUE!</v>
      </c>
      <c r="BK167" t="e">
        <f>AND('UP133'!AJ130,"AAAAAH+3Sz4=")</f>
        <v>#VALUE!</v>
      </c>
      <c r="BL167" t="e">
        <f>AND('UP133'!AK130,"AAAAAH+3Sz8=")</f>
        <v>#VALUE!</v>
      </c>
      <c r="BM167" t="e">
        <f>AND('UP133'!AL130,"AAAAAH+3S0A=")</f>
        <v>#VALUE!</v>
      </c>
      <c r="BN167" t="e">
        <f>AND('UP133'!AM130,"AAAAAH+3S0E=")</f>
        <v>#VALUE!</v>
      </c>
      <c r="BO167" t="e">
        <f>AND('UP133'!AN130,"AAAAAH+3S0I=")</f>
        <v>#VALUE!</v>
      </c>
      <c r="BP167" t="e">
        <f>AND('UP133'!AO130,"AAAAAH+3S0M=")</f>
        <v>#VALUE!</v>
      </c>
      <c r="BQ167" t="e">
        <f>AND('UP133'!AP130,"AAAAAH+3S0Q=")</f>
        <v>#VALUE!</v>
      </c>
      <c r="BR167" t="e">
        <f>AND('UP133'!AQ130,"AAAAAH+3S0U=")</f>
        <v>#VALUE!</v>
      </c>
      <c r="BS167" t="e">
        <f>AND('UP133'!AR130,"AAAAAH+3S0Y=")</f>
        <v>#VALUE!</v>
      </c>
      <c r="BT167" t="e">
        <f>AND('UP133'!AS130,"AAAAAH+3S0c=")</f>
        <v>#VALUE!</v>
      </c>
      <c r="BU167" t="e">
        <f>AND('UP133'!AT130,"AAAAAH+3S0g=")</f>
        <v>#VALUE!</v>
      </c>
      <c r="BV167" t="e">
        <f>AND('UP133'!AU130,"AAAAAH+3S0k=")</f>
        <v>#VALUE!</v>
      </c>
      <c r="BW167" t="e">
        <f>AND('UP133'!AV130,"AAAAAH+3S0o=")</f>
        <v>#VALUE!</v>
      </c>
      <c r="BX167" t="e">
        <f>AND('UP133'!AW130,"AAAAAH+3S0s=")</f>
        <v>#VALUE!</v>
      </c>
      <c r="BY167" t="e">
        <f>AND('UP133'!AX130,"AAAAAH+3S0w=")</f>
        <v>#VALUE!</v>
      </c>
      <c r="BZ167" t="e">
        <f>AND('UP133'!AY130,"AAAAAH+3S00=")</f>
        <v>#VALUE!</v>
      </c>
      <c r="CA167" t="e">
        <f>AND('UP133'!AZ130,"AAAAAH+3S04=")</f>
        <v>#VALUE!</v>
      </c>
      <c r="CB167" t="e">
        <f>AND('UP133'!BA130,"AAAAAH+3S08=")</f>
        <v>#VALUE!</v>
      </c>
      <c r="CC167" t="e">
        <f>AND('UP133'!BB130,"AAAAAH+3S1A=")</f>
        <v>#VALUE!</v>
      </c>
      <c r="CD167" t="e">
        <f>AND('UP133'!BC130,"AAAAAH+3S1E=")</f>
        <v>#VALUE!</v>
      </c>
      <c r="CE167" t="e">
        <f>AND('UP133'!BD130,"AAAAAH+3S1I=")</f>
        <v>#VALUE!</v>
      </c>
      <c r="CF167" t="e">
        <f>AND('UP133'!BE130,"AAAAAH+3S1M=")</f>
        <v>#VALUE!</v>
      </c>
      <c r="CG167" t="e">
        <f>AND('UP133'!BF130,"AAAAAH+3S1Q=")</f>
        <v>#VALUE!</v>
      </c>
      <c r="CH167" t="e">
        <f>AND('UP133'!BG130,"AAAAAH+3S1U=")</f>
        <v>#VALUE!</v>
      </c>
      <c r="CI167" t="e">
        <f>AND('UP133'!BH130,"AAAAAH+3S1Y=")</f>
        <v>#VALUE!</v>
      </c>
      <c r="CJ167" t="e">
        <f>AND('UP133'!BI130,"AAAAAH+3S1c=")</f>
        <v>#VALUE!</v>
      </c>
      <c r="CK167" t="e">
        <f>AND('UP133'!BJ130,"AAAAAH+3S1g=")</f>
        <v>#VALUE!</v>
      </c>
      <c r="CL167" t="e">
        <f>AND('UP133'!BK130,"AAAAAH+3S1k=")</f>
        <v>#VALUE!</v>
      </c>
      <c r="CM167" t="e">
        <f>AND('UP133'!BL130,"AAAAAH+3S1o=")</f>
        <v>#VALUE!</v>
      </c>
      <c r="CN167" t="e">
        <f>AND('UP133'!BM130,"AAAAAH+3S1s=")</f>
        <v>#VALUE!</v>
      </c>
      <c r="CO167" t="e">
        <f>AND('UP133'!BN130,"AAAAAH+3S1w=")</f>
        <v>#VALUE!</v>
      </c>
      <c r="CP167" t="e">
        <f>AND('UP133'!BO130,"AAAAAH+3S10=")</f>
        <v>#VALUE!</v>
      </c>
      <c r="CQ167" t="e">
        <f>AND('UP133'!BP130,"AAAAAH+3S14=")</f>
        <v>#VALUE!</v>
      </c>
      <c r="CR167" t="e">
        <f>AND('UP133'!BQ130,"AAAAAH+3S18=")</f>
        <v>#VALUE!</v>
      </c>
      <c r="CS167" t="e">
        <f>AND('UP133'!BR130,"AAAAAH+3S2A=")</f>
        <v>#VALUE!</v>
      </c>
      <c r="CT167" t="e">
        <f>AND('UP133'!BS130,"AAAAAH+3S2E=")</f>
        <v>#VALUE!</v>
      </c>
      <c r="CU167" t="e">
        <f>AND('UP133'!BT130,"AAAAAH+3S2I=")</f>
        <v>#VALUE!</v>
      </c>
      <c r="CV167" t="e">
        <f>AND('UP133'!BU130,"AAAAAH+3S2M=")</f>
        <v>#VALUE!</v>
      </c>
      <c r="CW167" t="e">
        <f>AND('UP133'!BV130,"AAAAAH+3S2Q=")</f>
        <v>#VALUE!</v>
      </c>
      <c r="CX167" t="e">
        <f>AND('UP133'!BW130,"AAAAAH+3S2U=")</f>
        <v>#VALUE!</v>
      </c>
      <c r="CY167" t="e">
        <f>AND('UP133'!BX130,"AAAAAH+3S2Y=")</f>
        <v>#VALUE!</v>
      </c>
      <c r="CZ167" t="e">
        <f>AND('UP133'!BY130,"AAAAAH+3S2c=")</f>
        <v>#VALUE!</v>
      </c>
      <c r="DA167" t="e">
        <f>AND('UP133'!BZ130,"AAAAAH+3S2g=")</f>
        <v>#VALUE!</v>
      </c>
      <c r="DB167" t="e">
        <f>AND('UP133'!CA130,"AAAAAH+3S2k=")</f>
        <v>#VALUE!</v>
      </c>
      <c r="DC167" t="e">
        <f>AND('UP133'!CB130,"AAAAAH+3S2o=")</f>
        <v>#VALUE!</v>
      </c>
      <c r="DD167" t="e">
        <f>AND('UP133'!CC130,"AAAAAH+3S2s=")</f>
        <v>#VALUE!</v>
      </c>
      <c r="DE167" t="e">
        <f>AND('UP133'!CD130,"AAAAAH+3S2w=")</f>
        <v>#VALUE!</v>
      </c>
      <c r="DF167" t="e">
        <f>AND('UP133'!CE130,"AAAAAH+3S20=")</f>
        <v>#VALUE!</v>
      </c>
      <c r="DG167" t="e">
        <f>AND('UP133'!CF130,"AAAAAH+3S24=")</f>
        <v>#VALUE!</v>
      </c>
      <c r="DH167" t="e">
        <f>AND('UP133'!CG130,"AAAAAH+3S28=")</f>
        <v>#VALUE!</v>
      </c>
      <c r="DI167" t="e">
        <f>AND('UP133'!CH130,"AAAAAH+3S3A=")</f>
        <v>#VALUE!</v>
      </c>
      <c r="DJ167" t="e">
        <f>AND('UP133'!CI130,"AAAAAH+3S3E=")</f>
        <v>#VALUE!</v>
      </c>
      <c r="DK167" t="e">
        <f>AND('UP133'!CJ130,"AAAAAH+3S3I=")</f>
        <v>#VALUE!</v>
      </c>
      <c r="DL167" t="e">
        <f>AND('UP133'!CK130,"AAAAAH+3S3M=")</f>
        <v>#VALUE!</v>
      </c>
      <c r="DM167" t="e">
        <f>AND('UP133'!CL130,"AAAAAH+3S3Q=")</f>
        <v>#VALUE!</v>
      </c>
      <c r="DN167" t="e">
        <f>AND('UP133'!CM130,"AAAAAH+3S3U=")</f>
        <v>#VALUE!</v>
      </c>
      <c r="DO167" t="e">
        <f>AND('UP133'!CN130,"AAAAAH+3S3Y=")</f>
        <v>#VALUE!</v>
      </c>
      <c r="DP167" t="e">
        <f>AND('UP133'!CO130,"AAAAAH+3S3c=")</f>
        <v>#VALUE!</v>
      </c>
      <c r="DQ167" t="e">
        <f>AND('UP133'!CP130,"AAAAAH+3S3g=")</f>
        <v>#VALUE!</v>
      </c>
      <c r="DR167" t="e">
        <f>AND('UP133'!CQ130,"AAAAAH+3S3k=")</f>
        <v>#VALUE!</v>
      </c>
      <c r="DS167" t="e">
        <f>AND('UP133'!CR130,"AAAAAH+3S3o=")</f>
        <v>#VALUE!</v>
      </c>
      <c r="DT167" t="e">
        <f>AND('UP133'!CS130,"AAAAAH+3S3s=")</f>
        <v>#VALUE!</v>
      </c>
      <c r="DU167" t="e">
        <f>AND('UP133'!CT130,"AAAAAH+3S3w=")</f>
        <v>#VALUE!</v>
      </c>
      <c r="DV167" t="e">
        <f>AND('UP133'!CU130,"AAAAAH+3S30=")</f>
        <v>#VALUE!</v>
      </c>
      <c r="DW167" t="e">
        <f>AND('UP133'!CV130,"AAAAAH+3S34=")</f>
        <v>#VALUE!</v>
      </c>
      <c r="DX167" t="e">
        <f>AND('UP133'!CW130,"AAAAAH+3S38=")</f>
        <v>#VALUE!</v>
      </c>
      <c r="DY167" t="e">
        <f>AND('UP133'!CX130,"AAAAAH+3S4A=")</f>
        <v>#VALUE!</v>
      </c>
      <c r="DZ167" t="e">
        <f>AND('UP133'!CY130,"AAAAAH+3S4E=")</f>
        <v>#VALUE!</v>
      </c>
      <c r="EA167" t="e">
        <f>AND('UP133'!CZ130,"AAAAAH+3S4I=")</f>
        <v>#VALUE!</v>
      </c>
      <c r="EB167" t="e">
        <f>AND('UP133'!DA130,"AAAAAH+3S4M=")</f>
        <v>#VALUE!</v>
      </c>
      <c r="EC167" t="e">
        <f>AND('UP133'!DB130,"AAAAAH+3S4Q=")</f>
        <v>#VALUE!</v>
      </c>
      <c r="ED167" t="e">
        <f>AND('UP133'!DC130,"AAAAAH+3S4U=")</f>
        <v>#VALUE!</v>
      </c>
      <c r="EE167" t="e">
        <f>AND('UP133'!DD130,"AAAAAH+3S4Y=")</f>
        <v>#VALUE!</v>
      </c>
      <c r="EF167" t="e">
        <f>AND('UP133'!DE130,"AAAAAH+3S4c=")</f>
        <v>#VALUE!</v>
      </c>
      <c r="EG167" t="e">
        <f>AND('UP133'!DF130,"AAAAAH+3S4g=")</f>
        <v>#VALUE!</v>
      </c>
      <c r="EH167" t="e">
        <f>AND('UP133'!DG130,"AAAAAH+3S4k=")</f>
        <v>#VALUE!</v>
      </c>
      <c r="EI167" t="e">
        <f>AND('UP133'!DH130,"AAAAAH+3S4o=")</f>
        <v>#VALUE!</v>
      </c>
      <c r="EJ167" t="e">
        <f>AND('UP133'!DI130,"AAAAAH+3S4s=")</f>
        <v>#VALUE!</v>
      </c>
      <c r="EK167" t="e">
        <f>AND('UP133'!DJ130,"AAAAAH+3S4w=")</f>
        <v>#VALUE!</v>
      </c>
      <c r="EL167" t="e">
        <f>AND('UP133'!DK130,"AAAAAH+3S40=")</f>
        <v>#VALUE!</v>
      </c>
      <c r="EM167" t="e">
        <f>AND('UP133'!DL130,"AAAAAH+3S44=")</f>
        <v>#VALUE!</v>
      </c>
      <c r="EN167" t="e">
        <f>AND('UP133'!DM130,"AAAAAH+3S48=")</f>
        <v>#VALUE!</v>
      </c>
      <c r="EO167" t="e">
        <f>AND('UP133'!DN130,"AAAAAH+3S5A=")</f>
        <v>#VALUE!</v>
      </c>
      <c r="EP167" t="e">
        <f>AND('UP133'!DO130,"AAAAAH+3S5E=")</f>
        <v>#VALUE!</v>
      </c>
      <c r="EQ167" t="e">
        <f>AND('UP133'!DP130,"AAAAAH+3S5I=")</f>
        <v>#VALUE!</v>
      </c>
      <c r="ER167" t="e">
        <f>AND('UP133'!DQ130,"AAAAAH+3S5M=")</f>
        <v>#VALUE!</v>
      </c>
      <c r="ES167" t="e">
        <f>AND('UP133'!DR130,"AAAAAH+3S5Q=")</f>
        <v>#VALUE!</v>
      </c>
      <c r="ET167" t="e">
        <f>AND('UP133'!DS130,"AAAAAH+3S5U=")</f>
        <v>#VALUE!</v>
      </c>
      <c r="EU167" t="e">
        <f>AND('UP133'!DT130,"AAAAAH+3S5Y=")</f>
        <v>#VALUE!</v>
      </c>
      <c r="EV167" t="e">
        <f>AND('UP133'!DU130,"AAAAAH+3S5c=")</f>
        <v>#VALUE!</v>
      </c>
      <c r="EW167" t="e">
        <f>AND('UP133'!DV130,"AAAAAH+3S5g=")</f>
        <v>#VALUE!</v>
      </c>
      <c r="EX167" t="e">
        <f>AND('UP133'!DW130,"AAAAAH+3S5k=")</f>
        <v>#VALUE!</v>
      </c>
      <c r="EY167" t="e">
        <f>AND('UP133'!DX130,"AAAAAH+3S5o=")</f>
        <v>#VALUE!</v>
      </c>
      <c r="EZ167" t="e">
        <f>AND('UP133'!DY130,"AAAAAH+3S5s=")</f>
        <v>#VALUE!</v>
      </c>
      <c r="FA167" t="e">
        <f>AND('UP133'!DZ130,"AAAAAH+3S5w=")</f>
        <v>#VALUE!</v>
      </c>
      <c r="FB167" t="e">
        <f>AND('UP133'!EA130,"AAAAAH+3S50=")</f>
        <v>#VALUE!</v>
      </c>
      <c r="FC167" t="e">
        <f>AND('UP133'!EB130,"AAAAAH+3S54=")</f>
        <v>#VALUE!</v>
      </c>
      <c r="FD167" t="e">
        <f>AND('UP133'!EC130,"AAAAAH+3S58=")</f>
        <v>#VALUE!</v>
      </c>
      <c r="FE167" t="e">
        <f>AND('UP133'!ED130,"AAAAAH+3S6A=")</f>
        <v>#VALUE!</v>
      </c>
      <c r="FF167" t="e">
        <f>AND('UP133'!EE130,"AAAAAH+3S6E=")</f>
        <v>#VALUE!</v>
      </c>
      <c r="FG167" t="e">
        <f>AND('UP133'!EF130,"AAAAAH+3S6I=")</f>
        <v>#VALUE!</v>
      </c>
      <c r="FH167" t="e">
        <f>AND('UP133'!EG130,"AAAAAH+3S6M=")</f>
        <v>#VALUE!</v>
      </c>
      <c r="FI167" t="e">
        <f>AND('UP133'!EH130,"AAAAAH+3S6Q=")</f>
        <v>#VALUE!</v>
      </c>
      <c r="FJ167" t="e">
        <f>AND('UP133'!EI130,"AAAAAH+3S6U=")</f>
        <v>#VALUE!</v>
      </c>
      <c r="FK167" t="e">
        <f>AND('UP133'!EJ130,"AAAAAH+3S6Y=")</f>
        <v>#VALUE!</v>
      </c>
      <c r="FL167" t="e">
        <f>AND('UP133'!EK130,"AAAAAH+3S6c=")</f>
        <v>#VALUE!</v>
      </c>
      <c r="FM167" t="e">
        <f>AND('UP133'!EL130,"AAAAAH+3S6g=")</f>
        <v>#VALUE!</v>
      </c>
      <c r="FN167" t="e">
        <f>AND('UP133'!EM130,"AAAAAH+3S6k=")</f>
        <v>#VALUE!</v>
      </c>
      <c r="FO167" t="e">
        <f>AND('UP133'!EN130,"AAAAAH+3S6o=")</f>
        <v>#VALUE!</v>
      </c>
      <c r="FP167" t="e">
        <f>AND('UP133'!EO130,"AAAAAH+3S6s=")</f>
        <v>#VALUE!</v>
      </c>
      <c r="FQ167" t="e">
        <f>AND('UP133'!EP130,"AAAAAH+3S6w=")</f>
        <v>#VALUE!</v>
      </c>
      <c r="FR167" t="e">
        <f>AND('UP133'!EQ130,"AAAAAH+3S60=")</f>
        <v>#VALUE!</v>
      </c>
      <c r="FS167" t="e">
        <f>AND('UP133'!ER130,"AAAAAH+3S64=")</f>
        <v>#VALUE!</v>
      </c>
      <c r="FT167" t="e">
        <f>AND('UP133'!ES130,"AAAAAH+3S68=")</f>
        <v>#VALUE!</v>
      </c>
      <c r="FU167" t="e">
        <f>AND('UP133'!ET130,"AAAAAH+3S7A=")</f>
        <v>#VALUE!</v>
      </c>
      <c r="FV167" t="e">
        <f>AND('UP133'!EU130,"AAAAAH+3S7E=")</f>
        <v>#VALUE!</v>
      </c>
      <c r="FW167" t="e">
        <f>AND('UP133'!EV130,"AAAAAH+3S7I=")</f>
        <v>#VALUE!</v>
      </c>
      <c r="FX167" t="e">
        <f>AND('UP133'!EW130,"AAAAAH+3S7M=")</f>
        <v>#VALUE!</v>
      </c>
      <c r="FY167" t="e">
        <f>AND('UP133'!EX130,"AAAAAH+3S7Q=")</f>
        <v>#VALUE!</v>
      </c>
      <c r="FZ167" t="e">
        <f>AND('UP133'!EY130,"AAAAAH+3S7U=")</f>
        <v>#VALUE!</v>
      </c>
      <c r="GA167" t="e">
        <f>AND('UP133'!EZ130,"AAAAAH+3S7Y=")</f>
        <v>#VALUE!</v>
      </c>
      <c r="GB167" t="e">
        <f>AND('UP133'!FA130,"AAAAAH+3S7c=")</f>
        <v>#VALUE!</v>
      </c>
      <c r="GC167" t="e">
        <f>AND('UP133'!FB130,"AAAAAH+3S7g=")</f>
        <v>#VALUE!</v>
      </c>
      <c r="GD167" t="e">
        <f>AND('UP133'!FC130,"AAAAAH+3S7k=")</f>
        <v>#VALUE!</v>
      </c>
      <c r="GE167" t="e">
        <f>AND('UP133'!FD130,"AAAAAH+3S7o=")</f>
        <v>#VALUE!</v>
      </c>
      <c r="GF167" t="e">
        <f>AND('UP133'!FE130,"AAAAAH+3S7s=")</f>
        <v>#VALUE!</v>
      </c>
      <c r="GG167" t="e">
        <f>AND('UP133'!FF130,"AAAAAH+3S7w=")</f>
        <v>#VALUE!</v>
      </c>
      <c r="GH167" t="e">
        <f>AND('UP133'!FG130,"AAAAAH+3S70=")</f>
        <v>#VALUE!</v>
      </c>
      <c r="GI167" t="e">
        <f>AND('UP133'!FH130,"AAAAAH+3S74=")</f>
        <v>#VALUE!</v>
      </c>
      <c r="GJ167" t="e">
        <f>AND('UP133'!FI130,"AAAAAH+3S78=")</f>
        <v>#VALUE!</v>
      </c>
      <c r="GK167" t="e">
        <f>AND('UP133'!FJ130,"AAAAAH+3S8A=")</f>
        <v>#VALUE!</v>
      </c>
      <c r="GL167" t="e">
        <f>AND('UP133'!FK130,"AAAAAH+3S8E=")</f>
        <v>#VALUE!</v>
      </c>
      <c r="GM167" t="e">
        <f>AND('UP133'!FL130,"AAAAAH+3S8I=")</f>
        <v>#VALUE!</v>
      </c>
      <c r="GN167" t="e">
        <f>AND('UP133'!FM130,"AAAAAH+3S8M=")</f>
        <v>#VALUE!</v>
      </c>
      <c r="GO167" t="e">
        <f>AND('UP133'!FN130,"AAAAAH+3S8Q=")</f>
        <v>#VALUE!</v>
      </c>
      <c r="GP167" t="e">
        <f>AND('UP133'!FO130,"AAAAAH+3S8U=")</f>
        <v>#VALUE!</v>
      </c>
      <c r="GQ167" t="e">
        <f>AND('UP133'!FP130,"AAAAAH+3S8Y=")</f>
        <v>#VALUE!</v>
      </c>
      <c r="GR167" t="e">
        <f>AND('UP133'!FQ130,"AAAAAH+3S8c=")</f>
        <v>#VALUE!</v>
      </c>
      <c r="GS167" t="e">
        <f>AND('UP133'!FR130,"AAAAAH+3S8g=")</f>
        <v>#VALUE!</v>
      </c>
      <c r="GT167" t="e">
        <f>AND('UP133'!FS130,"AAAAAH+3S8k=")</f>
        <v>#VALUE!</v>
      </c>
      <c r="GU167" t="e">
        <f>AND('UP133'!FT130,"AAAAAH+3S8o=")</f>
        <v>#VALUE!</v>
      </c>
      <c r="GV167" t="e">
        <f>AND('UP133'!FU130,"AAAAAH+3S8s=")</f>
        <v>#VALUE!</v>
      </c>
      <c r="GW167" t="e">
        <f>AND('UP133'!FV130,"AAAAAH+3S8w=")</f>
        <v>#VALUE!</v>
      </c>
      <c r="GX167" t="e">
        <f>AND('UP133'!FW130,"AAAAAH+3S80=")</f>
        <v>#VALUE!</v>
      </c>
      <c r="GY167" t="e">
        <f>AND('UP133'!FX130,"AAAAAH+3S84=")</f>
        <v>#VALUE!</v>
      </c>
      <c r="GZ167" t="e">
        <f>AND('UP133'!FY130,"AAAAAH+3S88=")</f>
        <v>#VALUE!</v>
      </c>
      <c r="HA167" t="e">
        <f>AND('UP133'!FZ130,"AAAAAH+3S9A=")</f>
        <v>#VALUE!</v>
      </c>
      <c r="HB167" t="e">
        <f>AND('UP133'!GA130,"AAAAAH+3S9E=")</f>
        <v>#VALUE!</v>
      </c>
      <c r="HC167" t="e">
        <f>AND('UP133'!GB130,"AAAAAH+3S9I=")</f>
        <v>#VALUE!</v>
      </c>
      <c r="HD167" t="e">
        <f>AND('UP133'!GC130,"AAAAAH+3S9M=")</f>
        <v>#VALUE!</v>
      </c>
      <c r="HE167" t="e">
        <f>AND('UP133'!GD130,"AAAAAH+3S9Q=")</f>
        <v>#VALUE!</v>
      </c>
      <c r="HF167" t="e">
        <f>AND('UP133'!GE130,"AAAAAH+3S9U=")</f>
        <v>#VALUE!</v>
      </c>
      <c r="HG167" t="e">
        <f>AND('UP133'!GF130,"AAAAAH+3S9Y=")</f>
        <v>#VALUE!</v>
      </c>
      <c r="HH167" t="e">
        <f>AND('UP133'!GG130,"AAAAAH+3S9c=")</f>
        <v>#VALUE!</v>
      </c>
      <c r="HI167" t="e">
        <f>AND('UP133'!GH130,"AAAAAH+3S9g=")</f>
        <v>#VALUE!</v>
      </c>
      <c r="HJ167" t="e">
        <f>AND('UP133'!GI130,"AAAAAH+3S9k=")</f>
        <v>#VALUE!</v>
      </c>
      <c r="HK167" t="e">
        <f>AND('UP133'!GJ130,"AAAAAH+3S9o=")</f>
        <v>#VALUE!</v>
      </c>
      <c r="HL167" t="e">
        <f>AND('UP133'!GK130,"AAAAAH+3S9s=")</f>
        <v>#VALUE!</v>
      </c>
      <c r="HM167" t="e">
        <f>AND('UP133'!GL130,"AAAAAH+3S9w=")</f>
        <v>#VALUE!</v>
      </c>
      <c r="HN167" t="e">
        <f>AND('UP133'!GM130,"AAAAAH+3S90=")</f>
        <v>#VALUE!</v>
      </c>
      <c r="HO167" t="e">
        <f>AND('UP133'!GN130,"AAAAAH+3S94=")</f>
        <v>#VALUE!</v>
      </c>
      <c r="HP167" t="e">
        <f>AND('UP133'!GO130,"AAAAAH+3S98=")</f>
        <v>#VALUE!</v>
      </c>
      <c r="HQ167" t="e">
        <f>AND('UP133'!GP130,"AAAAAH+3S+A=")</f>
        <v>#VALUE!</v>
      </c>
      <c r="HR167" t="e">
        <f>AND('UP133'!GQ130,"AAAAAH+3S+E=")</f>
        <v>#VALUE!</v>
      </c>
      <c r="HS167" t="e">
        <f>AND('UP133'!GR130,"AAAAAH+3S+I=")</f>
        <v>#VALUE!</v>
      </c>
      <c r="HT167" t="e">
        <f>AND('UP133'!GS130,"AAAAAH+3S+M=")</f>
        <v>#VALUE!</v>
      </c>
      <c r="HU167" t="e">
        <f>AND('UP133'!GT130,"AAAAAH+3S+Q=")</f>
        <v>#VALUE!</v>
      </c>
      <c r="HV167" t="e">
        <f>AND('UP133'!GU130,"AAAAAH+3S+U=")</f>
        <v>#VALUE!</v>
      </c>
      <c r="HW167" t="e">
        <f>AND('UP133'!GV130,"AAAAAH+3S+Y=")</f>
        <v>#VALUE!</v>
      </c>
      <c r="HX167" t="e">
        <f>AND('UP133'!GW130,"AAAAAH+3S+c=")</f>
        <v>#VALUE!</v>
      </c>
      <c r="HY167" t="e">
        <f>AND('UP133'!GX130,"AAAAAH+3S+g=")</f>
        <v>#VALUE!</v>
      </c>
      <c r="HZ167" t="e">
        <f>AND('UP133'!GY130,"AAAAAH+3S+k=")</f>
        <v>#VALUE!</v>
      </c>
      <c r="IA167" t="e">
        <f>AND('UP133'!GZ130,"AAAAAH+3S+o=")</f>
        <v>#VALUE!</v>
      </c>
      <c r="IB167" t="e">
        <f>AND('UP133'!HA130,"AAAAAH+3S+s=")</f>
        <v>#VALUE!</v>
      </c>
      <c r="IC167" t="e">
        <f>AND('UP133'!HB130,"AAAAAH+3S+w=")</f>
        <v>#VALUE!</v>
      </c>
      <c r="ID167" t="e">
        <f>AND('UP133'!HC130,"AAAAAH+3S+0=")</f>
        <v>#VALUE!</v>
      </c>
      <c r="IE167" t="e">
        <f>AND('UP133'!HD130,"AAAAAH+3S+4=")</f>
        <v>#VALUE!</v>
      </c>
      <c r="IF167" t="e">
        <f>AND('UP133'!HE130,"AAAAAH+3S+8=")</f>
        <v>#VALUE!</v>
      </c>
      <c r="IG167" t="e">
        <f>AND('UP133'!HF130,"AAAAAH+3S/A=")</f>
        <v>#VALUE!</v>
      </c>
      <c r="IH167" t="e">
        <f>AND('UP133'!HG130,"AAAAAH+3S/E=")</f>
        <v>#VALUE!</v>
      </c>
      <c r="II167" t="e">
        <f>AND('UP133'!HH130,"AAAAAH+3S/I=")</f>
        <v>#VALUE!</v>
      </c>
      <c r="IJ167" t="e">
        <f>AND('UP133'!HI130,"AAAAAH+3S/M=")</f>
        <v>#VALUE!</v>
      </c>
      <c r="IK167" t="e">
        <f>AND('UP133'!HJ130,"AAAAAH+3S/Q=")</f>
        <v>#VALUE!</v>
      </c>
      <c r="IL167" t="e">
        <f>AND('UP133'!HK130,"AAAAAH+3S/U=")</f>
        <v>#VALUE!</v>
      </c>
      <c r="IM167" t="e">
        <f>AND('UP133'!HL130,"AAAAAH+3S/Y=")</f>
        <v>#VALUE!</v>
      </c>
      <c r="IN167" t="e">
        <f>AND('UP133'!HM130,"AAAAAH+3S/c=")</f>
        <v>#VALUE!</v>
      </c>
      <c r="IO167" t="e">
        <f>AND('UP133'!HN130,"AAAAAH+3S/g=")</f>
        <v>#VALUE!</v>
      </c>
      <c r="IP167" t="e">
        <f>AND('UP133'!HO130,"AAAAAH+3S/k=")</f>
        <v>#VALUE!</v>
      </c>
      <c r="IQ167" t="e">
        <f>AND('UP133'!HP130,"AAAAAH+3S/o=")</f>
        <v>#VALUE!</v>
      </c>
      <c r="IR167" t="e">
        <f>AND('UP133'!HQ130,"AAAAAH+3S/s=")</f>
        <v>#VALUE!</v>
      </c>
      <c r="IS167" t="e">
        <f>AND('UP133'!HR130,"AAAAAH+3S/w=")</f>
        <v>#VALUE!</v>
      </c>
      <c r="IT167" t="e">
        <f>AND('UP133'!HS130,"AAAAAH+3S/0=")</f>
        <v>#VALUE!</v>
      </c>
      <c r="IU167" t="e">
        <f>AND('UP133'!HT130,"AAAAAH+3S/4=")</f>
        <v>#VALUE!</v>
      </c>
      <c r="IV167" t="e">
        <f>AND('UP133'!HU130,"AAAAAH+3S/8=")</f>
        <v>#VALUE!</v>
      </c>
    </row>
    <row r="168" spans="1:256">
      <c r="A168" t="e">
        <f>AND('UP133'!HV130,"AAAAAHp9bwA=")</f>
        <v>#VALUE!</v>
      </c>
      <c r="B168" t="e">
        <f>AND('UP133'!HW130,"AAAAAHp9bwE=")</f>
        <v>#VALUE!</v>
      </c>
      <c r="C168" t="e">
        <f>AND('UP133'!HX130,"AAAAAHp9bwI=")</f>
        <v>#VALUE!</v>
      </c>
      <c r="D168" t="e">
        <f>AND('UP133'!HY130,"AAAAAHp9bwM=")</f>
        <v>#VALUE!</v>
      </c>
      <c r="E168" t="e">
        <f>AND('UP133'!HZ130,"AAAAAHp9bwQ=")</f>
        <v>#VALUE!</v>
      </c>
      <c r="F168" t="e">
        <f>AND('UP133'!IA130,"AAAAAHp9bwU=")</f>
        <v>#VALUE!</v>
      </c>
      <c r="G168" t="e">
        <f>AND('UP133'!IB130,"AAAAAHp9bwY=")</f>
        <v>#VALUE!</v>
      </c>
      <c r="H168" t="e">
        <f>AND('UP133'!IC130,"AAAAAHp9bwc=")</f>
        <v>#VALUE!</v>
      </c>
      <c r="I168" t="e">
        <f>AND('UP133'!ID130,"AAAAAHp9bwg=")</f>
        <v>#VALUE!</v>
      </c>
      <c r="J168" t="e">
        <f>AND('UP133'!IE130,"AAAAAHp9bwk=")</f>
        <v>#VALUE!</v>
      </c>
      <c r="K168" t="e">
        <f>AND('UP133'!IF130,"AAAAAHp9bwo=")</f>
        <v>#VALUE!</v>
      </c>
      <c r="L168" t="e">
        <f>AND('UP133'!IG130,"AAAAAHp9bws=")</f>
        <v>#VALUE!</v>
      </c>
      <c r="M168" t="e">
        <f>AND('UP133'!IH130,"AAAAAHp9bww=")</f>
        <v>#VALUE!</v>
      </c>
      <c r="N168" t="e">
        <f>AND('UP133'!II130,"AAAAAHp9bw0=")</f>
        <v>#VALUE!</v>
      </c>
      <c r="O168" t="e">
        <f>AND('UP133'!IJ130,"AAAAAHp9bw4=")</f>
        <v>#VALUE!</v>
      </c>
      <c r="P168" t="e">
        <f>AND('UP133'!IK130,"AAAAAHp9bw8=")</f>
        <v>#VALUE!</v>
      </c>
      <c r="Q168" t="e">
        <f>AND('UP133'!IL130,"AAAAAHp9bxA=")</f>
        <v>#VALUE!</v>
      </c>
      <c r="R168" t="e">
        <f>AND('UP133'!IM130,"AAAAAHp9bxE=")</f>
        <v>#VALUE!</v>
      </c>
      <c r="S168" t="e">
        <f>AND('UP133'!IN130,"AAAAAHp9bxI=")</f>
        <v>#VALUE!</v>
      </c>
      <c r="T168" t="e">
        <f>AND('UP133'!IO130,"AAAAAHp9bxM=")</f>
        <v>#VALUE!</v>
      </c>
      <c r="U168" t="e">
        <f>AND('UP133'!IP130,"AAAAAHp9bxQ=")</f>
        <v>#VALUE!</v>
      </c>
      <c r="V168" t="e">
        <f>AND('UP133'!IQ130,"AAAAAHp9bxU=")</f>
        <v>#VALUE!</v>
      </c>
      <c r="W168">
        <f>IF('UP133'!131:131,"AAAAAHp9bxY=",0)</f>
        <v>0</v>
      </c>
      <c r="X168" t="e">
        <f>AND('UP133'!A131,"AAAAAHp9bxc=")</f>
        <v>#VALUE!</v>
      </c>
      <c r="Y168" t="e">
        <f>AND('UP133'!B131,"AAAAAHp9bxg=")</f>
        <v>#VALUE!</v>
      </c>
      <c r="Z168" t="e">
        <f>AND('UP133'!C131,"AAAAAHp9bxk=")</f>
        <v>#VALUE!</v>
      </c>
      <c r="AA168" t="e">
        <f>AND('UP133'!D131,"AAAAAHp9bxo=")</f>
        <v>#VALUE!</v>
      </c>
      <c r="AB168" t="e">
        <f>AND('UP133'!E131,"AAAAAHp9bxs=")</f>
        <v>#VALUE!</v>
      </c>
      <c r="AC168" t="e">
        <f>AND('UP133'!F131,"AAAAAHp9bxw=")</f>
        <v>#VALUE!</v>
      </c>
      <c r="AD168" t="e">
        <f>AND('UP133'!G131,"AAAAAHp9bx0=")</f>
        <v>#VALUE!</v>
      </c>
      <c r="AE168" t="e">
        <f>AND('UP133'!H131,"AAAAAHp9bx4=")</f>
        <v>#VALUE!</v>
      </c>
      <c r="AF168" t="e">
        <f>AND('UP133'!I131,"AAAAAHp9bx8=")</f>
        <v>#VALUE!</v>
      </c>
      <c r="AG168" t="e">
        <f>AND('UP133'!J131,"AAAAAHp9byA=")</f>
        <v>#VALUE!</v>
      </c>
      <c r="AH168" t="e">
        <f>AND('UP133'!K131,"AAAAAHp9byE=")</f>
        <v>#VALUE!</v>
      </c>
      <c r="AI168" t="e">
        <f>AND('UP133'!L131,"AAAAAHp9byI=")</f>
        <v>#VALUE!</v>
      </c>
      <c r="AJ168" t="e">
        <f>AND('UP133'!M131,"AAAAAHp9byM=")</f>
        <v>#VALUE!</v>
      </c>
      <c r="AK168" t="e">
        <f>AND('UP133'!N131,"AAAAAHp9byQ=")</f>
        <v>#VALUE!</v>
      </c>
      <c r="AL168" t="e">
        <f>AND('UP133'!O131,"AAAAAHp9byU=")</f>
        <v>#VALUE!</v>
      </c>
      <c r="AM168" t="e">
        <f>AND('UP133'!P131,"AAAAAHp9byY=")</f>
        <v>#VALUE!</v>
      </c>
      <c r="AN168" t="e">
        <f>AND('UP133'!Q131,"AAAAAHp9byc=")</f>
        <v>#VALUE!</v>
      </c>
      <c r="AO168" t="e">
        <f>AND('UP133'!R131,"AAAAAHp9byg=")</f>
        <v>#VALUE!</v>
      </c>
      <c r="AP168" t="e">
        <f>AND('UP133'!S131,"AAAAAHp9byk=")</f>
        <v>#VALUE!</v>
      </c>
      <c r="AQ168" t="e">
        <f>AND('UP133'!T131,"AAAAAHp9byo=")</f>
        <v>#VALUE!</v>
      </c>
      <c r="AR168" t="e">
        <f>AND('UP133'!U131,"AAAAAHp9bys=")</f>
        <v>#VALUE!</v>
      </c>
      <c r="AS168" t="e">
        <f>AND('UP133'!V131,"AAAAAHp9byw=")</f>
        <v>#VALUE!</v>
      </c>
      <c r="AT168" t="e">
        <f>AND('UP133'!W131,"AAAAAHp9by0=")</f>
        <v>#VALUE!</v>
      </c>
      <c r="AU168" t="e">
        <f>AND('UP133'!X131,"AAAAAHp9by4=")</f>
        <v>#VALUE!</v>
      </c>
      <c r="AV168" t="e">
        <f>AND('UP133'!Y131,"AAAAAHp9by8=")</f>
        <v>#VALUE!</v>
      </c>
      <c r="AW168" t="e">
        <f>AND('UP133'!Z131,"AAAAAHp9bzA=")</f>
        <v>#VALUE!</v>
      </c>
      <c r="AX168" t="e">
        <f>AND('UP133'!AA131,"AAAAAHp9bzE=")</f>
        <v>#VALUE!</v>
      </c>
      <c r="AY168" t="e">
        <f>AND('UP133'!AB131,"AAAAAHp9bzI=")</f>
        <v>#VALUE!</v>
      </c>
      <c r="AZ168" t="e">
        <f>AND('UP133'!AC131,"AAAAAHp9bzM=")</f>
        <v>#VALUE!</v>
      </c>
      <c r="BA168" t="e">
        <f>AND('UP133'!AD131,"AAAAAHp9bzQ=")</f>
        <v>#VALUE!</v>
      </c>
      <c r="BB168" t="e">
        <f>AND('UP133'!AE131,"AAAAAHp9bzU=")</f>
        <v>#VALUE!</v>
      </c>
      <c r="BC168" t="e">
        <f>AND('UP133'!AF131,"AAAAAHp9bzY=")</f>
        <v>#VALUE!</v>
      </c>
      <c r="BD168" t="e">
        <f>AND('UP133'!AG131,"AAAAAHp9bzc=")</f>
        <v>#VALUE!</v>
      </c>
      <c r="BE168" t="e">
        <f>AND('UP133'!AH131,"AAAAAHp9bzg=")</f>
        <v>#VALUE!</v>
      </c>
      <c r="BF168" t="e">
        <f>AND('UP133'!AI131,"AAAAAHp9bzk=")</f>
        <v>#VALUE!</v>
      </c>
      <c r="BG168" t="e">
        <f>AND('UP133'!AJ131,"AAAAAHp9bzo=")</f>
        <v>#VALUE!</v>
      </c>
      <c r="BH168" t="e">
        <f>AND('UP133'!AK131,"AAAAAHp9bzs=")</f>
        <v>#VALUE!</v>
      </c>
      <c r="BI168" t="e">
        <f>AND('UP133'!AL131,"AAAAAHp9bzw=")</f>
        <v>#VALUE!</v>
      </c>
      <c r="BJ168" t="e">
        <f>AND('UP133'!AM131,"AAAAAHp9bz0=")</f>
        <v>#VALUE!</v>
      </c>
      <c r="BK168" t="e">
        <f>AND('UP133'!AN131,"AAAAAHp9bz4=")</f>
        <v>#VALUE!</v>
      </c>
      <c r="BL168" t="e">
        <f>AND('UP133'!AO131,"AAAAAHp9bz8=")</f>
        <v>#VALUE!</v>
      </c>
      <c r="BM168" t="e">
        <f>AND('UP133'!AP131,"AAAAAHp9b0A=")</f>
        <v>#VALUE!</v>
      </c>
      <c r="BN168" t="e">
        <f>AND('UP133'!AQ131,"AAAAAHp9b0E=")</f>
        <v>#VALUE!</v>
      </c>
      <c r="BO168" t="e">
        <f>AND('UP133'!AR131,"AAAAAHp9b0I=")</f>
        <v>#VALUE!</v>
      </c>
      <c r="BP168" t="e">
        <f>AND('UP133'!AS131,"AAAAAHp9b0M=")</f>
        <v>#VALUE!</v>
      </c>
      <c r="BQ168" t="e">
        <f>AND('UP133'!AT131,"AAAAAHp9b0Q=")</f>
        <v>#VALUE!</v>
      </c>
      <c r="BR168" t="e">
        <f>AND('UP133'!AU131,"AAAAAHp9b0U=")</f>
        <v>#VALUE!</v>
      </c>
      <c r="BS168" t="e">
        <f>AND('UP133'!AV131,"AAAAAHp9b0Y=")</f>
        <v>#VALUE!</v>
      </c>
      <c r="BT168" t="e">
        <f>AND('UP133'!AW131,"AAAAAHp9b0c=")</f>
        <v>#VALUE!</v>
      </c>
      <c r="BU168" t="e">
        <f>AND('UP133'!AX131,"AAAAAHp9b0g=")</f>
        <v>#VALUE!</v>
      </c>
      <c r="BV168" t="e">
        <f>AND('UP133'!AY131,"AAAAAHp9b0k=")</f>
        <v>#VALUE!</v>
      </c>
      <c r="BW168" t="e">
        <f>AND('UP133'!AZ131,"AAAAAHp9b0o=")</f>
        <v>#VALUE!</v>
      </c>
      <c r="BX168" t="e">
        <f>AND('UP133'!BA131,"AAAAAHp9b0s=")</f>
        <v>#VALUE!</v>
      </c>
      <c r="BY168" t="e">
        <f>AND('UP133'!BB131,"AAAAAHp9b0w=")</f>
        <v>#VALUE!</v>
      </c>
      <c r="BZ168" t="e">
        <f>AND('UP133'!BC131,"AAAAAHp9b00=")</f>
        <v>#VALUE!</v>
      </c>
      <c r="CA168" t="e">
        <f>AND('UP133'!BD131,"AAAAAHp9b04=")</f>
        <v>#VALUE!</v>
      </c>
      <c r="CB168" t="e">
        <f>AND('UP133'!BE131,"AAAAAHp9b08=")</f>
        <v>#VALUE!</v>
      </c>
      <c r="CC168" t="e">
        <f>AND('UP133'!BF131,"AAAAAHp9b1A=")</f>
        <v>#VALUE!</v>
      </c>
      <c r="CD168" t="e">
        <f>AND('UP133'!BG131,"AAAAAHp9b1E=")</f>
        <v>#VALUE!</v>
      </c>
      <c r="CE168" t="e">
        <f>AND('UP133'!BH131,"AAAAAHp9b1I=")</f>
        <v>#VALUE!</v>
      </c>
      <c r="CF168" t="e">
        <f>AND('UP133'!BI131,"AAAAAHp9b1M=")</f>
        <v>#VALUE!</v>
      </c>
      <c r="CG168" t="e">
        <f>AND('UP133'!BJ131,"AAAAAHp9b1Q=")</f>
        <v>#VALUE!</v>
      </c>
      <c r="CH168" t="e">
        <f>AND('UP133'!BK131,"AAAAAHp9b1U=")</f>
        <v>#VALUE!</v>
      </c>
      <c r="CI168" t="e">
        <f>AND('UP133'!BL131,"AAAAAHp9b1Y=")</f>
        <v>#VALUE!</v>
      </c>
      <c r="CJ168" t="e">
        <f>AND('UP133'!BM131,"AAAAAHp9b1c=")</f>
        <v>#VALUE!</v>
      </c>
      <c r="CK168" t="e">
        <f>AND('UP133'!BN131,"AAAAAHp9b1g=")</f>
        <v>#VALUE!</v>
      </c>
      <c r="CL168" t="e">
        <f>AND('UP133'!BO131,"AAAAAHp9b1k=")</f>
        <v>#VALUE!</v>
      </c>
      <c r="CM168" t="e">
        <f>AND('UP133'!BP131,"AAAAAHp9b1o=")</f>
        <v>#VALUE!</v>
      </c>
      <c r="CN168" t="e">
        <f>AND('UP133'!BQ131,"AAAAAHp9b1s=")</f>
        <v>#VALUE!</v>
      </c>
      <c r="CO168" t="e">
        <f>AND('UP133'!BR131,"AAAAAHp9b1w=")</f>
        <v>#VALUE!</v>
      </c>
      <c r="CP168" t="e">
        <f>AND('UP133'!BS131,"AAAAAHp9b10=")</f>
        <v>#VALUE!</v>
      </c>
      <c r="CQ168" t="e">
        <f>AND('UP133'!BT131,"AAAAAHp9b14=")</f>
        <v>#VALUE!</v>
      </c>
      <c r="CR168" t="e">
        <f>AND('UP133'!BU131,"AAAAAHp9b18=")</f>
        <v>#VALUE!</v>
      </c>
      <c r="CS168" t="e">
        <f>AND('UP133'!BV131,"AAAAAHp9b2A=")</f>
        <v>#VALUE!</v>
      </c>
      <c r="CT168" t="e">
        <f>AND('UP133'!BW131,"AAAAAHp9b2E=")</f>
        <v>#VALUE!</v>
      </c>
      <c r="CU168" t="e">
        <f>AND('UP133'!BX131,"AAAAAHp9b2I=")</f>
        <v>#VALUE!</v>
      </c>
      <c r="CV168" t="e">
        <f>AND('UP133'!BY131,"AAAAAHp9b2M=")</f>
        <v>#VALUE!</v>
      </c>
      <c r="CW168" t="e">
        <f>AND('UP133'!BZ131,"AAAAAHp9b2Q=")</f>
        <v>#VALUE!</v>
      </c>
      <c r="CX168" t="e">
        <f>AND('UP133'!CA131,"AAAAAHp9b2U=")</f>
        <v>#VALUE!</v>
      </c>
      <c r="CY168" t="e">
        <f>AND('UP133'!CB131,"AAAAAHp9b2Y=")</f>
        <v>#VALUE!</v>
      </c>
      <c r="CZ168" t="e">
        <f>AND('UP133'!CC131,"AAAAAHp9b2c=")</f>
        <v>#VALUE!</v>
      </c>
      <c r="DA168" t="e">
        <f>AND('UP133'!CD131,"AAAAAHp9b2g=")</f>
        <v>#VALUE!</v>
      </c>
      <c r="DB168" t="e">
        <f>AND('UP133'!CE131,"AAAAAHp9b2k=")</f>
        <v>#VALUE!</v>
      </c>
      <c r="DC168" t="e">
        <f>AND('UP133'!CF131,"AAAAAHp9b2o=")</f>
        <v>#VALUE!</v>
      </c>
      <c r="DD168" t="e">
        <f>AND('UP133'!CG131,"AAAAAHp9b2s=")</f>
        <v>#VALUE!</v>
      </c>
      <c r="DE168" t="e">
        <f>AND('UP133'!CH131,"AAAAAHp9b2w=")</f>
        <v>#VALUE!</v>
      </c>
      <c r="DF168" t="e">
        <f>AND('UP133'!CI131,"AAAAAHp9b20=")</f>
        <v>#VALUE!</v>
      </c>
      <c r="DG168" t="e">
        <f>AND('UP133'!CJ131,"AAAAAHp9b24=")</f>
        <v>#VALUE!</v>
      </c>
      <c r="DH168" t="e">
        <f>AND('UP133'!CK131,"AAAAAHp9b28=")</f>
        <v>#VALUE!</v>
      </c>
      <c r="DI168" t="e">
        <f>AND('UP133'!CL131,"AAAAAHp9b3A=")</f>
        <v>#VALUE!</v>
      </c>
      <c r="DJ168" t="e">
        <f>AND('UP133'!CM131,"AAAAAHp9b3E=")</f>
        <v>#VALUE!</v>
      </c>
      <c r="DK168" t="e">
        <f>AND('UP133'!CN131,"AAAAAHp9b3I=")</f>
        <v>#VALUE!</v>
      </c>
      <c r="DL168" t="e">
        <f>AND('UP133'!CO131,"AAAAAHp9b3M=")</f>
        <v>#VALUE!</v>
      </c>
      <c r="DM168" t="e">
        <f>AND('UP133'!CP131,"AAAAAHp9b3Q=")</f>
        <v>#VALUE!</v>
      </c>
      <c r="DN168" t="e">
        <f>AND('UP133'!CQ131,"AAAAAHp9b3U=")</f>
        <v>#VALUE!</v>
      </c>
      <c r="DO168" t="e">
        <f>AND('UP133'!CR131,"AAAAAHp9b3Y=")</f>
        <v>#VALUE!</v>
      </c>
      <c r="DP168" t="e">
        <f>AND('UP133'!CS131,"AAAAAHp9b3c=")</f>
        <v>#VALUE!</v>
      </c>
      <c r="DQ168" t="e">
        <f>AND('UP133'!CT131,"AAAAAHp9b3g=")</f>
        <v>#VALUE!</v>
      </c>
      <c r="DR168" t="e">
        <f>AND('UP133'!CU131,"AAAAAHp9b3k=")</f>
        <v>#VALUE!</v>
      </c>
      <c r="DS168" t="e">
        <f>AND('UP133'!CV131,"AAAAAHp9b3o=")</f>
        <v>#VALUE!</v>
      </c>
      <c r="DT168" t="e">
        <f>AND('UP133'!CW131,"AAAAAHp9b3s=")</f>
        <v>#VALUE!</v>
      </c>
      <c r="DU168" t="e">
        <f>AND('UP133'!CX131,"AAAAAHp9b3w=")</f>
        <v>#VALUE!</v>
      </c>
      <c r="DV168" t="e">
        <f>AND('UP133'!CY131,"AAAAAHp9b30=")</f>
        <v>#VALUE!</v>
      </c>
      <c r="DW168" t="e">
        <f>AND('UP133'!CZ131,"AAAAAHp9b34=")</f>
        <v>#VALUE!</v>
      </c>
      <c r="DX168" t="e">
        <f>AND('UP133'!DA131,"AAAAAHp9b38=")</f>
        <v>#VALUE!</v>
      </c>
      <c r="DY168" t="e">
        <f>AND('UP133'!DB131,"AAAAAHp9b4A=")</f>
        <v>#VALUE!</v>
      </c>
      <c r="DZ168" t="e">
        <f>AND('UP133'!DC131,"AAAAAHp9b4E=")</f>
        <v>#VALUE!</v>
      </c>
      <c r="EA168" t="e">
        <f>AND('UP133'!DD131,"AAAAAHp9b4I=")</f>
        <v>#VALUE!</v>
      </c>
      <c r="EB168" t="e">
        <f>AND('UP133'!DE131,"AAAAAHp9b4M=")</f>
        <v>#VALUE!</v>
      </c>
      <c r="EC168" t="e">
        <f>AND('UP133'!DF131,"AAAAAHp9b4Q=")</f>
        <v>#VALUE!</v>
      </c>
      <c r="ED168" t="e">
        <f>AND('UP133'!DG131,"AAAAAHp9b4U=")</f>
        <v>#VALUE!</v>
      </c>
      <c r="EE168" t="e">
        <f>AND('UP133'!DH131,"AAAAAHp9b4Y=")</f>
        <v>#VALUE!</v>
      </c>
      <c r="EF168" t="e">
        <f>AND('UP133'!DI131,"AAAAAHp9b4c=")</f>
        <v>#VALUE!</v>
      </c>
      <c r="EG168" t="e">
        <f>AND('UP133'!DJ131,"AAAAAHp9b4g=")</f>
        <v>#VALUE!</v>
      </c>
      <c r="EH168" t="e">
        <f>AND('UP133'!DK131,"AAAAAHp9b4k=")</f>
        <v>#VALUE!</v>
      </c>
      <c r="EI168" t="e">
        <f>AND('UP133'!DL131,"AAAAAHp9b4o=")</f>
        <v>#VALUE!</v>
      </c>
      <c r="EJ168" t="e">
        <f>AND('UP133'!DM131,"AAAAAHp9b4s=")</f>
        <v>#VALUE!</v>
      </c>
      <c r="EK168" t="e">
        <f>AND('UP133'!DN131,"AAAAAHp9b4w=")</f>
        <v>#VALUE!</v>
      </c>
      <c r="EL168" t="e">
        <f>AND('UP133'!DO131,"AAAAAHp9b40=")</f>
        <v>#VALUE!</v>
      </c>
      <c r="EM168" t="e">
        <f>AND('UP133'!DP131,"AAAAAHp9b44=")</f>
        <v>#VALUE!</v>
      </c>
      <c r="EN168" t="e">
        <f>AND('UP133'!DQ131,"AAAAAHp9b48=")</f>
        <v>#VALUE!</v>
      </c>
      <c r="EO168" t="e">
        <f>AND('UP133'!DR131,"AAAAAHp9b5A=")</f>
        <v>#VALUE!</v>
      </c>
      <c r="EP168" t="e">
        <f>AND('UP133'!DS131,"AAAAAHp9b5E=")</f>
        <v>#VALUE!</v>
      </c>
      <c r="EQ168" t="e">
        <f>AND('UP133'!DT131,"AAAAAHp9b5I=")</f>
        <v>#VALUE!</v>
      </c>
      <c r="ER168" t="e">
        <f>AND('UP133'!DU131,"AAAAAHp9b5M=")</f>
        <v>#VALUE!</v>
      </c>
      <c r="ES168" t="e">
        <f>AND('UP133'!DV131,"AAAAAHp9b5Q=")</f>
        <v>#VALUE!</v>
      </c>
      <c r="ET168" t="e">
        <f>AND('UP133'!DW131,"AAAAAHp9b5U=")</f>
        <v>#VALUE!</v>
      </c>
      <c r="EU168" t="e">
        <f>AND('UP133'!DX131,"AAAAAHp9b5Y=")</f>
        <v>#VALUE!</v>
      </c>
      <c r="EV168" t="e">
        <f>AND('UP133'!DY131,"AAAAAHp9b5c=")</f>
        <v>#VALUE!</v>
      </c>
      <c r="EW168" t="e">
        <f>AND('UP133'!DZ131,"AAAAAHp9b5g=")</f>
        <v>#VALUE!</v>
      </c>
      <c r="EX168" t="e">
        <f>AND('UP133'!EA131,"AAAAAHp9b5k=")</f>
        <v>#VALUE!</v>
      </c>
      <c r="EY168" t="e">
        <f>AND('UP133'!EB131,"AAAAAHp9b5o=")</f>
        <v>#VALUE!</v>
      </c>
      <c r="EZ168" t="e">
        <f>AND('UP133'!EC131,"AAAAAHp9b5s=")</f>
        <v>#VALUE!</v>
      </c>
      <c r="FA168" t="e">
        <f>AND('UP133'!ED131,"AAAAAHp9b5w=")</f>
        <v>#VALUE!</v>
      </c>
      <c r="FB168" t="e">
        <f>AND('UP133'!EE131,"AAAAAHp9b50=")</f>
        <v>#VALUE!</v>
      </c>
      <c r="FC168" t="e">
        <f>AND('UP133'!EF131,"AAAAAHp9b54=")</f>
        <v>#VALUE!</v>
      </c>
      <c r="FD168" t="e">
        <f>AND('UP133'!EG131,"AAAAAHp9b58=")</f>
        <v>#VALUE!</v>
      </c>
      <c r="FE168" t="e">
        <f>AND('UP133'!EH131,"AAAAAHp9b6A=")</f>
        <v>#VALUE!</v>
      </c>
      <c r="FF168" t="e">
        <f>AND('UP133'!EI131,"AAAAAHp9b6E=")</f>
        <v>#VALUE!</v>
      </c>
      <c r="FG168" t="e">
        <f>AND('UP133'!EJ131,"AAAAAHp9b6I=")</f>
        <v>#VALUE!</v>
      </c>
      <c r="FH168" t="e">
        <f>AND('UP133'!EK131,"AAAAAHp9b6M=")</f>
        <v>#VALUE!</v>
      </c>
      <c r="FI168" t="e">
        <f>AND('UP133'!EL131,"AAAAAHp9b6Q=")</f>
        <v>#VALUE!</v>
      </c>
      <c r="FJ168" t="e">
        <f>AND('UP133'!EM131,"AAAAAHp9b6U=")</f>
        <v>#VALUE!</v>
      </c>
      <c r="FK168" t="e">
        <f>AND('UP133'!EN131,"AAAAAHp9b6Y=")</f>
        <v>#VALUE!</v>
      </c>
      <c r="FL168" t="e">
        <f>AND('UP133'!EO131,"AAAAAHp9b6c=")</f>
        <v>#VALUE!</v>
      </c>
      <c r="FM168" t="e">
        <f>AND('UP133'!EP131,"AAAAAHp9b6g=")</f>
        <v>#VALUE!</v>
      </c>
      <c r="FN168" t="e">
        <f>AND('UP133'!EQ131,"AAAAAHp9b6k=")</f>
        <v>#VALUE!</v>
      </c>
      <c r="FO168" t="e">
        <f>AND('UP133'!ER131,"AAAAAHp9b6o=")</f>
        <v>#VALUE!</v>
      </c>
      <c r="FP168" t="e">
        <f>AND('UP133'!ES131,"AAAAAHp9b6s=")</f>
        <v>#VALUE!</v>
      </c>
      <c r="FQ168" t="e">
        <f>AND('UP133'!ET131,"AAAAAHp9b6w=")</f>
        <v>#VALUE!</v>
      </c>
      <c r="FR168" t="e">
        <f>AND('UP133'!EU131,"AAAAAHp9b60=")</f>
        <v>#VALUE!</v>
      </c>
      <c r="FS168" t="e">
        <f>AND('UP133'!EV131,"AAAAAHp9b64=")</f>
        <v>#VALUE!</v>
      </c>
      <c r="FT168" t="e">
        <f>AND('UP133'!EW131,"AAAAAHp9b68=")</f>
        <v>#VALUE!</v>
      </c>
      <c r="FU168" t="e">
        <f>AND('UP133'!EX131,"AAAAAHp9b7A=")</f>
        <v>#VALUE!</v>
      </c>
      <c r="FV168" t="e">
        <f>AND('UP133'!EY131,"AAAAAHp9b7E=")</f>
        <v>#VALUE!</v>
      </c>
      <c r="FW168" t="e">
        <f>AND('UP133'!EZ131,"AAAAAHp9b7I=")</f>
        <v>#VALUE!</v>
      </c>
      <c r="FX168" t="e">
        <f>AND('UP133'!FA131,"AAAAAHp9b7M=")</f>
        <v>#VALUE!</v>
      </c>
      <c r="FY168" t="e">
        <f>AND('UP133'!FB131,"AAAAAHp9b7Q=")</f>
        <v>#VALUE!</v>
      </c>
      <c r="FZ168" t="e">
        <f>AND('UP133'!FC131,"AAAAAHp9b7U=")</f>
        <v>#VALUE!</v>
      </c>
      <c r="GA168" t="e">
        <f>AND('UP133'!FD131,"AAAAAHp9b7Y=")</f>
        <v>#VALUE!</v>
      </c>
      <c r="GB168" t="e">
        <f>AND('UP133'!FE131,"AAAAAHp9b7c=")</f>
        <v>#VALUE!</v>
      </c>
      <c r="GC168" t="e">
        <f>AND('UP133'!FF131,"AAAAAHp9b7g=")</f>
        <v>#VALUE!</v>
      </c>
      <c r="GD168" t="e">
        <f>AND('UP133'!FG131,"AAAAAHp9b7k=")</f>
        <v>#VALUE!</v>
      </c>
      <c r="GE168" t="e">
        <f>AND('UP133'!FH131,"AAAAAHp9b7o=")</f>
        <v>#VALUE!</v>
      </c>
      <c r="GF168" t="e">
        <f>AND('UP133'!FI131,"AAAAAHp9b7s=")</f>
        <v>#VALUE!</v>
      </c>
      <c r="GG168" t="e">
        <f>AND('UP133'!FJ131,"AAAAAHp9b7w=")</f>
        <v>#VALUE!</v>
      </c>
      <c r="GH168" t="e">
        <f>AND('UP133'!FK131,"AAAAAHp9b70=")</f>
        <v>#VALUE!</v>
      </c>
      <c r="GI168" t="e">
        <f>AND('UP133'!FL131,"AAAAAHp9b74=")</f>
        <v>#VALUE!</v>
      </c>
      <c r="GJ168" t="e">
        <f>AND('UP133'!FM131,"AAAAAHp9b78=")</f>
        <v>#VALUE!</v>
      </c>
      <c r="GK168" t="e">
        <f>AND('UP133'!FN131,"AAAAAHp9b8A=")</f>
        <v>#VALUE!</v>
      </c>
      <c r="GL168" t="e">
        <f>AND('UP133'!FO131,"AAAAAHp9b8E=")</f>
        <v>#VALUE!</v>
      </c>
      <c r="GM168" t="e">
        <f>AND('UP133'!FP131,"AAAAAHp9b8I=")</f>
        <v>#VALUE!</v>
      </c>
      <c r="GN168" t="e">
        <f>AND('UP133'!FQ131,"AAAAAHp9b8M=")</f>
        <v>#VALUE!</v>
      </c>
      <c r="GO168" t="e">
        <f>AND('UP133'!FR131,"AAAAAHp9b8Q=")</f>
        <v>#VALUE!</v>
      </c>
      <c r="GP168" t="e">
        <f>AND('UP133'!FS131,"AAAAAHp9b8U=")</f>
        <v>#VALUE!</v>
      </c>
      <c r="GQ168" t="e">
        <f>AND('UP133'!FT131,"AAAAAHp9b8Y=")</f>
        <v>#VALUE!</v>
      </c>
      <c r="GR168" t="e">
        <f>AND('UP133'!FU131,"AAAAAHp9b8c=")</f>
        <v>#VALUE!</v>
      </c>
      <c r="GS168" t="e">
        <f>AND('UP133'!FV131,"AAAAAHp9b8g=")</f>
        <v>#VALUE!</v>
      </c>
      <c r="GT168" t="e">
        <f>AND('UP133'!FW131,"AAAAAHp9b8k=")</f>
        <v>#VALUE!</v>
      </c>
      <c r="GU168" t="e">
        <f>AND('UP133'!FX131,"AAAAAHp9b8o=")</f>
        <v>#VALUE!</v>
      </c>
      <c r="GV168" t="e">
        <f>AND('UP133'!FY131,"AAAAAHp9b8s=")</f>
        <v>#VALUE!</v>
      </c>
      <c r="GW168" t="e">
        <f>AND('UP133'!FZ131,"AAAAAHp9b8w=")</f>
        <v>#VALUE!</v>
      </c>
      <c r="GX168" t="e">
        <f>AND('UP133'!GA131,"AAAAAHp9b80=")</f>
        <v>#VALUE!</v>
      </c>
      <c r="GY168" t="e">
        <f>AND('UP133'!GB131,"AAAAAHp9b84=")</f>
        <v>#VALUE!</v>
      </c>
      <c r="GZ168" t="e">
        <f>AND('UP133'!GC131,"AAAAAHp9b88=")</f>
        <v>#VALUE!</v>
      </c>
      <c r="HA168" t="e">
        <f>AND('UP133'!GD131,"AAAAAHp9b9A=")</f>
        <v>#VALUE!</v>
      </c>
      <c r="HB168" t="e">
        <f>AND('UP133'!GE131,"AAAAAHp9b9E=")</f>
        <v>#VALUE!</v>
      </c>
      <c r="HC168" t="e">
        <f>AND('UP133'!GF131,"AAAAAHp9b9I=")</f>
        <v>#VALUE!</v>
      </c>
      <c r="HD168" t="e">
        <f>AND('UP133'!GG131,"AAAAAHp9b9M=")</f>
        <v>#VALUE!</v>
      </c>
      <c r="HE168" t="e">
        <f>AND('UP133'!GH131,"AAAAAHp9b9Q=")</f>
        <v>#VALUE!</v>
      </c>
      <c r="HF168" t="e">
        <f>AND('UP133'!GI131,"AAAAAHp9b9U=")</f>
        <v>#VALUE!</v>
      </c>
      <c r="HG168" t="e">
        <f>AND('UP133'!GJ131,"AAAAAHp9b9Y=")</f>
        <v>#VALUE!</v>
      </c>
      <c r="HH168" t="e">
        <f>AND('UP133'!GK131,"AAAAAHp9b9c=")</f>
        <v>#VALUE!</v>
      </c>
      <c r="HI168" t="e">
        <f>AND('UP133'!GL131,"AAAAAHp9b9g=")</f>
        <v>#VALUE!</v>
      </c>
      <c r="HJ168" t="e">
        <f>AND('UP133'!GM131,"AAAAAHp9b9k=")</f>
        <v>#VALUE!</v>
      </c>
      <c r="HK168" t="e">
        <f>AND('UP133'!GN131,"AAAAAHp9b9o=")</f>
        <v>#VALUE!</v>
      </c>
      <c r="HL168" t="e">
        <f>AND('UP133'!GO131,"AAAAAHp9b9s=")</f>
        <v>#VALUE!</v>
      </c>
      <c r="HM168" t="e">
        <f>AND('UP133'!GP131,"AAAAAHp9b9w=")</f>
        <v>#VALUE!</v>
      </c>
      <c r="HN168" t="e">
        <f>AND('UP133'!GQ131,"AAAAAHp9b90=")</f>
        <v>#VALUE!</v>
      </c>
      <c r="HO168" t="e">
        <f>AND('UP133'!GR131,"AAAAAHp9b94=")</f>
        <v>#VALUE!</v>
      </c>
      <c r="HP168" t="e">
        <f>AND('UP133'!GS131,"AAAAAHp9b98=")</f>
        <v>#VALUE!</v>
      </c>
      <c r="HQ168" t="e">
        <f>AND('UP133'!GT131,"AAAAAHp9b+A=")</f>
        <v>#VALUE!</v>
      </c>
      <c r="HR168" t="e">
        <f>AND('UP133'!GU131,"AAAAAHp9b+E=")</f>
        <v>#VALUE!</v>
      </c>
      <c r="HS168" t="e">
        <f>AND('UP133'!GV131,"AAAAAHp9b+I=")</f>
        <v>#VALUE!</v>
      </c>
      <c r="HT168" t="e">
        <f>AND('UP133'!GW131,"AAAAAHp9b+M=")</f>
        <v>#VALUE!</v>
      </c>
      <c r="HU168" t="e">
        <f>AND('UP133'!GX131,"AAAAAHp9b+Q=")</f>
        <v>#VALUE!</v>
      </c>
      <c r="HV168" t="e">
        <f>AND('UP133'!GY131,"AAAAAHp9b+U=")</f>
        <v>#VALUE!</v>
      </c>
      <c r="HW168" t="e">
        <f>AND('UP133'!GZ131,"AAAAAHp9b+Y=")</f>
        <v>#VALUE!</v>
      </c>
      <c r="HX168" t="e">
        <f>AND('UP133'!HA131,"AAAAAHp9b+c=")</f>
        <v>#VALUE!</v>
      </c>
      <c r="HY168" t="e">
        <f>AND('UP133'!HB131,"AAAAAHp9b+g=")</f>
        <v>#VALUE!</v>
      </c>
      <c r="HZ168" t="e">
        <f>AND('UP133'!HC131,"AAAAAHp9b+k=")</f>
        <v>#VALUE!</v>
      </c>
      <c r="IA168" t="e">
        <f>AND('UP133'!HD131,"AAAAAHp9b+o=")</f>
        <v>#VALUE!</v>
      </c>
      <c r="IB168" t="e">
        <f>AND('UP133'!HE131,"AAAAAHp9b+s=")</f>
        <v>#VALUE!</v>
      </c>
      <c r="IC168" t="e">
        <f>AND('UP133'!HF131,"AAAAAHp9b+w=")</f>
        <v>#VALUE!</v>
      </c>
      <c r="ID168" t="e">
        <f>AND('UP133'!HG131,"AAAAAHp9b+0=")</f>
        <v>#VALUE!</v>
      </c>
      <c r="IE168" t="e">
        <f>AND('UP133'!HH131,"AAAAAHp9b+4=")</f>
        <v>#VALUE!</v>
      </c>
      <c r="IF168" t="e">
        <f>AND('UP133'!HI131,"AAAAAHp9b+8=")</f>
        <v>#VALUE!</v>
      </c>
      <c r="IG168" t="e">
        <f>AND('UP133'!HJ131,"AAAAAHp9b/A=")</f>
        <v>#VALUE!</v>
      </c>
      <c r="IH168" t="e">
        <f>AND('UP133'!HK131,"AAAAAHp9b/E=")</f>
        <v>#VALUE!</v>
      </c>
      <c r="II168" t="e">
        <f>AND('UP133'!HL131,"AAAAAHp9b/I=")</f>
        <v>#VALUE!</v>
      </c>
      <c r="IJ168" t="e">
        <f>AND('UP133'!HM131,"AAAAAHp9b/M=")</f>
        <v>#VALUE!</v>
      </c>
      <c r="IK168" t="e">
        <f>AND('UP133'!HN131,"AAAAAHp9b/Q=")</f>
        <v>#VALUE!</v>
      </c>
      <c r="IL168" t="e">
        <f>AND('UP133'!HO131,"AAAAAHp9b/U=")</f>
        <v>#VALUE!</v>
      </c>
      <c r="IM168" t="e">
        <f>AND('UP133'!HP131,"AAAAAHp9b/Y=")</f>
        <v>#VALUE!</v>
      </c>
      <c r="IN168" t="e">
        <f>AND('UP133'!HQ131,"AAAAAHp9b/c=")</f>
        <v>#VALUE!</v>
      </c>
      <c r="IO168" t="e">
        <f>AND('UP133'!HR131,"AAAAAHp9b/g=")</f>
        <v>#VALUE!</v>
      </c>
      <c r="IP168" t="e">
        <f>AND('UP133'!HS131,"AAAAAHp9b/k=")</f>
        <v>#VALUE!</v>
      </c>
      <c r="IQ168" t="e">
        <f>AND('UP133'!HT131,"AAAAAHp9b/o=")</f>
        <v>#VALUE!</v>
      </c>
      <c r="IR168" t="e">
        <f>AND('UP133'!HU131,"AAAAAHp9b/s=")</f>
        <v>#VALUE!</v>
      </c>
      <c r="IS168" t="e">
        <f>AND('UP133'!HV131,"AAAAAHp9b/w=")</f>
        <v>#VALUE!</v>
      </c>
      <c r="IT168" t="e">
        <f>AND('UP133'!HW131,"AAAAAHp9b/0=")</f>
        <v>#VALUE!</v>
      </c>
      <c r="IU168" t="e">
        <f>AND('UP133'!HX131,"AAAAAHp9b/4=")</f>
        <v>#VALUE!</v>
      </c>
      <c r="IV168" t="e">
        <f>AND('UP133'!HY131,"AAAAAHp9b/8=")</f>
        <v>#VALUE!</v>
      </c>
    </row>
    <row r="169" spans="1:256">
      <c r="A169" t="e">
        <f>AND('UP133'!HZ131,"AAAAAGv5vgA=")</f>
        <v>#VALUE!</v>
      </c>
      <c r="B169" t="e">
        <f>AND('UP133'!IA131,"AAAAAGv5vgE=")</f>
        <v>#VALUE!</v>
      </c>
      <c r="C169" t="e">
        <f>AND('UP133'!IB131,"AAAAAGv5vgI=")</f>
        <v>#VALUE!</v>
      </c>
      <c r="D169" t="e">
        <f>AND('UP133'!IC131,"AAAAAGv5vgM=")</f>
        <v>#VALUE!</v>
      </c>
      <c r="E169" t="e">
        <f>AND('UP133'!ID131,"AAAAAGv5vgQ=")</f>
        <v>#VALUE!</v>
      </c>
      <c r="F169" t="e">
        <f>AND('UP133'!IE131,"AAAAAGv5vgU=")</f>
        <v>#VALUE!</v>
      </c>
      <c r="G169" t="e">
        <f>AND('UP133'!IF131,"AAAAAGv5vgY=")</f>
        <v>#VALUE!</v>
      </c>
      <c r="H169" t="e">
        <f>AND('UP133'!IG131,"AAAAAGv5vgc=")</f>
        <v>#VALUE!</v>
      </c>
      <c r="I169" t="e">
        <f>AND('UP133'!IH131,"AAAAAGv5vgg=")</f>
        <v>#VALUE!</v>
      </c>
      <c r="J169" t="e">
        <f>AND('UP133'!II131,"AAAAAGv5vgk=")</f>
        <v>#VALUE!</v>
      </c>
      <c r="K169" t="e">
        <f>AND('UP133'!IJ131,"AAAAAGv5vgo=")</f>
        <v>#VALUE!</v>
      </c>
      <c r="L169" t="e">
        <f>AND('UP133'!IK131,"AAAAAGv5vgs=")</f>
        <v>#VALUE!</v>
      </c>
      <c r="M169" t="e">
        <f>AND('UP133'!IL131,"AAAAAGv5vgw=")</f>
        <v>#VALUE!</v>
      </c>
      <c r="N169" t="e">
        <f>AND('UP133'!IM131,"AAAAAGv5vg0=")</f>
        <v>#VALUE!</v>
      </c>
      <c r="O169" t="e">
        <f>AND('UP133'!IN131,"AAAAAGv5vg4=")</f>
        <v>#VALUE!</v>
      </c>
      <c r="P169" t="e">
        <f>AND('UP133'!IO131,"AAAAAGv5vg8=")</f>
        <v>#VALUE!</v>
      </c>
      <c r="Q169" t="e">
        <f>AND('UP133'!IP131,"AAAAAGv5vhA=")</f>
        <v>#VALUE!</v>
      </c>
      <c r="R169" t="e">
        <f>AND('UP133'!IQ131,"AAAAAGv5vhE=")</f>
        <v>#VALUE!</v>
      </c>
      <c r="S169">
        <f>IF('UP133'!132:132,"AAAAAGv5vhI=",0)</f>
        <v>0</v>
      </c>
      <c r="T169" t="e">
        <f>AND('UP133'!A132,"AAAAAGv5vhM=")</f>
        <v>#VALUE!</v>
      </c>
      <c r="U169" t="e">
        <f>AND('UP133'!B132,"AAAAAGv5vhQ=")</f>
        <v>#VALUE!</v>
      </c>
      <c r="V169" t="e">
        <f>AND('UP133'!C132,"AAAAAGv5vhU=")</f>
        <v>#VALUE!</v>
      </c>
      <c r="W169" t="e">
        <f>AND('UP133'!D132,"AAAAAGv5vhY=")</f>
        <v>#VALUE!</v>
      </c>
      <c r="X169" t="e">
        <f>AND('UP133'!E132,"AAAAAGv5vhc=")</f>
        <v>#VALUE!</v>
      </c>
      <c r="Y169" t="e">
        <f>AND('UP133'!F132,"AAAAAGv5vhg=")</f>
        <v>#VALUE!</v>
      </c>
      <c r="Z169" t="e">
        <f>AND('UP133'!G132,"AAAAAGv5vhk=")</f>
        <v>#VALUE!</v>
      </c>
      <c r="AA169" t="e">
        <f>AND('UP133'!H132,"AAAAAGv5vho=")</f>
        <v>#VALUE!</v>
      </c>
      <c r="AB169" t="e">
        <f>AND('UP133'!I132,"AAAAAGv5vhs=")</f>
        <v>#VALUE!</v>
      </c>
      <c r="AC169" t="e">
        <f>AND('UP133'!J132,"AAAAAGv5vhw=")</f>
        <v>#VALUE!</v>
      </c>
      <c r="AD169" t="e">
        <f>AND('UP133'!K132,"AAAAAGv5vh0=")</f>
        <v>#VALUE!</v>
      </c>
      <c r="AE169" t="e">
        <f>AND('UP133'!L132,"AAAAAGv5vh4=")</f>
        <v>#VALUE!</v>
      </c>
      <c r="AF169" t="e">
        <f>AND('UP133'!M132,"AAAAAGv5vh8=")</f>
        <v>#VALUE!</v>
      </c>
      <c r="AG169" t="e">
        <f>AND('UP133'!N132,"AAAAAGv5viA=")</f>
        <v>#VALUE!</v>
      </c>
      <c r="AH169" t="e">
        <f>AND('UP133'!O132,"AAAAAGv5viE=")</f>
        <v>#VALUE!</v>
      </c>
      <c r="AI169" t="e">
        <f>AND('UP133'!P132,"AAAAAGv5viI=")</f>
        <v>#VALUE!</v>
      </c>
      <c r="AJ169" t="e">
        <f>AND('UP133'!Q132,"AAAAAGv5viM=")</f>
        <v>#VALUE!</v>
      </c>
      <c r="AK169" t="e">
        <f>AND('UP133'!R132,"AAAAAGv5viQ=")</f>
        <v>#VALUE!</v>
      </c>
      <c r="AL169" t="e">
        <f>AND('UP133'!S132,"AAAAAGv5viU=")</f>
        <v>#VALUE!</v>
      </c>
      <c r="AM169" t="e">
        <f>AND('UP133'!T132,"AAAAAGv5viY=")</f>
        <v>#VALUE!</v>
      </c>
      <c r="AN169" t="e">
        <f>AND('UP133'!U132,"AAAAAGv5vic=")</f>
        <v>#VALUE!</v>
      </c>
      <c r="AO169" t="e">
        <f>AND('UP133'!V132,"AAAAAGv5vig=")</f>
        <v>#VALUE!</v>
      </c>
      <c r="AP169" t="e">
        <f>AND('UP133'!W132,"AAAAAGv5vik=")</f>
        <v>#VALUE!</v>
      </c>
      <c r="AQ169" t="e">
        <f>AND('UP133'!X132,"AAAAAGv5vio=")</f>
        <v>#VALUE!</v>
      </c>
      <c r="AR169" t="e">
        <f>AND('UP133'!Y132,"AAAAAGv5vis=")</f>
        <v>#VALUE!</v>
      </c>
      <c r="AS169" t="e">
        <f>AND('UP133'!Z132,"AAAAAGv5viw=")</f>
        <v>#VALUE!</v>
      </c>
      <c r="AT169" t="e">
        <f>AND('UP133'!AA132,"AAAAAGv5vi0=")</f>
        <v>#VALUE!</v>
      </c>
      <c r="AU169" t="e">
        <f>AND('UP133'!AB132,"AAAAAGv5vi4=")</f>
        <v>#VALUE!</v>
      </c>
      <c r="AV169" t="e">
        <f>AND('UP133'!AC132,"AAAAAGv5vi8=")</f>
        <v>#VALUE!</v>
      </c>
      <c r="AW169" t="e">
        <f>AND('UP133'!AD132,"AAAAAGv5vjA=")</f>
        <v>#VALUE!</v>
      </c>
      <c r="AX169" t="e">
        <f>AND('UP133'!AE132,"AAAAAGv5vjE=")</f>
        <v>#VALUE!</v>
      </c>
      <c r="AY169" t="e">
        <f>AND('UP133'!AF132,"AAAAAGv5vjI=")</f>
        <v>#VALUE!</v>
      </c>
      <c r="AZ169" t="e">
        <f>AND('UP133'!AG132,"AAAAAGv5vjM=")</f>
        <v>#VALUE!</v>
      </c>
      <c r="BA169" t="e">
        <f>AND('UP133'!AH132,"AAAAAGv5vjQ=")</f>
        <v>#VALUE!</v>
      </c>
      <c r="BB169" t="e">
        <f>AND('UP133'!AI132,"AAAAAGv5vjU=")</f>
        <v>#VALUE!</v>
      </c>
      <c r="BC169" t="e">
        <f>AND('UP133'!AJ132,"AAAAAGv5vjY=")</f>
        <v>#VALUE!</v>
      </c>
      <c r="BD169" t="e">
        <f>AND('UP133'!AK132,"AAAAAGv5vjc=")</f>
        <v>#VALUE!</v>
      </c>
      <c r="BE169" t="e">
        <f>AND('UP133'!AL132,"AAAAAGv5vjg=")</f>
        <v>#VALUE!</v>
      </c>
      <c r="BF169" t="e">
        <f>AND('UP133'!AM132,"AAAAAGv5vjk=")</f>
        <v>#VALUE!</v>
      </c>
      <c r="BG169" t="e">
        <f>AND('UP133'!AN132,"AAAAAGv5vjo=")</f>
        <v>#VALUE!</v>
      </c>
      <c r="BH169" t="e">
        <f>AND('UP133'!AO132,"AAAAAGv5vjs=")</f>
        <v>#VALUE!</v>
      </c>
      <c r="BI169" t="e">
        <f>AND('UP133'!AP132,"AAAAAGv5vjw=")</f>
        <v>#VALUE!</v>
      </c>
      <c r="BJ169" t="e">
        <f>AND('UP133'!AQ132,"AAAAAGv5vj0=")</f>
        <v>#VALUE!</v>
      </c>
      <c r="BK169" t="e">
        <f>AND('UP133'!AR132,"AAAAAGv5vj4=")</f>
        <v>#VALUE!</v>
      </c>
      <c r="BL169" t="e">
        <f>AND('UP133'!AS132,"AAAAAGv5vj8=")</f>
        <v>#VALUE!</v>
      </c>
      <c r="BM169" t="e">
        <f>AND('UP133'!AT132,"AAAAAGv5vkA=")</f>
        <v>#VALUE!</v>
      </c>
      <c r="BN169" t="e">
        <f>AND('UP133'!AU132,"AAAAAGv5vkE=")</f>
        <v>#VALUE!</v>
      </c>
      <c r="BO169" t="e">
        <f>AND('UP133'!AV132,"AAAAAGv5vkI=")</f>
        <v>#VALUE!</v>
      </c>
      <c r="BP169" t="e">
        <f>AND('UP133'!AW132,"AAAAAGv5vkM=")</f>
        <v>#VALUE!</v>
      </c>
      <c r="BQ169" t="e">
        <f>AND('UP133'!AX132,"AAAAAGv5vkQ=")</f>
        <v>#VALUE!</v>
      </c>
      <c r="BR169" t="e">
        <f>AND('UP133'!AY132,"AAAAAGv5vkU=")</f>
        <v>#VALUE!</v>
      </c>
      <c r="BS169" t="e">
        <f>AND('UP133'!AZ132,"AAAAAGv5vkY=")</f>
        <v>#VALUE!</v>
      </c>
      <c r="BT169" t="e">
        <f>AND('UP133'!BA132,"AAAAAGv5vkc=")</f>
        <v>#VALUE!</v>
      </c>
      <c r="BU169" t="e">
        <f>AND('UP133'!BB132,"AAAAAGv5vkg=")</f>
        <v>#VALUE!</v>
      </c>
      <c r="BV169" t="e">
        <f>AND('UP133'!BC132,"AAAAAGv5vkk=")</f>
        <v>#VALUE!</v>
      </c>
      <c r="BW169" t="e">
        <f>AND('UP133'!BD132,"AAAAAGv5vko=")</f>
        <v>#VALUE!</v>
      </c>
      <c r="BX169" t="e">
        <f>AND('UP133'!BE132,"AAAAAGv5vks=")</f>
        <v>#VALUE!</v>
      </c>
      <c r="BY169" t="e">
        <f>AND('UP133'!BF132,"AAAAAGv5vkw=")</f>
        <v>#VALUE!</v>
      </c>
      <c r="BZ169" t="e">
        <f>AND('UP133'!BG132,"AAAAAGv5vk0=")</f>
        <v>#VALUE!</v>
      </c>
      <c r="CA169" t="e">
        <f>AND('UP133'!BH132,"AAAAAGv5vk4=")</f>
        <v>#VALUE!</v>
      </c>
      <c r="CB169" t="e">
        <f>AND('UP133'!BI132,"AAAAAGv5vk8=")</f>
        <v>#VALUE!</v>
      </c>
      <c r="CC169" t="e">
        <f>AND('UP133'!BJ132,"AAAAAGv5vlA=")</f>
        <v>#VALUE!</v>
      </c>
      <c r="CD169" t="e">
        <f>AND('UP133'!BK132,"AAAAAGv5vlE=")</f>
        <v>#VALUE!</v>
      </c>
      <c r="CE169" t="e">
        <f>AND('UP133'!BL132,"AAAAAGv5vlI=")</f>
        <v>#VALUE!</v>
      </c>
      <c r="CF169" t="e">
        <f>AND('UP133'!BM132,"AAAAAGv5vlM=")</f>
        <v>#VALUE!</v>
      </c>
      <c r="CG169" t="e">
        <f>AND('UP133'!BN132,"AAAAAGv5vlQ=")</f>
        <v>#VALUE!</v>
      </c>
      <c r="CH169" t="e">
        <f>AND('UP133'!BO132,"AAAAAGv5vlU=")</f>
        <v>#VALUE!</v>
      </c>
      <c r="CI169" t="e">
        <f>AND('UP133'!BP132,"AAAAAGv5vlY=")</f>
        <v>#VALUE!</v>
      </c>
      <c r="CJ169" t="e">
        <f>AND('UP133'!BQ132,"AAAAAGv5vlc=")</f>
        <v>#VALUE!</v>
      </c>
      <c r="CK169" t="e">
        <f>AND('UP133'!BR132,"AAAAAGv5vlg=")</f>
        <v>#VALUE!</v>
      </c>
      <c r="CL169" t="e">
        <f>AND('UP133'!BS132,"AAAAAGv5vlk=")</f>
        <v>#VALUE!</v>
      </c>
      <c r="CM169" t="e">
        <f>AND('UP133'!BT132,"AAAAAGv5vlo=")</f>
        <v>#VALUE!</v>
      </c>
      <c r="CN169" t="e">
        <f>AND('UP133'!BU132,"AAAAAGv5vls=")</f>
        <v>#VALUE!</v>
      </c>
      <c r="CO169" t="e">
        <f>AND('UP133'!BV132,"AAAAAGv5vlw=")</f>
        <v>#VALUE!</v>
      </c>
      <c r="CP169" t="e">
        <f>AND('UP133'!BW132,"AAAAAGv5vl0=")</f>
        <v>#VALUE!</v>
      </c>
      <c r="CQ169" t="e">
        <f>AND('UP133'!BX132,"AAAAAGv5vl4=")</f>
        <v>#VALUE!</v>
      </c>
      <c r="CR169" t="e">
        <f>AND('UP133'!BY132,"AAAAAGv5vl8=")</f>
        <v>#VALUE!</v>
      </c>
      <c r="CS169" t="e">
        <f>AND('UP133'!BZ132,"AAAAAGv5vmA=")</f>
        <v>#VALUE!</v>
      </c>
      <c r="CT169" t="e">
        <f>AND('UP133'!CA132,"AAAAAGv5vmE=")</f>
        <v>#VALUE!</v>
      </c>
      <c r="CU169" t="e">
        <f>AND('UP133'!CB132,"AAAAAGv5vmI=")</f>
        <v>#VALUE!</v>
      </c>
      <c r="CV169" t="e">
        <f>AND('UP133'!CC132,"AAAAAGv5vmM=")</f>
        <v>#VALUE!</v>
      </c>
      <c r="CW169" t="e">
        <f>AND('UP133'!CD132,"AAAAAGv5vmQ=")</f>
        <v>#VALUE!</v>
      </c>
      <c r="CX169" t="e">
        <f>AND('UP133'!CE132,"AAAAAGv5vmU=")</f>
        <v>#VALUE!</v>
      </c>
      <c r="CY169" t="e">
        <f>AND('UP133'!CF132,"AAAAAGv5vmY=")</f>
        <v>#VALUE!</v>
      </c>
      <c r="CZ169" t="e">
        <f>AND('UP133'!CG132,"AAAAAGv5vmc=")</f>
        <v>#VALUE!</v>
      </c>
      <c r="DA169" t="e">
        <f>AND('UP133'!CH132,"AAAAAGv5vmg=")</f>
        <v>#VALUE!</v>
      </c>
      <c r="DB169" t="e">
        <f>AND('UP133'!CI132,"AAAAAGv5vmk=")</f>
        <v>#VALUE!</v>
      </c>
      <c r="DC169" t="e">
        <f>AND('UP133'!CJ132,"AAAAAGv5vmo=")</f>
        <v>#VALUE!</v>
      </c>
      <c r="DD169" t="e">
        <f>AND('UP133'!CK132,"AAAAAGv5vms=")</f>
        <v>#VALUE!</v>
      </c>
      <c r="DE169" t="e">
        <f>AND('UP133'!CL132,"AAAAAGv5vmw=")</f>
        <v>#VALUE!</v>
      </c>
      <c r="DF169" t="e">
        <f>AND('UP133'!CM132,"AAAAAGv5vm0=")</f>
        <v>#VALUE!</v>
      </c>
      <c r="DG169" t="e">
        <f>AND('UP133'!CN132,"AAAAAGv5vm4=")</f>
        <v>#VALUE!</v>
      </c>
      <c r="DH169" t="e">
        <f>AND('UP133'!CO132,"AAAAAGv5vm8=")</f>
        <v>#VALUE!</v>
      </c>
      <c r="DI169" t="e">
        <f>AND('UP133'!CP132,"AAAAAGv5vnA=")</f>
        <v>#VALUE!</v>
      </c>
      <c r="DJ169" t="e">
        <f>AND('UP133'!CQ132,"AAAAAGv5vnE=")</f>
        <v>#VALUE!</v>
      </c>
      <c r="DK169" t="e">
        <f>AND('UP133'!CR132,"AAAAAGv5vnI=")</f>
        <v>#VALUE!</v>
      </c>
      <c r="DL169" t="e">
        <f>AND('UP133'!CS132,"AAAAAGv5vnM=")</f>
        <v>#VALUE!</v>
      </c>
      <c r="DM169" t="e">
        <f>AND('UP133'!CT132,"AAAAAGv5vnQ=")</f>
        <v>#VALUE!</v>
      </c>
      <c r="DN169" t="e">
        <f>AND('UP133'!CU132,"AAAAAGv5vnU=")</f>
        <v>#VALUE!</v>
      </c>
      <c r="DO169" t="e">
        <f>AND('UP133'!CV132,"AAAAAGv5vnY=")</f>
        <v>#VALUE!</v>
      </c>
      <c r="DP169" t="e">
        <f>AND('UP133'!CW132,"AAAAAGv5vnc=")</f>
        <v>#VALUE!</v>
      </c>
      <c r="DQ169" t="e">
        <f>AND('UP133'!CX132,"AAAAAGv5vng=")</f>
        <v>#VALUE!</v>
      </c>
      <c r="DR169" t="e">
        <f>AND('UP133'!CY132,"AAAAAGv5vnk=")</f>
        <v>#VALUE!</v>
      </c>
      <c r="DS169" t="e">
        <f>AND('UP133'!CZ132,"AAAAAGv5vno=")</f>
        <v>#VALUE!</v>
      </c>
      <c r="DT169" t="e">
        <f>AND('UP133'!DA132,"AAAAAGv5vns=")</f>
        <v>#VALUE!</v>
      </c>
      <c r="DU169" t="e">
        <f>AND('UP133'!DB132,"AAAAAGv5vnw=")</f>
        <v>#VALUE!</v>
      </c>
      <c r="DV169" t="e">
        <f>AND('UP133'!DC132,"AAAAAGv5vn0=")</f>
        <v>#VALUE!</v>
      </c>
      <c r="DW169" t="e">
        <f>AND('UP133'!DD132,"AAAAAGv5vn4=")</f>
        <v>#VALUE!</v>
      </c>
      <c r="DX169" t="e">
        <f>AND('UP133'!DE132,"AAAAAGv5vn8=")</f>
        <v>#VALUE!</v>
      </c>
      <c r="DY169" t="e">
        <f>AND('UP133'!DF132,"AAAAAGv5voA=")</f>
        <v>#VALUE!</v>
      </c>
      <c r="DZ169" t="e">
        <f>AND('UP133'!DG132,"AAAAAGv5voE=")</f>
        <v>#VALUE!</v>
      </c>
      <c r="EA169" t="e">
        <f>AND('UP133'!DH132,"AAAAAGv5voI=")</f>
        <v>#VALUE!</v>
      </c>
      <c r="EB169" t="e">
        <f>AND('UP133'!DI132,"AAAAAGv5voM=")</f>
        <v>#VALUE!</v>
      </c>
      <c r="EC169" t="e">
        <f>AND('UP133'!DJ132,"AAAAAGv5voQ=")</f>
        <v>#VALUE!</v>
      </c>
      <c r="ED169" t="e">
        <f>AND('UP133'!DK132,"AAAAAGv5voU=")</f>
        <v>#VALUE!</v>
      </c>
      <c r="EE169" t="e">
        <f>AND('UP133'!DL132,"AAAAAGv5voY=")</f>
        <v>#VALUE!</v>
      </c>
      <c r="EF169" t="e">
        <f>AND('UP133'!DM132,"AAAAAGv5voc=")</f>
        <v>#VALUE!</v>
      </c>
      <c r="EG169" t="e">
        <f>AND('UP133'!DN132,"AAAAAGv5vog=")</f>
        <v>#VALUE!</v>
      </c>
      <c r="EH169" t="e">
        <f>AND('UP133'!DO132,"AAAAAGv5vok=")</f>
        <v>#VALUE!</v>
      </c>
      <c r="EI169" t="e">
        <f>AND('UP133'!DP132,"AAAAAGv5voo=")</f>
        <v>#VALUE!</v>
      </c>
      <c r="EJ169" t="e">
        <f>AND('UP133'!DQ132,"AAAAAGv5vos=")</f>
        <v>#VALUE!</v>
      </c>
      <c r="EK169" t="e">
        <f>AND('UP133'!DR132,"AAAAAGv5vow=")</f>
        <v>#VALUE!</v>
      </c>
      <c r="EL169" t="e">
        <f>AND('UP133'!DS132,"AAAAAGv5vo0=")</f>
        <v>#VALUE!</v>
      </c>
      <c r="EM169" t="e">
        <f>AND('UP133'!DT132,"AAAAAGv5vo4=")</f>
        <v>#VALUE!</v>
      </c>
      <c r="EN169" t="e">
        <f>AND('UP133'!DU132,"AAAAAGv5vo8=")</f>
        <v>#VALUE!</v>
      </c>
      <c r="EO169" t="e">
        <f>AND('UP133'!DV132,"AAAAAGv5vpA=")</f>
        <v>#VALUE!</v>
      </c>
      <c r="EP169" t="e">
        <f>AND('UP133'!DW132,"AAAAAGv5vpE=")</f>
        <v>#VALUE!</v>
      </c>
      <c r="EQ169" t="e">
        <f>AND('UP133'!DX132,"AAAAAGv5vpI=")</f>
        <v>#VALUE!</v>
      </c>
      <c r="ER169" t="e">
        <f>AND('UP133'!DY132,"AAAAAGv5vpM=")</f>
        <v>#VALUE!</v>
      </c>
      <c r="ES169" t="e">
        <f>AND('UP133'!DZ132,"AAAAAGv5vpQ=")</f>
        <v>#VALUE!</v>
      </c>
      <c r="ET169" t="e">
        <f>AND('UP133'!EA132,"AAAAAGv5vpU=")</f>
        <v>#VALUE!</v>
      </c>
      <c r="EU169" t="e">
        <f>AND('UP133'!EB132,"AAAAAGv5vpY=")</f>
        <v>#VALUE!</v>
      </c>
      <c r="EV169" t="e">
        <f>AND('UP133'!EC132,"AAAAAGv5vpc=")</f>
        <v>#VALUE!</v>
      </c>
      <c r="EW169" t="e">
        <f>AND('UP133'!ED132,"AAAAAGv5vpg=")</f>
        <v>#VALUE!</v>
      </c>
      <c r="EX169" t="e">
        <f>AND('UP133'!EE132,"AAAAAGv5vpk=")</f>
        <v>#VALUE!</v>
      </c>
      <c r="EY169" t="e">
        <f>AND('UP133'!EF132,"AAAAAGv5vpo=")</f>
        <v>#VALUE!</v>
      </c>
      <c r="EZ169" t="e">
        <f>AND('UP133'!EG132,"AAAAAGv5vps=")</f>
        <v>#VALUE!</v>
      </c>
      <c r="FA169" t="e">
        <f>AND('UP133'!EH132,"AAAAAGv5vpw=")</f>
        <v>#VALUE!</v>
      </c>
      <c r="FB169" t="e">
        <f>AND('UP133'!EI132,"AAAAAGv5vp0=")</f>
        <v>#VALUE!</v>
      </c>
      <c r="FC169" t="e">
        <f>AND('UP133'!EJ132,"AAAAAGv5vp4=")</f>
        <v>#VALUE!</v>
      </c>
      <c r="FD169" t="e">
        <f>AND('UP133'!EK132,"AAAAAGv5vp8=")</f>
        <v>#VALUE!</v>
      </c>
      <c r="FE169" t="e">
        <f>AND('UP133'!EL132,"AAAAAGv5vqA=")</f>
        <v>#VALUE!</v>
      </c>
      <c r="FF169" t="e">
        <f>AND('UP133'!EM132,"AAAAAGv5vqE=")</f>
        <v>#VALUE!</v>
      </c>
      <c r="FG169" t="e">
        <f>AND('UP133'!EN132,"AAAAAGv5vqI=")</f>
        <v>#VALUE!</v>
      </c>
      <c r="FH169" t="e">
        <f>AND('UP133'!EO132,"AAAAAGv5vqM=")</f>
        <v>#VALUE!</v>
      </c>
      <c r="FI169" t="e">
        <f>AND('UP133'!EP132,"AAAAAGv5vqQ=")</f>
        <v>#VALUE!</v>
      </c>
      <c r="FJ169" t="e">
        <f>AND('UP133'!EQ132,"AAAAAGv5vqU=")</f>
        <v>#VALUE!</v>
      </c>
      <c r="FK169" t="e">
        <f>AND('UP133'!ER132,"AAAAAGv5vqY=")</f>
        <v>#VALUE!</v>
      </c>
      <c r="FL169" t="e">
        <f>AND('UP133'!ES132,"AAAAAGv5vqc=")</f>
        <v>#VALUE!</v>
      </c>
      <c r="FM169" t="e">
        <f>AND('UP133'!ET132,"AAAAAGv5vqg=")</f>
        <v>#VALUE!</v>
      </c>
      <c r="FN169" t="e">
        <f>AND('UP133'!EU132,"AAAAAGv5vqk=")</f>
        <v>#VALUE!</v>
      </c>
      <c r="FO169" t="e">
        <f>AND('UP133'!EV132,"AAAAAGv5vqo=")</f>
        <v>#VALUE!</v>
      </c>
      <c r="FP169" t="e">
        <f>AND('UP133'!EW132,"AAAAAGv5vqs=")</f>
        <v>#VALUE!</v>
      </c>
      <c r="FQ169" t="e">
        <f>AND('UP133'!EX132,"AAAAAGv5vqw=")</f>
        <v>#VALUE!</v>
      </c>
      <c r="FR169" t="e">
        <f>AND('UP133'!EY132,"AAAAAGv5vq0=")</f>
        <v>#VALUE!</v>
      </c>
      <c r="FS169" t="e">
        <f>AND('UP133'!EZ132,"AAAAAGv5vq4=")</f>
        <v>#VALUE!</v>
      </c>
      <c r="FT169" t="e">
        <f>AND('UP133'!FA132,"AAAAAGv5vq8=")</f>
        <v>#VALUE!</v>
      </c>
      <c r="FU169" t="e">
        <f>AND('UP133'!FB132,"AAAAAGv5vrA=")</f>
        <v>#VALUE!</v>
      </c>
      <c r="FV169" t="e">
        <f>AND('UP133'!FC132,"AAAAAGv5vrE=")</f>
        <v>#VALUE!</v>
      </c>
      <c r="FW169" t="e">
        <f>AND('UP133'!FD132,"AAAAAGv5vrI=")</f>
        <v>#VALUE!</v>
      </c>
      <c r="FX169" t="e">
        <f>AND('UP133'!FE132,"AAAAAGv5vrM=")</f>
        <v>#VALUE!</v>
      </c>
      <c r="FY169" t="e">
        <f>AND('UP133'!FF132,"AAAAAGv5vrQ=")</f>
        <v>#VALUE!</v>
      </c>
      <c r="FZ169" t="e">
        <f>AND('UP133'!FG132,"AAAAAGv5vrU=")</f>
        <v>#VALUE!</v>
      </c>
      <c r="GA169" t="e">
        <f>AND('UP133'!FH132,"AAAAAGv5vrY=")</f>
        <v>#VALUE!</v>
      </c>
      <c r="GB169" t="e">
        <f>AND('UP133'!FI132,"AAAAAGv5vrc=")</f>
        <v>#VALUE!</v>
      </c>
      <c r="GC169" t="e">
        <f>AND('UP133'!FJ132,"AAAAAGv5vrg=")</f>
        <v>#VALUE!</v>
      </c>
      <c r="GD169" t="e">
        <f>AND('UP133'!FK132,"AAAAAGv5vrk=")</f>
        <v>#VALUE!</v>
      </c>
      <c r="GE169" t="e">
        <f>AND('UP133'!FL132,"AAAAAGv5vro=")</f>
        <v>#VALUE!</v>
      </c>
      <c r="GF169" t="e">
        <f>AND('UP133'!FM132,"AAAAAGv5vrs=")</f>
        <v>#VALUE!</v>
      </c>
      <c r="GG169" t="e">
        <f>AND('UP133'!FN132,"AAAAAGv5vrw=")</f>
        <v>#VALUE!</v>
      </c>
      <c r="GH169" t="e">
        <f>AND('UP133'!FO132,"AAAAAGv5vr0=")</f>
        <v>#VALUE!</v>
      </c>
      <c r="GI169" t="e">
        <f>AND('UP133'!FP132,"AAAAAGv5vr4=")</f>
        <v>#VALUE!</v>
      </c>
      <c r="GJ169" t="e">
        <f>AND('UP133'!FQ132,"AAAAAGv5vr8=")</f>
        <v>#VALUE!</v>
      </c>
      <c r="GK169" t="e">
        <f>AND('UP133'!FR132,"AAAAAGv5vsA=")</f>
        <v>#VALUE!</v>
      </c>
      <c r="GL169" t="e">
        <f>AND('UP133'!FS132,"AAAAAGv5vsE=")</f>
        <v>#VALUE!</v>
      </c>
      <c r="GM169" t="e">
        <f>AND('UP133'!FT132,"AAAAAGv5vsI=")</f>
        <v>#VALUE!</v>
      </c>
      <c r="GN169" t="e">
        <f>AND('UP133'!FU132,"AAAAAGv5vsM=")</f>
        <v>#VALUE!</v>
      </c>
      <c r="GO169" t="e">
        <f>AND('UP133'!FV132,"AAAAAGv5vsQ=")</f>
        <v>#VALUE!</v>
      </c>
      <c r="GP169" t="e">
        <f>AND('UP133'!FW132,"AAAAAGv5vsU=")</f>
        <v>#VALUE!</v>
      </c>
      <c r="GQ169" t="e">
        <f>AND('UP133'!FX132,"AAAAAGv5vsY=")</f>
        <v>#VALUE!</v>
      </c>
      <c r="GR169" t="e">
        <f>AND('UP133'!FY132,"AAAAAGv5vsc=")</f>
        <v>#VALUE!</v>
      </c>
      <c r="GS169" t="e">
        <f>AND('UP133'!FZ132,"AAAAAGv5vsg=")</f>
        <v>#VALUE!</v>
      </c>
      <c r="GT169" t="e">
        <f>AND('UP133'!GA132,"AAAAAGv5vsk=")</f>
        <v>#VALUE!</v>
      </c>
      <c r="GU169" t="e">
        <f>AND('UP133'!GB132,"AAAAAGv5vso=")</f>
        <v>#VALUE!</v>
      </c>
      <c r="GV169" t="e">
        <f>AND('UP133'!GC132,"AAAAAGv5vss=")</f>
        <v>#VALUE!</v>
      </c>
      <c r="GW169" t="e">
        <f>AND('UP133'!GD132,"AAAAAGv5vsw=")</f>
        <v>#VALUE!</v>
      </c>
      <c r="GX169" t="e">
        <f>AND('UP133'!GE132,"AAAAAGv5vs0=")</f>
        <v>#VALUE!</v>
      </c>
      <c r="GY169" t="e">
        <f>AND('UP133'!GF132,"AAAAAGv5vs4=")</f>
        <v>#VALUE!</v>
      </c>
      <c r="GZ169" t="e">
        <f>AND('UP133'!GG132,"AAAAAGv5vs8=")</f>
        <v>#VALUE!</v>
      </c>
      <c r="HA169" t="e">
        <f>AND('UP133'!GH132,"AAAAAGv5vtA=")</f>
        <v>#VALUE!</v>
      </c>
      <c r="HB169" t="e">
        <f>AND('UP133'!GI132,"AAAAAGv5vtE=")</f>
        <v>#VALUE!</v>
      </c>
      <c r="HC169" t="e">
        <f>AND('UP133'!GJ132,"AAAAAGv5vtI=")</f>
        <v>#VALUE!</v>
      </c>
      <c r="HD169" t="e">
        <f>AND('UP133'!GK132,"AAAAAGv5vtM=")</f>
        <v>#VALUE!</v>
      </c>
      <c r="HE169" t="e">
        <f>AND('UP133'!GL132,"AAAAAGv5vtQ=")</f>
        <v>#VALUE!</v>
      </c>
      <c r="HF169" t="e">
        <f>AND('UP133'!GM132,"AAAAAGv5vtU=")</f>
        <v>#VALUE!</v>
      </c>
      <c r="HG169" t="e">
        <f>AND('UP133'!GN132,"AAAAAGv5vtY=")</f>
        <v>#VALUE!</v>
      </c>
      <c r="HH169" t="e">
        <f>AND('UP133'!GO132,"AAAAAGv5vtc=")</f>
        <v>#VALUE!</v>
      </c>
      <c r="HI169" t="e">
        <f>AND('UP133'!GP132,"AAAAAGv5vtg=")</f>
        <v>#VALUE!</v>
      </c>
      <c r="HJ169" t="e">
        <f>AND('UP133'!GQ132,"AAAAAGv5vtk=")</f>
        <v>#VALUE!</v>
      </c>
      <c r="HK169" t="e">
        <f>AND('UP133'!GR132,"AAAAAGv5vto=")</f>
        <v>#VALUE!</v>
      </c>
      <c r="HL169" t="e">
        <f>AND('UP133'!GS132,"AAAAAGv5vts=")</f>
        <v>#VALUE!</v>
      </c>
      <c r="HM169" t="e">
        <f>AND('UP133'!GT132,"AAAAAGv5vtw=")</f>
        <v>#VALUE!</v>
      </c>
      <c r="HN169" t="e">
        <f>AND('UP133'!GU132,"AAAAAGv5vt0=")</f>
        <v>#VALUE!</v>
      </c>
      <c r="HO169" t="e">
        <f>AND('UP133'!GV132,"AAAAAGv5vt4=")</f>
        <v>#VALUE!</v>
      </c>
      <c r="HP169" t="e">
        <f>AND('UP133'!GW132,"AAAAAGv5vt8=")</f>
        <v>#VALUE!</v>
      </c>
      <c r="HQ169" t="e">
        <f>AND('UP133'!GX132,"AAAAAGv5vuA=")</f>
        <v>#VALUE!</v>
      </c>
      <c r="HR169" t="e">
        <f>AND('UP133'!GY132,"AAAAAGv5vuE=")</f>
        <v>#VALUE!</v>
      </c>
      <c r="HS169" t="e">
        <f>AND('UP133'!GZ132,"AAAAAGv5vuI=")</f>
        <v>#VALUE!</v>
      </c>
      <c r="HT169" t="e">
        <f>AND('UP133'!HA132,"AAAAAGv5vuM=")</f>
        <v>#VALUE!</v>
      </c>
      <c r="HU169" t="e">
        <f>AND('UP133'!HB132,"AAAAAGv5vuQ=")</f>
        <v>#VALUE!</v>
      </c>
      <c r="HV169" t="e">
        <f>AND('UP133'!HC132,"AAAAAGv5vuU=")</f>
        <v>#VALUE!</v>
      </c>
      <c r="HW169" t="e">
        <f>AND('UP133'!HD132,"AAAAAGv5vuY=")</f>
        <v>#VALUE!</v>
      </c>
      <c r="HX169" t="e">
        <f>AND('UP133'!HE132,"AAAAAGv5vuc=")</f>
        <v>#VALUE!</v>
      </c>
      <c r="HY169" t="e">
        <f>AND('UP133'!HF132,"AAAAAGv5vug=")</f>
        <v>#VALUE!</v>
      </c>
      <c r="HZ169" t="e">
        <f>AND('UP133'!HG132,"AAAAAGv5vuk=")</f>
        <v>#VALUE!</v>
      </c>
      <c r="IA169" t="e">
        <f>AND('UP133'!HH132,"AAAAAGv5vuo=")</f>
        <v>#VALUE!</v>
      </c>
      <c r="IB169" t="e">
        <f>AND('UP133'!HI132,"AAAAAGv5vus=")</f>
        <v>#VALUE!</v>
      </c>
      <c r="IC169" t="e">
        <f>AND('UP133'!HJ132,"AAAAAGv5vuw=")</f>
        <v>#VALUE!</v>
      </c>
      <c r="ID169" t="e">
        <f>AND('UP133'!HK132,"AAAAAGv5vu0=")</f>
        <v>#VALUE!</v>
      </c>
      <c r="IE169" t="e">
        <f>AND('UP133'!HL132,"AAAAAGv5vu4=")</f>
        <v>#VALUE!</v>
      </c>
      <c r="IF169" t="e">
        <f>AND('UP133'!HM132,"AAAAAGv5vu8=")</f>
        <v>#VALUE!</v>
      </c>
      <c r="IG169" t="e">
        <f>AND('UP133'!HN132,"AAAAAGv5vvA=")</f>
        <v>#VALUE!</v>
      </c>
      <c r="IH169" t="e">
        <f>AND('UP133'!HO132,"AAAAAGv5vvE=")</f>
        <v>#VALUE!</v>
      </c>
      <c r="II169" t="e">
        <f>AND('UP133'!HP132,"AAAAAGv5vvI=")</f>
        <v>#VALUE!</v>
      </c>
      <c r="IJ169" t="e">
        <f>AND('UP133'!HQ132,"AAAAAGv5vvM=")</f>
        <v>#VALUE!</v>
      </c>
      <c r="IK169" t="e">
        <f>AND('UP133'!HR132,"AAAAAGv5vvQ=")</f>
        <v>#VALUE!</v>
      </c>
      <c r="IL169" t="e">
        <f>AND('UP133'!HS132,"AAAAAGv5vvU=")</f>
        <v>#VALUE!</v>
      </c>
      <c r="IM169" t="e">
        <f>AND('UP133'!HT132,"AAAAAGv5vvY=")</f>
        <v>#VALUE!</v>
      </c>
      <c r="IN169" t="e">
        <f>AND('UP133'!HU132,"AAAAAGv5vvc=")</f>
        <v>#VALUE!</v>
      </c>
      <c r="IO169" t="e">
        <f>AND('UP133'!HV132,"AAAAAGv5vvg=")</f>
        <v>#VALUE!</v>
      </c>
      <c r="IP169" t="e">
        <f>AND('UP133'!HW132,"AAAAAGv5vvk=")</f>
        <v>#VALUE!</v>
      </c>
      <c r="IQ169" t="e">
        <f>AND('UP133'!HX132,"AAAAAGv5vvo=")</f>
        <v>#VALUE!</v>
      </c>
      <c r="IR169" t="e">
        <f>AND('UP133'!HY132,"AAAAAGv5vvs=")</f>
        <v>#VALUE!</v>
      </c>
      <c r="IS169" t="e">
        <f>AND('UP133'!HZ132,"AAAAAGv5vvw=")</f>
        <v>#VALUE!</v>
      </c>
      <c r="IT169" t="e">
        <f>AND('UP133'!IA132,"AAAAAGv5vv0=")</f>
        <v>#VALUE!</v>
      </c>
      <c r="IU169" t="e">
        <f>AND('UP133'!IB132,"AAAAAGv5vv4=")</f>
        <v>#VALUE!</v>
      </c>
      <c r="IV169" t="e">
        <f>AND('UP133'!IC132,"AAAAAGv5vv8=")</f>
        <v>#VALUE!</v>
      </c>
    </row>
    <row r="170" spans="1:256">
      <c r="A170" t="e">
        <f>AND('UP133'!ID132,"AAAAAG9mvQA=")</f>
        <v>#VALUE!</v>
      </c>
      <c r="B170" t="e">
        <f>AND('UP133'!IE132,"AAAAAG9mvQE=")</f>
        <v>#VALUE!</v>
      </c>
      <c r="C170" t="e">
        <f>AND('UP133'!IF132,"AAAAAG9mvQI=")</f>
        <v>#VALUE!</v>
      </c>
      <c r="D170" t="e">
        <f>AND('UP133'!IG132,"AAAAAG9mvQM=")</f>
        <v>#VALUE!</v>
      </c>
      <c r="E170" t="e">
        <f>AND('UP133'!IH132,"AAAAAG9mvQQ=")</f>
        <v>#VALUE!</v>
      </c>
      <c r="F170" t="e">
        <f>AND('UP133'!II132,"AAAAAG9mvQU=")</f>
        <v>#VALUE!</v>
      </c>
      <c r="G170" t="e">
        <f>AND('UP133'!IJ132,"AAAAAG9mvQY=")</f>
        <v>#VALUE!</v>
      </c>
      <c r="H170" t="e">
        <f>AND('UP133'!IK132,"AAAAAG9mvQc=")</f>
        <v>#VALUE!</v>
      </c>
      <c r="I170" t="e">
        <f>AND('UP133'!IL132,"AAAAAG9mvQg=")</f>
        <v>#VALUE!</v>
      </c>
      <c r="J170" t="e">
        <f>AND('UP133'!IM132,"AAAAAG9mvQk=")</f>
        <v>#VALUE!</v>
      </c>
      <c r="K170" t="e">
        <f>AND('UP133'!IN132,"AAAAAG9mvQo=")</f>
        <v>#VALUE!</v>
      </c>
      <c r="L170" t="e">
        <f>AND('UP133'!IO132,"AAAAAG9mvQs=")</f>
        <v>#VALUE!</v>
      </c>
      <c r="M170" t="e">
        <f>AND('UP133'!IP132,"AAAAAG9mvQw=")</f>
        <v>#VALUE!</v>
      </c>
      <c r="N170" t="e">
        <f>AND('UP133'!IQ132,"AAAAAG9mvQ0=")</f>
        <v>#VALUE!</v>
      </c>
      <c r="O170">
        <f>IF('UP133'!133:133,"AAAAAG9mvQ4=",0)</f>
        <v>0</v>
      </c>
      <c r="P170" t="e">
        <f>AND('UP133'!A133,"AAAAAG9mvQ8=")</f>
        <v>#VALUE!</v>
      </c>
      <c r="Q170" t="e">
        <f>AND('UP133'!B133,"AAAAAG9mvRA=")</f>
        <v>#VALUE!</v>
      </c>
      <c r="R170" t="e">
        <f>AND('UP133'!C133,"AAAAAG9mvRE=")</f>
        <v>#VALUE!</v>
      </c>
      <c r="S170" t="e">
        <f>AND('UP133'!D133,"AAAAAG9mvRI=")</f>
        <v>#VALUE!</v>
      </c>
      <c r="T170" t="e">
        <f>AND('UP133'!E133,"AAAAAG9mvRM=")</f>
        <v>#VALUE!</v>
      </c>
      <c r="U170" t="e">
        <f>AND('UP133'!F133,"AAAAAG9mvRQ=")</f>
        <v>#VALUE!</v>
      </c>
      <c r="V170" t="e">
        <f>AND('UP133'!G133,"AAAAAG9mvRU=")</f>
        <v>#VALUE!</v>
      </c>
      <c r="W170" t="e">
        <f>AND('UP133'!H133,"AAAAAG9mvRY=")</f>
        <v>#VALUE!</v>
      </c>
      <c r="X170" t="e">
        <f>AND('UP133'!I133,"AAAAAG9mvRc=")</f>
        <v>#VALUE!</v>
      </c>
      <c r="Y170" t="e">
        <f>AND('UP133'!J133,"AAAAAG9mvRg=")</f>
        <v>#VALUE!</v>
      </c>
      <c r="Z170" t="e">
        <f>AND('UP133'!K133,"AAAAAG9mvRk=")</f>
        <v>#VALUE!</v>
      </c>
      <c r="AA170" t="e">
        <f>AND('UP133'!L133,"AAAAAG9mvRo=")</f>
        <v>#VALUE!</v>
      </c>
      <c r="AB170" t="e">
        <f>AND('UP133'!M133,"AAAAAG9mvRs=")</f>
        <v>#VALUE!</v>
      </c>
      <c r="AC170" t="e">
        <f>AND('UP133'!N133,"AAAAAG9mvRw=")</f>
        <v>#VALUE!</v>
      </c>
      <c r="AD170" t="e">
        <f>AND('UP133'!O133,"AAAAAG9mvR0=")</f>
        <v>#VALUE!</v>
      </c>
      <c r="AE170" t="e">
        <f>AND('UP133'!P133,"AAAAAG9mvR4=")</f>
        <v>#VALUE!</v>
      </c>
      <c r="AF170" t="e">
        <f>AND('UP133'!Q133,"AAAAAG9mvR8=")</f>
        <v>#VALUE!</v>
      </c>
      <c r="AG170" t="e">
        <f>AND('UP133'!R133,"AAAAAG9mvSA=")</f>
        <v>#VALUE!</v>
      </c>
      <c r="AH170" t="e">
        <f>AND('UP133'!S133,"AAAAAG9mvSE=")</f>
        <v>#VALUE!</v>
      </c>
      <c r="AI170" t="e">
        <f>AND('UP133'!T133,"AAAAAG9mvSI=")</f>
        <v>#VALUE!</v>
      </c>
      <c r="AJ170" t="e">
        <f>AND('UP133'!U133,"AAAAAG9mvSM=")</f>
        <v>#VALUE!</v>
      </c>
      <c r="AK170" t="e">
        <f>AND('UP133'!V133,"AAAAAG9mvSQ=")</f>
        <v>#VALUE!</v>
      </c>
      <c r="AL170" t="e">
        <f>AND('UP133'!W133,"AAAAAG9mvSU=")</f>
        <v>#VALUE!</v>
      </c>
      <c r="AM170" t="e">
        <f>AND('UP133'!X133,"AAAAAG9mvSY=")</f>
        <v>#VALUE!</v>
      </c>
      <c r="AN170" t="e">
        <f>AND('UP133'!Y133,"AAAAAG9mvSc=")</f>
        <v>#VALUE!</v>
      </c>
      <c r="AO170" t="e">
        <f>AND('UP133'!Z133,"AAAAAG9mvSg=")</f>
        <v>#VALUE!</v>
      </c>
      <c r="AP170" t="e">
        <f>AND('UP133'!AA133,"AAAAAG9mvSk=")</f>
        <v>#VALUE!</v>
      </c>
      <c r="AQ170" t="e">
        <f>AND('UP133'!AB133,"AAAAAG9mvSo=")</f>
        <v>#VALUE!</v>
      </c>
      <c r="AR170" t="e">
        <f>AND('UP133'!AC133,"AAAAAG9mvSs=")</f>
        <v>#VALUE!</v>
      </c>
      <c r="AS170" t="e">
        <f>AND('UP133'!AD133,"AAAAAG9mvSw=")</f>
        <v>#VALUE!</v>
      </c>
      <c r="AT170" t="e">
        <f>AND('UP133'!AE133,"AAAAAG9mvS0=")</f>
        <v>#VALUE!</v>
      </c>
      <c r="AU170" t="e">
        <f>AND('UP133'!AF133,"AAAAAG9mvS4=")</f>
        <v>#VALUE!</v>
      </c>
      <c r="AV170" t="e">
        <f>AND('UP133'!AG133,"AAAAAG9mvS8=")</f>
        <v>#VALUE!</v>
      </c>
      <c r="AW170" t="e">
        <f>AND('UP133'!AH133,"AAAAAG9mvTA=")</f>
        <v>#VALUE!</v>
      </c>
      <c r="AX170" t="e">
        <f>AND('UP133'!AI133,"AAAAAG9mvTE=")</f>
        <v>#VALUE!</v>
      </c>
      <c r="AY170" t="e">
        <f>AND('UP133'!AJ133,"AAAAAG9mvTI=")</f>
        <v>#VALUE!</v>
      </c>
      <c r="AZ170" t="e">
        <f>AND('UP133'!AK133,"AAAAAG9mvTM=")</f>
        <v>#VALUE!</v>
      </c>
      <c r="BA170" t="e">
        <f>AND('UP133'!AL133,"AAAAAG9mvTQ=")</f>
        <v>#VALUE!</v>
      </c>
      <c r="BB170" t="e">
        <f>AND('UP133'!AM133,"AAAAAG9mvTU=")</f>
        <v>#VALUE!</v>
      </c>
      <c r="BC170" t="e">
        <f>AND('UP133'!AN133,"AAAAAG9mvTY=")</f>
        <v>#VALUE!</v>
      </c>
      <c r="BD170" t="e">
        <f>AND('UP133'!AO133,"AAAAAG9mvTc=")</f>
        <v>#VALUE!</v>
      </c>
      <c r="BE170" t="e">
        <f>AND('UP133'!AP133,"AAAAAG9mvTg=")</f>
        <v>#VALUE!</v>
      </c>
      <c r="BF170" t="e">
        <f>AND('UP133'!AQ133,"AAAAAG9mvTk=")</f>
        <v>#VALUE!</v>
      </c>
      <c r="BG170" t="e">
        <f>AND('UP133'!AR133,"AAAAAG9mvTo=")</f>
        <v>#VALUE!</v>
      </c>
      <c r="BH170" t="e">
        <f>AND('UP133'!AS133,"AAAAAG9mvTs=")</f>
        <v>#VALUE!</v>
      </c>
      <c r="BI170" t="e">
        <f>AND('UP133'!AT133,"AAAAAG9mvTw=")</f>
        <v>#VALUE!</v>
      </c>
      <c r="BJ170" t="e">
        <f>AND('UP133'!AU133,"AAAAAG9mvT0=")</f>
        <v>#VALUE!</v>
      </c>
      <c r="BK170" t="e">
        <f>AND('UP133'!AV133,"AAAAAG9mvT4=")</f>
        <v>#VALUE!</v>
      </c>
      <c r="BL170" t="e">
        <f>AND('UP133'!AW133,"AAAAAG9mvT8=")</f>
        <v>#VALUE!</v>
      </c>
      <c r="BM170" t="e">
        <f>AND('UP133'!AX133,"AAAAAG9mvUA=")</f>
        <v>#VALUE!</v>
      </c>
      <c r="BN170" t="e">
        <f>AND('UP133'!AY133,"AAAAAG9mvUE=")</f>
        <v>#VALUE!</v>
      </c>
      <c r="BO170" t="e">
        <f>AND('UP133'!AZ133,"AAAAAG9mvUI=")</f>
        <v>#VALUE!</v>
      </c>
      <c r="BP170" t="e">
        <f>AND('UP133'!BA133,"AAAAAG9mvUM=")</f>
        <v>#VALUE!</v>
      </c>
      <c r="BQ170" t="e">
        <f>AND('UP133'!BB133,"AAAAAG9mvUQ=")</f>
        <v>#VALUE!</v>
      </c>
      <c r="BR170" t="e">
        <f>AND('UP133'!BC133,"AAAAAG9mvUU=")</f>
        <v>#VALUE!</v>
      </c>
      <c r="BS170" t="e">
        <f>AND('UP133'!BD133,"AAAAAG9mvUY=")</f>
        <v>#VALUE!</v>
      </c>
      <c r="BT170" t="e">
        <f>AND('UP133'!BE133,"AAAAAG9mvUc=")</f>
        <v>#VALUE!</v>
      </c>
      <c r="BU170" t="e">
        <f>AND('UP133'!BF133,"AAAAAG9mvUg=")</f>
        <v>#VALUE!</v>
      </c>
      <c r="BV170" t="e">
        <f>AND('UP133'!BG133,"AAAAAG9mvUk=")</f>
        <v>#VALUE!</v>
      </c>
      <c r="BW170" t="e">
        <f>AND('UP133'!BH133,"AAAAAG9mvUo=")</f>
        <v>#VALUE!</v>
      </c>
      <c r="BX170" t="e">
        <f>AND('UP133'!BI133,"AAAAAG9mvUs=")</f>
        <v>#VALUE!</v>
      </c>
      <c r="BY170" t="e">
        <f>AND('UP133'!BJ133,"AAAAAG9mvUw=")</f>
        <v>#VALUE!</v>
      </c>
      <c r="BZ170" t="e">
        <f>AND('UP133'!BK133,"AAAAAG9mvU0=")</f>
        <v>#VALUE!</v>
      </c>
      <c r="CA170" t="e">
        <f>AND('UP133'!BL133,"AAAAAG9mvU4=")</f>
        <v>#VALUE!</v>
      </c>
      <c r="CB170" t="e">
        <f>AND('UP133'!BM133,"AAAAAG9mvU8=")</f>
        <v>#VALUE!</v>
      </c>
      <c r="CC170" t="e">
        <f>AND('UP133'!BN133,"AAAAAG9mvVA=")</f>
        <v>#VALUE!</v>
      </c>
      <c r="CD170" t="e">
        <f>AND('UP133'!BO133,"AAAAAG9mvVE=")</f>
        <v>#VALUE!</v>
      </c>
      <c r="CE170" t="e">
        <f>AND('UP133'!BP133,"AAAAAG9mvVI=")</f>
        <v>#VALUE!</v>
      </c>
      <c r="CF170" t="e">
        <f>AND('UP133'!BQ133,"AAAAAG9mvVM=")</f>
        <v>#VALUE!</v>
      </c>
      <c r="CG170" t="e">
        <f>AND('UP133'!BR133,"AAAAAG9mvVQ=")</f>
        <v>#VALUE!</v>
      </c>
      <c r="CH170" t="e">
        <f>AND('UP133'!BS133,"AAAAAG9mvVU=")</f>
        <v>#VALUE!</v>
      </c>
      <c r="CI170" t="e">
        <f>AND('UP133'!BT133,"AAAAAG9mvVY=")</f>
        <v>#VALUE!</v>
      </c>
      <c r="CJ170" t="e">
        <f>AND('UP133'!BU133,"AAAAAG9mvVc=")</f>
        <v>#VALUE!</v>
      </c>
      <c r="CK170" t="e">
        <f>AND('UP133'!BV133,"AAAAAG9mvVg=")</f>
        <v>#VALUE!</v>
      </c>
      <c r="CL170" t="e">
        <f>AND('UP133'!BW133,"AAAAAG9mvVk=")</f>
        <v>#VALUE!</v>
      </c>
      <c r="CM170" t="e">
        <f>AND('UP133'!BX133,"AAAAAG9mvVo=")</f>
        <v>#VALUE!</v>
      </c>
      <c r="CN170" t="e">
        <f>AND('UP133'!BY133,"AAAAAG9mvVs=")</f>
        <v>#VALUE!</v>
      </c>
      <c r="CO170" t="e">
        <f>AND('UP133'!BZ133,"AAAAAG9mvVw=")</f>
        <v>#VALUE!</v>
      </c>
      <c r="CP170" t="e">
        <f>AND('UP133'!CA133,"AAAAAG9mvV0=")</f>
        <v>#VALUE!</v>
      </c>
      <c r="CQ170" t="e">
        <f>AND('UP133'!CB133,"AAAAAG9mvV4=")</f>
        <v>#VALUE!</v>
      </c>
      <c r="CR170" t="e">
        <f>AND('UP133'!CC133,"AAAAAG9mvV8=")</f>
        <v>#VALUE!</v>
      </c>
      <c r="CS170" t="e">
        <f>AND('UP133'!CD133,"AAAAAG9mvWA=")</f>
        <v>#VALUE!</v>
      </c>
      <c r="CT170" t="e">
        <f>AND('UP133'!CE133,"AAAAAG9mvWE=")</f>
        <v>#VALUE!</v>
      </c>
      <c r="CU170" t="e">
        <f>AND('UP133'!CF133,"AAAAAG9mvWI=")</f>
        <v>#VALUE!</v>
      </c>
      <c r="CV170" t="e">
        <f>AND('UP133'!CG133,"AAAAAG9mvWM=")</f>
        <v>#VALUE!</v>
      </c>
      <c r="CW170" t="e">
        <f>AND('UP133'!CH133,"AAAAAG9mvWQ=")</f>
        <v>#VALUE!</v>
      </c>
      <c r="CX170" t="e">
        <f>AND('UP133'!CI133,"AAAAAG9mvWU=")</f>
        <v>#VALUE!</v>
      </c>
      <c r="CY170" t="e">
        <f>AND('UP133'!CJ133,"AAAAAG9mvWY=")</f>
        <v>#VALUE!</v>
      </c>
      <c r="CZ170" t="e">
        <f>AND('UP133'!CK133,"AAAAAG9mvWc=")</f>
        <v>#VALUE!</v>
      </c>
      <c r="DA170" t="e">
        <f>AND('UP133'!CL133,"AAAAAG9mvWg=")</f>
        <v>#VALUE!</v>
      </c>
      <c r="DB170" t="e">
        <f>AND('UP133'!CM133,"AAAAAG9mvWk=")</f>
        <v>#VALUE!</v>
      </c>
      <c r="DC170" t="e">
        <f>AND('UP133'!CN133,"AAAAAG9mvWo=")</f>
        <v>#VALUE!</v>
      </c>
      <c r="DD170" t="e">
        <f>AND('UP133'!CO133,"AAAAAG9mvWs=")</f>
        <v>#VALUE!</v>
      </c>
      <c r="DE170" t="e">
        <f>AND('UP133'!CP133,"AAAAAG9mvWw=")</f>
        <v>#VALUE!</v>
      </c>
      <c r="DF170" t="e">
        <f>AND('UP133'!CQ133,"AAAAAG9mvW0=")</f>
        <v>#VALUE!</v>
      </c>
      <c r="DG170" t="e">
        <f>AND('UP133'!CR133,"AAAAAG9mvW4=")</f>
        <v>#VALUE!</v>
      </c>
      <c r="DH170" t="e">
        <f>AND('UP133'!CS133,"AAAAAG9mvW8=")</f>
        <v>#VALUE!</v>
      </c>
      <c r="DI170" t="e">
        <f>AND('UP133'!CT133,"AAAAAG9mvXA=")</f>
        <v>#VALUE!</v>
      </c>
      <c r="DJ170" t="e">
        <f>AND('UP133'!CU133,"AAAAAG9mvXE=")</f>
        <v>#VALUE!</v>
      </c>
      <c r="DK170" t="e">
        <f>AND('UP133'!CV133,"AAAAAG9mvXI=")</f>
        <v>#VALUE!</v>
      </c>
      <c r="DL170" t="e">
        <f>AND('UP133'!CW133,"AAAAAG9mvXM=")</f>
        <v>#VALUE!</v>
      </c>
      <c r="DM170" t="e">
        <f>AND('UP133'!CX133,"AAAAAG9mvXQ=")</f>
        <v>#VALUE!</v>
      </c>
      <c r="DN170" t="e">
        <f>AND('UP133'!CY133,"AAAAAG9mvXU=")</f>
        <v>#VALUE!</v>
      </c>
      <c r="DO170" t="e">
        <f>AND('UP133'!CZ133,"AAAAAG9mvXY=")</f>
        <v>#VALUE!</v>
      </c>
      <c r="DP170" t="e">
        <f>AND('UP133'!DA133,"AAAAAG9mvXc=")</f>
        <v>#VALUE!</v>
      </c>
      <c r="DQ170" t="e">
        <f>AND('UP133'!DB133,"AAAAAG9mvXg=")</f>
        <v>#VALUE!</v>
      </c>
      <c r="DR170" t="e">
        <f>AND('UP133'!DC133,"AAAAAG9mvXk=")</f>
        <v>#VALUE!</v>
      </c>
      <c r="DS170" t="e">
        <f>AND('UP133'!DD133,"AAAAAG9mvXo=")</f>
        <v>#VALUE!</v>
      </c>
      <c r="DT170" t="e">
        <f>AND('UP133'!DE133,"AAAAAG9mvXs=")</f>
        <v>#VALUE!</v>
      </c>
      <c r="DU170" t="e">
        <f>AND('UP133'!DF133,"AAAAAG9mvXw=")</f>
        <v>#VALUE!</v>
      </c>
      <c r="DV170" t="e">
        <f>AND('UP133'!DG133,"AAAAAG9mvX0=")</f>
        <v>#VALUE!</v>
      </c>
      <c r="DW170" t="e">
        <f>AND('UP133'!DH133,"AAAAAG9mvX4=")</f>
        <v>#VALUE!</v>
      </c>
      <c r="DX170" t="e">
        <f>AND('UP133'!DI133,"AAAAAG9mvX8=")</f>
        <v>#VALUE!</v>
      </c>
      <c r="DY170" t="e">
        <f>AND('UP133'!DJ133,"AAAAAG9mvYA=")</f>
        <v>#VALUE!</v>
      </c>
      <c r="DZ170" t="e">
        <f>AND('UP133'!DK133,"AAAAAG9mvYE=")</f>
        <v>#VALUE!</v>
      </c>
      <c r="EA170" t="e">
        <f>AND('UP133'!DL133,"AAAAAG9mvYI=")</f>
        <v>#VALUE!</v>
      </c>
      <c r="EB170" t="e">
        <f>AND('UP133'!DM133,"AAAAAG9mvYM=")</f>
        <v>#VALUE!</v>
      </c>
      <c r="EC170" t="e">
        <f>AND('UP133'!DN133,"AAAAAG9mvYQ=")</f>
        <v>#VALUE!</v>
      </c>
      <c r="ED170" t="e">
        <f>AND('UP133'!DO133,"AAAAAG9mvYU=")</f>
        <v>#VALUE!</v>
      </c>
      <c r="EE170" t="e">
        <f>AND('UP133'!DP133,"AAAAAG9mvYY=")</f>
        <v>#VALUE!</v>
      </c>
      <c r="EF170" t="e">
        <f>AND('UP133'!DQ133,"AAAAAG9mvYc=")</f>
        <v>#VALUE!</v>
      </c>
      <c r="EG170" t="e">
        <f>AND('UP133'!DR133,"AAAAAG9mvYg=")</f>
        <v>#VALUE!</v>
      </c>
      <c r="EH170" t="e">
        <f>AND('UP133'!DS133,"AAAAAG9mvYk=")</f>
        <v>#VALUE!</v>
      </c>
      <c r="EI170" t="e">
        <f>AND('UP133'!DT133,"AAAAAG9mvYo=")</f>
        <v>#VALUE!</v>
      </c>
      <c r="EJ170" t="e">
        <f>AND('UP133'!DU133,"AAAAAG9mvYs=")</f>
        <v>#VALUE!</v>
      </c>
      <c r="EK170" t="e">
        <f>AND('UP133'!DV133,"AAAAAG9mvYw=")</f>
        <v>#VALUE!</v>
      </c>
      <c r="EL170" t="e">
        <f>AND('UP133'!DW133,"AAAAAG9mvY0=")</f>
        <v>#VALUE!</v>
      </c>
      <c r="EM170" t="e">
        <f>AND('UP133'!DX133,"AAAAAG9mvY4=")</f>
        <v>#VALUE!</v>
      </c>
      <c r="EN170" t="e">
        <f>AND('UP133'!DY133,"AAAAAG9mvY8=")</f>
        <v>#VALUE!</v>
      </c>
      <c r="EO170" t="e">
        <f>AND('UP133'!DZ133,"AAAAAG9mvZA=")</f>
        <v>#VALUE!</v>
      </c>
      <c r="EP170" t="e">
        <f>AND('UP133'!EA133,"AAAAAG9mvZE=")</f>
        <v>#VALUE!</v>
      </c>
      <c r="EQ170" t="e">
        <f>AND('UP133'!EB133,"AAAAAG9mvZI=")</f>
        <v>#VALUE!</v>
      </c>
      <c r="ER170" t="e">
        <f>AND('UP133'!EC133,"AAAAAG9mvZM=")</f>
        <v>#VALUE!</v>
      </c>
      <c r="ES170" t="e">
        <f>AND('UP133'!ED133,"AAAAAG9mvZQ=")</f>
        <v>#VALUE!</v>
      </c>
      <c r="ET170" t="e">
        <f>AND('UP133'!EE133,"AAAAAG9mvZU=")</f>
        <v>#VALUE!</v>
      </c>
      <c r="EU170" t="e">
        <f>AND('UP133'!EF133,"AAAAAG9mvZY=")</f>
        <v>#VALUE!</v>
      </c>
      <c r="EV170" t="e">
        <f>AND('UP133'!EG133,"AAAAAG9mvZc=")</f>
        <v>#VALUE!</v>
      </c>
      <c r="EW170" t="e">
        <f>AND('UP133'!EH133,"AAAAAG9mvZg=")</f>
        <v>#VALUE!</v>
      </c>
      <c r="EX170" t="e">
        <f>AND('UP133'!EI133,"AAAAAG9mvZk=")</f>
        <v>#VALUE!</v>
      </c>
      <c r="EY170" t="e">
        <f>AND('UP133'!EJ133,"AAAAAG9mvZo=")</f>
        <v>#VALUE!</v>
      </c>
      <c r="EZ170" t="e">
        <f>AND('UP133'!EK133,"AAAAAG9mvZs=")</f>
        <v>#VALUE!</v>
      </c>
      <c r="FA170" t="e">
        <f>AND('UP133'!EL133,"AAAAAG9mvZw=")</f>
        <v>#VALUE!</v>
      </c>
      <c r="FB170" t="e">
        <f>AND('UP133'!EM133,"AAAAAG9mvZ0=")</f>
        <v>#VALUE!</v>
      </c>
      <c r="FC170" t="e">
        <f>AND('UP133'!EN133,"AAAAAG9mvZ4=")</f>
        <v>#VALUE!</v>
      </c>
      <c r="FD170" t="e">
        <f>AND('UP133'!EO133,"AAAAAG9mvZ8=")</f>
        <v>#VALUE!</v>
      </c>
      <c r="FE170" t="e">
        <f>AND('UP133'!EP133,"AAAAAG9mvaA=")</f>
        <v>#VALUE!</v>
      </c>
      <c r="FF170" t="e">
        <f>AND('UP133'!EQ133,"AAAAAG9mvaE=")</f>
        <v>#VALUE!</v>
      </c>
      <c r="FG170" t="e">
        <f>AND('UP133'!ER133,"AAAAAG9mvaI=")</f>
        <v>#VALUE!</v>
      </c>
      <c r="FH170" t="e">
        <f>AND('UP133'!ES133,"AAAAAG9mvaM=")</f>
        <v>#VALUE!</v>
      </c>
      <c r="FI170" t="e">
        <f>AND('UP133'!ET133,"AAAAAG9mvaQ=")</f>
        <v>#VALUE!</v>
      </c>
      <c r="FJ170" t="e">
        <f>AND('UP133'!EU133,"AAAAAG9mvaU=")</f>
        <v>#VALUE!</v>
      </c>
      <c r="FK170" t="e">
        <f>AND('UP133'!EV133,"AAAAAG9mvaY=")</f>
        <v>#VALUE!</v>
      </c>
      <c r="FL170" t="e">
        <f>AND('UP133'!EW133,"AAAAAG9mvac=")</f>
        <v>#VALUE!</v>
      </c>
      <c r="FM170" t="e">
        <f>AND('UP133'!EX133,"AAAAAG9mvag=")</f>
        <v>#VALUE!</v>
      </c>
      <c r="FN170" t="e">
        <f>AND('UP133'!EY133,"AAAAAG9mvak=")</f>
        <v>#VALUE!</v>
      </c>
      <c r="FO170" t="e">
        <f>AND('UP133'!EZ133,"AAAAAG9mvao=")</f>
        <v>#VALUE!</v>
      </c>
      <c r="FP170" t="e">
        <f>AND('UP133'!FA133,"AAAAAG9mvas=")</f>
        <v>#VALUE!</v>
      </c>
      <c r="FQ170" t="e">
        <f>AND('UP133'!FB133,"AAAAAG9mvaw=")</f>
        <v>#VALUE!</v>
      </c>
      <c r="FR170" t="e">
        <f>AND('UP133'!FC133,"AAAAAG9mva0=")</f>
        <v>#VALUE!</v>
      </c>
      <c r="FS170" t="e">
        <f>AND('UP133'!FD133,"AAAAAG9mva4=")</f>
        <v>#VALUE!</v>
      </c>
      <c r="FT170" t="e">
        <f>AND('UP133'!FE133,"AAAAAG9mva8=")</f>
        <v>#VALUE!</v>
      </c>
      <c r="FU170" t="e">
        <f>AND('UP133'!FF133,"AAAAAG9mvbA=")</f>
        <v>#VALUE!</v>
      </c>
      <c r="FV170" t="e">
        <f>AND('UP133'!FG133,"AAAAAG9mvbE=")</f>
        <v>#VALUE!</v>
      </c>
      <c r="FW170" t="e">
        <f>AND('UP133'!FH133,"AAAAAG9mvbI=")</f>
        <v>#VALUE!</v>
      </c>
      <c r="FX170" t="e">
        <f>AND('UP133'!FI133,"AAAAAG9mvbM=")</f>
        <v>#VALUE!</v>
      </c>
      <c r="FY170" t="e">
        <f>AND('UP133'!FJ133,"AAAAAG9mvbQ=")</f>
        <v>#VALUE!</v>
      </c>
      <c r="FZ170" t="e">
        <f>AND('UP133'!FK133,"AAAAAG9mvbU=")</f>
        <v>#VALUE!</v>
      </c>
      <c r="GA170" t="e">
        <f>AND('UP133'!FL133,"AAAAAG9mvbY=")</f>
        <v>#VALUE!</v>
      </c>
      <c r="GB170" t="e">
        <f>AND('UP133'!FM133,"AAAAAG9mvbc=")</f>
        <v>#VALUE!</v>
      </c>
      <c r="GC170" t="e">
        <f>AND('UP133'!FN133,"AAAAAG9mvbg=")</f>
        <v>#VALUE!</v>
      </c>
      <c r="GD170" t="e">
        <f>AND('UP133'!FO133,"AAAAAG9mvbk=")</f>
        <v>#VALUE!</v>
      </c>
      <c r="GE170" t="e">
        <f>AND('UP133'!FP133,"AAAAAG9mvbo=")</f>
        <v>#VALUE!</v>
      </c>
      <c r="GF170" t="e">
        <f>AND('UP133'!FQ133,"AAAAAG9mvbs=")</f>
        <v>#VALUE!</v>
      </c>
      <c r="GG170" t="e">
        <f>AND('UP133'!FR133,"AAAAAG9mvbw=")</f>
        <v>#VALUE!</v>
      </c>
      <c r="GH170" t="e">
        <f>AND('UP133'!FS133,"AAAAAG9mvb0=")</f>
        <v>#VALUE!</v>
      </c>
      <c r="GI170" t="e">
        <f>AND('UP133'!FT133,"AAAAAG9mvb4=")</f>
        <v>#VALUE!</v>
      </c>
      <c r="GJ170" t="e">
        <f>AND('UP133'!FU133,"AAAAAG9mvb8=")</f>
        <v>#VALUE!</v>
      </c>
      <c r="GK170" t="e">
        <f>AND('UP133'!FV133,"AAAAAG9mvcA=")</f>
        <v>#VALUE!</v>
      </c>
      <c r="GL170" t="e">
        <f>AND('UP133'!FW133,"AAAAAG9mvcE=")</f>
        <v>#VALUE!</v>
      </c>
      <c r="GM170" t="e">
        <f>AND('UP133'!FX133,"AAAAAG9mvcI=")</f>
        <v>#VALUE!</v>
      </c>
      <c r="GN170" t="e">
        <f>AND('UP133'!FY133,"AAAAAG9mvcM=")</f>
        <v>#VALUE!</v>
      </c>
      <c r="GO170" t="e">
        <f>AND('UP133'!FZ133,"AAAAAG9mvcQ=")</f>
        <v>#VALUE!</v>
      </c>
      <c r="GP170" t="e">
        <f>AND('UP133'!GA133,"AAAAAG9mvcU=")</f>
        <v>#VALUE!</v>
      </c>
      <c r="GQ170" t="e">
        <f>AND('UP133'!GB133,"AAAAAG9mvcY=")</f>
        <v>#VALUE!</v>
      </c>
      <c r="GR170" t="e">
        <f>AND('UP133'!GC133,"AAAAAG9mvcc=")</f>
        <v>#VALUE!</v>
      </c>
      <c r="GS170" t="e">
        <f>AND('UP133'!GD133,"AAAAAG9mvcg=")</f>
        <v>#VALUE!</v>
      </c>
      <c r="GT170" t="e">
        <f>AND('UP133'!GE133,"AAAAAG9mvck=")</f>
        <v>#VALUE!</v>
      </c>
      <c r="GU170" t="e">
        <f>AND('UP133'!GF133,"AAAAAG9mvco=")</f>
        <v>#VALUE!</v>
      </c>
      <c r="GV170" t="e">
        <f>AND('UP133'!GG133,"AAAAAG9mvcs=")</f>
        <v>#VALUE!</v>
      </c>
      <c r="GW170" t="e">
        <f>AND('UP133'!GH133,"AAAAAG9mvcw=")</f>
        <v>#VALUE!</v>
      </c>
      <c r="GX170" t="e">
        <f>AND('UP133'!GI133,"AAAAAG9mvc0=")</f>
        <v>#VALUE!</v>
      </c>
      <c r="GY170" t="e">
        <f>AND('UP133'!GJ133,"AAAAAG9mvc4=")</f>
        <v>#VALUE!</v>
      </c>
      <c r="GZ170" t="e">
        <f>AND('UP133'!GK133,"AAAAAG9mvc8=")</f>
        <v>#VALUE!</v>
      </c>
      <c r="HA170" t="e">
        <f>AND('UP133'!GL133,"AAAAAG9mvdA=")</f>
        <v>#VALUE!</v>
      </c>
      <c r="HB170" t="e">
        <f>AND('UP133'!GM133,"AAAAAG9mvdE=")</f>
        <v>#VALUE!</v>
      </c>
      <c r="HC170" t="e">
        <f>AND('UP133'!GN133,"AAAAAG9mvdI=")</f>
        <v>#VALUE!</v>
      </c>
      <c r="HD170" t="e">
        <f>AND('UP133'!GO133,"AAAAAG9mvdM=")</f>
        <v>#VALUE!</v>
      </c>
      <c r="HE170" t="e">
        <f>AND('UP133'!GP133,"AAAAAG9mvdQ=")</f>
        <v>#VALUE!</v>
      </c>
      <c r="HF170" t="e">
        <f>AND('UP133'!GQ133,"AAAAAG9mvdU=")</f>
        <v>#VALUE!</v>
      </c>
      <c r="HG170" t="e">
        <f>AND('UP133'!GR133,"AAAAAG9mvdY=")</f>
        <v>#VALUE!</v>
      </c>
      <c r="HH170" t="e">
        <f>AND('UP133'!GS133,"AAAAAG9mvdc=")</f>
        <v>#VALUE!</v>
      </c>
      <c r="HI170" t="e">
        <f>AND('UP133'!GT133,"AAAAAG9mvdg=")</f>
        <v>#VALUE!</v>
      </c>
      <c r="HJ170" t="e">
        <f>AND('UP133'!GU133,"AAAAAG9mvdk=")</f>
        <v>#VALUE!</v>
      </c>
      <c r="HK170" t="e">
        <f>AND('UP133'!GV133,"AAAAAG9mvdo=")</f>
        <v>#VALUE!</v>
      </c>
      <c r="HL170" t="e">
        <f>AND('UP133'!GW133,"AAAAAG9mvds=")</f>
        <v>#VALUE!</v>
      </c>
      <c r="HM170" t="e">
        <f>AND('UP133'!GX133,"AAAAAG9mvdw=")</f>
        <v>#VALUE!</v>
      </c>
      <c r="HN170" t="e">
        <f>AND('UP133'!GY133,"AAAAAG9mvd0=")</f>
        <v>#VALUE!</v>
      </c>
      <c r="HO170" t="e">
        <f>AND('UP133'!GZ133,"AAAAAG9mvd4=")</f>
        <v>#VALUE!</v>
      </c>
      <c r="HP170" t="e">
        <f>AND('UP133'!HA133,"AAAAAG9mvd8=")</f>
        <v>#VALUE!</v>
      </c>
      <c r="HQ170" t="e">
        <f>AND('UP133'!HB133,"AAAAAG9mveA=")</f>
        <v>#VALUE!</v>
      </c>
      <c r="HR170" t="e">
        <f>AND('UP133'!HC133,"AAAAAG9mveE=")</f>
        <v>#VALUE!</v>
      </c>
      <c r="HS170" t="e">
        <f>AND('UP133'!HD133,"AAAAAG9mveI=")</f>
        <v>#VALUE!</v>
      </c>
      <c r="HT170" t="e">
        <f>AND('UP133'!HE133,"AAAAAG9mveM=")</f>
        <v>#VALUE!</v>
      </c>
      <c r="HU170" t="e">
        <f>AND('UP133'!HF133,"AAAAAG9mveQ=")</f>
        <v>#VALUE!</v>
      </c>
      <c r="HV170" t="e">
        <f>AND('UP133'!HG133,"AAAAAG9mveU=")</f>
        <v>#VALUE!</v>
      </c>
      <c r="HW170" t="e">
        <f>AND('UP133'!HH133,"AAAAAG9mveY=")</f>
        <v>#VALUE!</v>
      </c>
      <c r="HX170" t="e">
        <f>AND('UP133'!HI133,"AAAAAG9mvec=")</f>
        <v>#VALUE!</v>
      </c>
      <c r="HY170" t="e">
        <f>AND('UP133'!HJ133,"AAAAAG9mveg=")</f>
        <v>#VALUE!</v>
      </c>
      <c r="HZ170" t="e">
        <f>AND('UP133'!HK133,"AAAAAG9mvek=")</f>
        <v>#VALUE!</v>
      </c>
      <c r="IA170" t="e">
        <f>AND('UP133'!HL133,"AAAAAG9mveo=")</f>
        <v>#VALUE!</v>
      </c>
      <c r="IB170" t="e">
        <f>AND('UP133'!HM133,"AAAAAG9mves=")</f>
        <v>#VALUE!</v>
      </c>
      <c r="IC170" t="e">
        <f>AND('UP133'!HN133,"AAAAAG9mvew=")</f>
        <v>#VALUE!</v>
      </c>
      <c r="ID170" t="e">
        <f>AND('UP133'!HO133,"AAAAAG9mve0=")</f>
        <v>#VALUE!</v>
      </c>
      <c r="IE170" t="e">
        <f>AND('UP133'!HP133,"AAAAAG9mve4=")</f>
        <v>#VALUE!</v>
      </c>
      <c r="IF170" t="e">
        <f>AND('UP133'!HQ133,"AAAAAG9mve8=")</f>
        <v>#VALUE!</v>
      </c>
      <c r="IG170" t="e">
        <f>AND('UP133'!HR133,"AAAAAG9mvfA=")</f>
        <v>#VALUE!</v>
      </c>
      <c r="IH170" t="e">
        <f>AND('UP133'!HS133,"AAAAAG9mvfE=")</f>
        <v>#VALUE!</v>
      </c>
      <c r="II170" t="e">
        <f>AND('UP133'!HT133,"AAAAAG9mvfI=")</f>
        <v>#VALUE!</v>
      </c>
      <c r="IJ170" t="e">
        <f>AND('UP133'!HU133,"AAAAAG9mvfM=")</f>
        <v>#VALUE!</v>
      </c>
      <c r="IK170" t="e">
        <f>AND('UP133'!HV133,"AAAAAG9mvfQ=")</f>
        <v>#VALUE!</v>
      </c>
      <c r="IL170" t="e">
        <f>AND('UP133'!HW133,"AAAAAG9mvfU=")</f>
        <v>#VALUE!</v>
      </c>
      <c r="IM170" t="e">
        <f>AND('UP133'!HX133,"AAAAAG9mvfY=")</f>
        <v>#VALUE!</v>
      </c>
      <c r="IN170" t="e">
        <f>AND('UP133'!HY133,"AAAAAG9mvfc=")</f>
        <v>#VALUE!</v>
      </c>
      <c r="IO170" t="e">
        <f>AND('UP133'!HZ133,"AAAAAG9mvfg=")</f>
        <v>#VALUE!</v>
      </c>
      <c r="IP170" t="e">
        <f>AND('UP133'!IA133,"AAAAAG9mvfk=")</f>
        <v>#VALUE!</v>
      </c>
      <c r="IQ170" t="e">
        <f>AND('UP133'!IB133,"AAAAAG9mvfo=")</f>
        <v>#VALUE!</v>
      </c>
      <c r="IR170" t="e">
        <f>AND('UP133'!IC133,"AAAAAG9mvfs=")</f>
        <v>#VALUE!</v>
      </c>
      <c r="IS170" t="e">
        <f>AND('UP133'!ID133,"AAAAAG9mvfw=")</f>
        <v>#VALUE!</v>
      </c>
      <c r="IT170" t="e">
        <f>AND('UP133'!IE133,"AAAAAG9mvf0=")</f>
        <v>#VALUE!</v>
      </c>
      <c r="IU170" t="e">
        <f>AND('UP133'!IF133,"AAAAAG9mvf4=")</f>
        <v>#VALUE!</v>
      </c>
      <c r="IV170" t="e">
        <f>AND('UP133'!IG133,"AAAAAG9mvf8=")</f>
        <v>#VALUE!</v>
      </c>
    </row>
    <row r="171" spans="1:256">
      <c r="A171" t="e">
        <f>AND('UP133'!IH133,"AAAAAHr+qwA=")</f>
        <v>#VALUE!</v>
      </c>
      <c r="B171" t="e">
        <f>AND('UP133'!II133,"AAAAAHr+qwE=")</f>
        <v>#VALUE!</v>
      </c>
      <c r="C171" t="e">
        <f>AND('UP133'!IJ133,"AAAAAHr+qwI=")</f>
        <v>#VALUE!</v>
      </c>
      <c r="D171" t="e">
        <f>AND('UP133'!IK133,"AAAAAHr+qwM=")</f>
        <v>#VALUE!</v>
      </c>
      <c r="E171" t="e">
        <f>AND('UP133'!IL133,"AAAAAHr+qwQ=")</f>
        <v>#VALUE!</v>
      </c>
      <c r="F171" t="e">
        <f>AND('UP133'!IM133,"AAAAAHr+qwU=")</f>
        <v>#VALUE!</v>
      </c>
      <c r="G171" t="e">
        <f>AND('UP133'!IN133,"AAAAAHr+qwY=")</f>
        <v>#VALUE!</v>
      </c>
      <c r="H171" t="e">
        <f>AND('UP133'!IO133,"AAAAAHr+qwc=")</f>
        <v>#VALUE!</v>
      </c>
      <c r="I171" t="e">
        <f>AND('UP133'!IP133,"AAAAAHr+qwg=")</f>
        <v>#VALUE!</v>
      </c>
      <c r="J171" t="e">
        <f>AND('UP133'!IQ133,"AAAAAHr+qwk=")</f>
        <v>#VALUE!</v>
      </c>
      <c r="K171">
        <f>IF('UP133'!134:134,"AAAAAHr+qwo=",0)</f>
        <v>0</v>
      </c>
      <c r="L171" t="e">
        <f>AND('UP133'!A134,"AAAAAHr+qws=")</f>
        <v>#VALUE!</v>
      </c>
      <c r="M171" t="e">
        <f>AND('UP133'!B134,"AAAAAHr+qww=")</f>
        <v>#VALUE!</v>
      </c>
      <c r="N171" t="e">
        <f>AND('UP133'!C134,"AAAAAHr+qw0=")</f>
        <v>#VALUE!</v>
      </c>
      <c r="O171" t="e">
        <f>AND('UP133'!D134,"AAAAAHr+qw4=")</f>
        <v>#VALUE!</v>
      </c>
      <c r="P171" t="e">
        <f>AND('UP133'!E134,"AAAAAHr+qw8=")</f>
        <v>#VALUE!</v>
      </c>
      <c r="Q171" t="e">
        <f>AND('UP133'!F134,"AAAAAHr+qxA=")</f>
        <v>#VALUE!</v>
      </c>
      <c r="R171" t="e">
        <f>AND('UP133'!G134,"AAAAAHr+qxE=")</f>
        <v>#VALUE!</v>
      </c>
      <c r="S171" t="e">
        <f>AND('UP133'!H134,"AAAAAHr+qxI=")</f>
        <v>#VALUE!</v>
      </c>
      <c r="T171" t="e">
        <f>AND('UP133'!I134,"AAAAAHr+qxM=")</f>
        <v>#VALUE!</v>
      </c>
      <c r="U171" t="e">
        <f>AND('UP133'!J134,"AAAAAHr+qxQ=")</f>
        <v>#VALUE!</v>
      </c>
      <c r="V171" t="e">
        <f>AND('UP133'!K134,"AAAAAHr+qxU=")</f>
        <v>#VALUE!</v>
      </c>
      <c r="W171" t="e">
        <f>AND('UP133'!L134,"AAAAAHr+qxY=")</f>
        <v>#VALUE!</v>
      </c>
      <c r="X171" t="e">
        <f>AND('UP133'!M134,"AAAAAHr+qxc=")</f>
        <v>#VALUE!</v>
      </c>
      <c r="Y171" t="e">
        <f>AND('UP133'!N134,"AAAAAHr+qxg=")</f>
        <v>#VALUE!</v>
      </c>
      <c r="Z171" t="e">
        <f>AND('UP133'!O134,"AAAAAHr+qxk=")</f>
        <v>#VALUE!</v>
      </c>
      <c r="AA171" t="e">
        <f>AND('UP133'!P134,"AAAAAHr+qxo=")</f>
        <v>#VALUE!</v>
      </c>
      <c r="AB171" t="e">
        <f>AND('UP133'!Q134,"AAAAAHr+qxs=")</f>
        <v>#VALUE!</v>
      </c>
      <c r="AC171" t="e">
        <f>AND('UP133'!R134,"AAAAAHr+qxw=")</f>
        <v>#VALUE!</v>
      </c>
      <c r="AD171" t="e">
        <f>AND('UP133'!S134,"AAAAAHr+qx0=")</f>
        <v>#VALUE!</v>
      </c>
      <c r="AE171" t="e">
        <f>AND('UP133'!T134,"AAAAAHr+qx4=")</f>
        <v>#VALUE!</v>
      </c>
      <c r="AF171" t="e">
        <f>AND('UP133'!U134,"AAAAAHr+qx8=")</f>
        <v>#VALUE!</v>
      </c>
      <c r="AG171" t="e">
        <f>AND('UP133'!V134,"AAAAAHr+qyA=")</f>
        <v>#VALUE!</v>
      </c>
      <c r="AH171" t="e">
        <f>AND('UP133'!W134,"AAAAAHr+qyE=")</f>
        <v>#VALUE!</v>
      </c>
      <c r="AI171" t="e">
        <f>AND('UP133'!X134,"AAAAAHr+qyI=")</f>
        <v>#VALUE!</v>
      </c>
      <c r="AJ171" t="e">
        <f>AND('UP133'!Y134,"AAAAAHr+qyM=")</f>
        <v>#VALUE!</v>
      </c>
      <c r="AK171" t="e">
        <f>AND('UP133'!Z134,"AAAAAHr+qyQ=")</f>
        <v>#VALUE!</v>
      </c>
      <c r="AL171" t="e">
        <f>AND('UP133'!AA134,"AAAAAHr+qyU=")</f>
        <v>#VALUE!</v>
      </c>
      <c r="AM171" t="e">
        <f>AND('UP133'!AB134,"AAAAAHr+qyY=")</f>
        <v>#VALUE!</v>
      </c>
      <c r="AN171" t="e">
        <f>AND('UP133'!AC134,"AAAAAHr+qyc=")</f>
        <v>#VALUE!</v>
      </c>
      <c r="AO171" t="e">
        <f>AND('UP133'!AD134,"AAAAAHr+qyg=")</f>
        <v>#VALUE!</v>
      </c>
      <c r="AP171" t="e">
        <f>AND('UP133'!AE134,"AAAAAHr+qyk=")</f>
        <v>#VALUE!</v>
      </c>
      <c r="AQ171" t="e">
        <f>AND('UP133'!AF134,"AAAAAHr+qyo=")</f>
        <v>#VALUE!</v>
      </c>
      <c r="AR171" t="e">
        <f>AND('UP133'!AG134,"AAAAAHr+qys=")</f>
        <v>#VALUE!</v>
      </c>
      <c r="AS171" t="e">
        <f>AND('UP133'!AH134,"AAAAAHr+qyw=")</f>
        <v>#VALUE!</v>
      </c>
      <c r="AT171" t="e">
        <f>AND('UP133'!AI134,"AAAAAHr+qy0=")</f>
        <v>#VALUE!</v>
      </c>
      <c r="AU171" t="e">
        <f>AND('UP133'!AJ134,"AAAAAHr+qy4=")</f>
        <v>#VALUE!</v>
      </c>
      <c r="AV171" t="e">
        <f>AND('UP133'!AK134,"AAAAAHr+qy8=")</f>
        <v>#VALUE!</v>
      </c>
      <c r="AW171" t="e">
        <f>AND('UP133'!AL134,"AAAAAHr+qzA=")</f>
        <v>#VALUE!</v>
      </c>
      <c r="AX171" t="e">
        <f>AND('UP133'!AM134,"AAAAAHr+qzE=")</f>
        <v>#VALUE!</v>
      </c>
      <c r="AY171" t="e">
        <f>AND('UP133'!AN134,"AAAAAHr+qzI=")</f>
        <v>#VALUE!</v>
      </c>
      <c r="AZ171" t="e">
        <f>AND('UP133'!AO134,"AAAAAHr+qzM=")</f>
        <v>#VALUE!</v>
      </c>
      <c r="BA171" t="e">
        <f>AND('UP133'!AP134,"AAAAAHr+qzQ=")</f>
        <v>#VALUE!</v>
      </c>
      <c r="BB171" t="e">
        <f>AND('UP133'!AQ134,"AAAAAHr+qzU=")</f>
        <v>#VALUE!</v>
      </c>
      <c r="BC171" t="e">
        <f>AND('UP133'!AR134,"AAAAAHr+qzY=")</f>
        <v>#VALUE!</v>
      </c>
      <c r="BD171" t="e">
        <f>AND('UP133'!AS134,"AAAAAHr+qzc=")</f>
        <v>#VALUE!</v>
      </c>
      <c r="BE171" t="e">
        <f>AND('UP133'!AT134,"AAAAAHr+qzg=")</f>
        <v>#VALUE!</v>
      </c>
      <c r="BF171" t="e">
        <f>AND('UP133'!AU134,"AAAAAHr+qzk=")</f>
        <v>#VALUE!</v>
      </c>
      <c r="BG171" t="e">
        <f>AND('UP133'!AV134,"AAAAAHr+qzo=")</f>
        <v>#VALUE!</v>
      </c>
      <c r="BH171" t="e">
        <f>AND('UP133'!AW134,"AAAAAHr+qzs=")</f>
        <v>#VALUE!</v>
      </c>
      <c r="BI171" t="e">
        <f>AND('UP133'!AX134,"AAAAAHr+qzw=")</f>
        <v>#VALUE!</v>
      </c>
      <c r="BJ171" t="e">
        <f>AND('UP133'!AY134,"AAAAAHr+qz0=")</f>
        <v>#VALUE!</v>
      </c>
      <c r="BK171" t="e">
        <f>AND('UP133'!AZ134,"AAAAAHr+qz4=")</f>
        <v>#VALUE!</v>
      </c>
      <c r="BL171" t="e">
        <f>AND('UP133'!BA134,"AAAAAHr+qz8=")</f>
        <v>#VALUE!</v>
      </c>
      <c r="BM171" t="e">
        <f>AND('UP133'!BB134,"AAAAAHr+q0A=")</f>
        <v>#VALUE!</v>
      </c>
      <c r="BN171" t="e">
        <f>AND('UP133'!BC134,"AAAAAHr+q0E=")</f>
        <v>#VALUE!</v>
      </c>
      <c r="BO171" t="e">
        <f>AND('UP133'!BD134,"AAAAAHr+q0I=")</f>
        <v>#VALUE!</v>
      </c>
      <c r="BP171" t="e">
        <f>AND('UP133'!BE134,"AAAAAHr+q0M=")</f>
        <v>#VALUE!</v>
      </c>
      <c r="BQ171" t="e">
        <f>AND('UP133'!BF134,"AAAAAHr+q0Q=")</f>
        <v>#VALUE!</v>
      </c>
      <c r="BR171" t="e">
        <f>AND('UP133'!BG134,"AAAAAHr+q0U=")</f>
        <v>#VALUE!</v>
      </c>
      <c r="BS171" t="e">
        <f>AND('UP133'!BH134,"AAAAAHr+q0Y=")</f>
        <v>#VALUE!</v>
      </c>
      <c r="BT171" t="e">
        <f>AND('UP133'!BI134,"AAAAAHr+q0c=")</f>
        <v>#VALUE!</v>
      </c>
      <c r="BU171" t="e">
        <f>AND('UP133'!BJ134,"AAAAAHr+q0g=")</f>
        <v>#VALUE!</v>
      </c>
      <c r="BV171" t="e">
        <f>AND('UP133'!BK134,"AAAAAHr+q0k=")</f>
        <v>#VALUE!</v>
      </c>
      <c r="BW171" t="e">
        <f>AND('UP133'!BL134,"AAAAAHr+q0o=")</f>
        <v>#VALUE!</v>
      </c>
      <c r="BX171" t="e">
        <f>AND('UP133'!BM134,"AAAAAHr+q0s=")</f>
        <v>#VALUE!</v>
      </c>
      <c r="BY171" t="e">
        <f>AND('UP133'!BN134,"AAAAAHr+q0w=")</f>
        <v>#VALUE!</v>
      </c>
      <c r="BZ171" t="e">
        <f>AND('UP133'!BO134,"AAAAAHr+q00=")</f>
        <v>#VALUE!</v>
      </c>
      <c r="CA171" t="e">
        <f>AND('UP133'!BP134,"AAAAAHr+q04=")</f>
        <v>#VALUE!</v>
      </c>
      <c r="CB171" t="e">
        <f>AND('UP133'!BQ134,"AAAAAHr+q08=")</f>
        <v>#VALUE!</v>
      </c>
      <c r="CC171" t="e">
        <f>AND('UP133'!BR134,"AAAAAHr+q1A=")</f>
        <v>#VALUE!</v>
      </c>
      <c r="CD171" t="e">
        <f>AND('UP133'!BS134,"AAAAAHr+q1E=")</f>
        <v>#VALUE!</v>
      </c>
      <c r="CE171" t="e">
        <f>AND('UP133'!BT134,"AAAAAHr+q1I=")</f>
        <v>#VALUE!</v>
      </c>
      <c r="CF171" t="e">
        <f>AND('UP133'!BU134,"AAAAAHr+q1M=")</f>
        <v>#VALUE!</v>
      </c>
      <c r="CG171" t="e">
        <f>AND('UP133'!BV134,"AAAAAHr+q1Q=")</f>
        <v>#VALUE!</v>
      </c>
      <c r="CH171" t="e">
        <f>AND('UP133'!BW134,"AAAAAHr+q1U=")</f>
        <v>#VALUE!</v>
      </c>
      <c r="CI171" t="e">
        <f>AND('UP133'!BX134,"AAAAAHr+q1Y=")</f>
        <v>#VALUE!</v>
      </c>
      <c r="CJ171" t="e">
        <f>AND('UP133'!BY134,"AAAAAHr+q1c=")</f>
        <v>#VALUE!</v>
      </c>
      <c r="CK171" t="e">
        <f>AND('UP133'!BZ134,"AAAAAHr+q1g=")</f>
        <v>#VALUE!</v>
      </c>
      <c r="CL171" t="e">
        <f>AND('UP133'!CA134,"AAAAAHr+q1k=")</f>
        <v>#VALUE!</v>
      </c>
      <c r="CM171" t="e">
        <f>AND('UP133'!CB134,"AAAAAHr+q1o=")</f>
        <v>#VALUE!</v>
      </c>
      <c r="CN171" t="e">
        <f>AND('UP133'!CC134,"AAAAAHr+q1s=")</f>
        <v>#VALUE!</v>
      </c>
      <c r="CO171" t="e">
        <f>AND('UP133'!CD134,"AAAAAHr+q1w=")</f>
        <v>#VALUE!</v>
      </c>
      <c r="CP171" t="e">
        <f>AND('UP133'!CE134,"AAAAAHr+q10=")</f>
        <v>#VALUE!</v>
      </c>
      <c r="CQ171" t="e">
        <f>AND('UP133'!CF134,"AAAAAHr+q14=")</f>
        <v>#VALUE!</v>
      </c>
      <c r="CR171" t="e">
        <f>AND('UP133'!CG134,"AAAAAHr+q18=")</f>
        <v>#VALUE!</v>
      </c>
      <c r="CS171" t="e">
        <f>AND('UP133'!CH134,"AAAAAHr+q2A=")</f>
        <v>#VALUE!</v>
      </c>
      <c r="CT171" t="e">
        <f>AND('UP133'!CI134,"AAAAAHr+q2E=")</f>
        <v>#VALUE!</v>
      </c>
      <c r="CU171" t="e">
        <f>AND('UP133'!CJ134,"AAAAAHr+q2I=")</f>
        <v>#VALUE!</v>
      </c>
      <c r="CV171" t="e">
        <f>AND('UP133'!CK134,"AAAAAHr+q2M=")</f>
        <v>#VALUE!</v>
      </c>
      <c r="CW171" t="e">
        <f>AND('UP133'!CL134,"AAAAAHr+q2Q=")</f>
        <v>#VALUE!</v>
      </c>
      <c r="CX171" t="e">
        <f>AND('UP133'!CM134,"AAAAAHr+q2U=")</f>
        <v>#VALUE!</v>
      </c>
      <c r="CY171" t="e">
        <f>AND('UP133'!CN134,"AAAAAHr+q2Y=")</f>
        <v>#VALUE!</v>
      </c>
      <c r="CZ171" t="e">
        <f>AND('UP133'!CO134,"AAAAAHr+q2c=")</f>
        <v>#VALUE!</v>
      </c>
      <c r="DA171" t="e">
        <f>AND('UP133'!CP134,"AAAAAHr+q2g=")</f>
        <v>#VALUE!</v>
      </c>
      <c r="DB171" t="e">
        <f>AND('UP133'!CQ134,"AAAAAHr+q2k=")</f>
        <v>#VALUE!</v>
      </c>
      <c r="DC171" t="e">
        <f>AND('UP133'!CR134,"AAAAAHr+q2o=")</f>
        <v>#VALUE!</v>
      </c>
      <c r="DD171" t="e">
        <f>AND('UP133'!CS134,"AAAAAHr+q2s=")</f>
        <v>#VALUE!</v>
      </c>
      <c r="DE171" t="e">
        <f>AND('UP133'!CT134,"AAAAAHr+q2w=")</f>
        <v>#VALUE!</v>
      </c>
      <c r="DF171" t="e">
        <f>AND('UP133'!CU134,"AAAAAHr+q20=")</f>
        <v>#VALUE!</v>
      </c>
      <c r="DG171" t="e">
        <f>AND('UP133'!CV134,"AAAAAHr+q24=")</f>
        <v>#VALUE!</v>
      </c>
      <c r="DH171" t="e">
        <f>AND('UP133'!CW134,"AAAAAHr+q28=")</f>
        <v>#VALUE!</v>
      </c>
      <c r="DI171" t="e">
        <f>AND('UP133'!CX134,"AAAAAHr+q3A=")</f>
        <v>#VALUE!</v>
      </c>
      <c r="DJ171" t="e">
        <f>AND('UP133'!CY134,"AAAAAHr+q3E=")</f>
        <v>#VALUE!</v>
      </c>
      <c r="DK171" t="e">
        <f>AND('UP133'!CZ134,"AAAAAHr+q3I=")</f>
        <v>#VALUE!</v>
      </c>
      <c r="DL171" t="e">
        <f>AND('UP133'!DA134,"AAAAAHr+q3M=")</f>
        <v>#VALUE!</v>
      </c>
      <c r="DM171" t="e">
        <f>AND('UP133'!DB134,"AAAAAHr+q3Q=")</f>
        <v>#VALUE!</v>
      </c>
      <c r="DN171" t="e">
        <f>AND('UP133'!DC134,"AAAAAHr+q3U=")</f>
        <v>#VALUE!</v>
      </c>
      <c r="DO171" t="e">
        <f>AND('UP133'!DD134,"AAAAAHr+q3Y=")</f>
        <v>#VALUE!</v>
      </c>
      <c r="DP171" t="e">
        <f>AND('UP133'!DE134,"AAAAAHr+q3c=")</f>
        <v>#VALUE!</v>
      </c>
      <c r="DQ171" t="e">
        <f>AND('UP133'!DF134,"AAAAAHr+q3g=")</f>
        <v>#VALUE!</v>
      </c>
      <c r="DR171" t="e">
        <f>AND('UP133'!DG134,"AAAAAHr+q3k=")</f>
        <v>#VALUE!</v>
      </c>
      <c r="DS171" t="e">
        <f>AND('UP133'!DH134,"AAAAAHr+q3o=")</f>
        <v>#VALUE!</v>
      </c>
      <c r="DT171" t="e">
        <f>AND('UP133'!DI134,"AAAAAHr+q3s=")</f>
        <v>#VALUE!</v>
      </c>
      <c r="DU171" t="e">
        <f>AND('UP133'!DJ134,"AAAAAHr+q3w=")</f>
        <v>#VALUE!</v>
      </c>
      <c r="DV171" t="e">
        <f>AND('UP133'!DK134,"AAAAAHr+q30=")</f>
        <v>#VALUE!</v>
      </c>
      <c r="DW171" t="e">
        <f>AND('UP133'!DL134,"AAAAAHr+q34=")</f>
        <v>#VALUE!</v>
      </c>
      <c r="DX171" t="e">
        <f>AND('UP133'!DM134,"AAAAAHr+q38=")</f>
        <v>#VALUE!</v>
      </c>
      <c r="DY171" t="e">
        <f>AND('UP133'!DN134,"AAAAAHr+q4A=")</f>
        <v>#VALUE!</v>
      </c>
      <c r="DZ171" t="e">
        <f>AND('UP133'!DO134,"AAAAAHr+q4E=")</f>
        <v>#VALUE!</v>
      </c>
      <c r="EA171" t="e">
        <f>AND('UP133'!DP134,"AAAAAHr+q4I=")</f>
        <v>#VALUE!</v>
      </c>
      <c r="EB171" t="e">
        <f>AND('UP133'!DQ134,"AAAAAHr+q4M=")</f>
        <v>#VALUE!</v>
      </c>
      <c r="EC171" t="e">
        <f>AND('UP133'!DR134,"AAAAAHr+q4Q=")</f>
        <v>#VALUE!</v>
      </c>
      <c r="ED171" t="e">
        <f>AND('UP133'!DS134,"AAAAAHr+q4U=")</f>
        <v>#VALUE!</v>
      </c>
      <c r="EE171" t="e">
        <f>AND('UP133'!DT134,"AAAAAHr+q4Y=")</f>
        <v>#VALUE!</v>
      </c>
      <c r="EF171" t="e">
        <f>AND('UP133'!DU134,"AAAAAHr+q4c=")</f>
        <v>#VALUE!</v>
      </c>
      <c r="EG171" t="e">
        <f>AND('UP133'!DV134,"AAAAAHr+q4g=")</f>
        <v>#VALUE!</v>
      </c>
      <c r="EH171" t="e">
        <f>AND('UP133'!DW134,"AAAAAHr+q4k=")</f>
        <v>#VALUE!</v>
      </c>
      <c r="EI171" t="e">
        <f>AND('UP133'!DX134,"AAAAAHr+q4o=")</f>
        <v>#VALUE!</v>
      </c>
      <c r="EJ171" t="e">
        <f>AND('UP133'!DY134,"AAAAAHr+q4s=")</f>
        <v>#VALUE!</v>
      </c>
      <c r="EK171" t="e">
        <f>AND('UP133'!DZ134,"AAAAAHr+q4w=")</f>
        <v>#VALUE!</v>
      </c>
      <c r="EL171" t="e">
        <f>AND('UP133'!EA134,"AAAAAHr+q40=")</f>
        <v>#VALUE!</v>
      </c>
      <c r="EM171" t="e">
        <f>AND('UP133'!EB134,"AAAAAHr+q44=")</f>
        <v>#VALUE!</v>
      </c>
      <c r="EN171" t="e">
        <f>AND('UP133'!EC134,"AAAAAHr+q48=")</f>
        <v>#VALUE!</v>
      </c>
      <c r="EO171" t="e">
        <f>AND('UP133'!ED134,"AAAAAHr+q5A=")</f>
        <v>#VALUE!</v>
      </c>
      <c r="EP171" t="e">
        <f>AND('UP133'!EE134,"AAAAAHr+q5E=")</f>
        <v>#VALUE!</v>
      </c>
      <c r="EQ171" t="e">
        <f>AND('UP133'!EF134,"AAAAAHr+q5I=")</f>
        <v>#VALUE!</v>
      </c>
      <c r="ER171" t="e">
        <f>AND('UP133'!EG134,"AAAAAHr+q5M=")</f>
        <v>#VALUE!</v>
      </c>
      <c r="ES171" t="e">
        <f>AND('UP133'!EH134,"AAAAAHr+q5Q=")</f>
        <v>#VALUE!</v>
      </c>
      <c r="ET171" t="e">
        <f>AND('UP133'!EI134,"AAAAAHr+q5U=")</f>
        <v>#VALUE!</v>
      </c>
      <c r="EU171" t="e">
        <f>AND('UP133'!EJ134,"AAAAAHr+q5Y=")</f>
        <v>#VALUE!</v>
      </c>
      <c r="EV171" t="e">
        <f>AND('UP133'!EK134,"AAAAAHr+q5c=")</f>
        <v>#VALUE!</v>
      </c>
      <c r="EW171" t="e">
        <f>AND('UP133'!EL134,"AAAAAHr+q5g=")</f>
        <v>#VALUE!</v>
      </c>
      <c r="EX171" t="e">
        <f>AND('UP133'!EM134,"AAAAAHr+q5k=")</f>
        <v>#VALUE!</v>
      </c>
      <c r="EY171" t="e">
        <f>AND('UP133'!EN134,"AAAAAHr+q5o=")</f>
        <v>#VALUE!</v>
      </c>
      <c r="EZ171" t="e">
        <f>AND('UP133'!EO134,"AAAAAHr+q5s=")</f>
        <v>#VALUE!</v>
      </c>
      <c r="FA171" t="e">
        <f>AND('UP133'!EP134,"AAAAAHr+q5w=")</f>
        <v>#VALUE!</v>
      </c>
      <c r="FB171" t="e">
        <f>AND('UP133'!EQ134,"AAAAAHr+q50=")</f>
        <v>#VALUE!</v>
      </c>
      <c r="FC171" t="e">
        <f>AND('UP133'!ER134,"AAAAAHr+q54=")</f>
        <v>#VALUE!</v>
      </c>
      <c r="FD171" t="e">
        <f>AND('UP133'!ES134,"AAAAAHr+q58=")</f>
        <v>#VALUE!</v>
      </c>
      <c r="FE171" t="e">
        <f>AND('UP133'!ET134,"AAAAAHr+q6A=")</f>
        <v>#VALUE!</v>
      </c>
      <c r="FF171" t="e">
        <f>AND('UP133'!EU134,"AAAAAHr+q6E=")</f>
        <v>#VALUE!</v>
      </c>
      <c r="FG171" t="e">
        <f>AND('UP133'!EV134,"AAAAAHr+q6I=")</f>
        <v>#VALUE!</v>
      </c>
      <c r="FH171" t="e">
        <f>AND('UP133'!EW134,"AAAAAHr+q6M=")</f>
        <v>#VALUE!</v>
      </c>
      <c r="FI171" t="e">
        <f>AND('UP133'!EX134,"AAAAAHr+q6Q=")</f>
        <v>#VALUE!</v>
      </c>
      <c r="FJ171" t="e">
        <f>AND('UP133'!EY134,"AAAAAHr+q6U=")</f>
        <v>#VALUE!</v>
      </c>
      <c r="FK171" t="e">
        <f>AND('UP133'!EZ134,"AAAAAHr+q6Y=")</f>
        <v>#VALUE!</v>
      </c>
      <c r="FL171" t="e">
        <f>AND('UP133'!FA134,"AAAAAHr+q6c=")</f>
        <v>#VALUE!</v>
      </c>
      <c r="FM171" t="e">
        <f>AND('UP133'!FB134,"AAAAAHr+q6g=")</f>
        <v>#VALUE!</v>
      </c>
      <c r="FN171" t="e">
        <f>AND('UP133'!FC134,"AAAAAHr+q6k=")</f>
        <v>#VALUE!</v>
      </c>
      <c r="FO171" t="e">
        <f>AND('UP133'!FD134,"AAAAAHr+q6o=")</f>
        <v>#VALUE!</v>
      </c>
      <c r="FP171" t="e">
        <f>AND('UP133'!FE134,"AAAAAHr+q6s=")</f>
        <v>#VALUE!</v>
      </c>
      <c r="FQ171" t="e">
        <f>AND('UP133'!FF134,"AAAAAHr+q6w=")</f>
        <v>#VALUE!</v>
      </c>
      <c r="FR171" t="e">
        <f>AND('UP133'!FG134,"AAAAAHr+q60=")</f>
        <v>#VALUE!</v>
      </c>
      <c r="FS171" t="e">
        <f>AND('UP133'!FH134,"AAAAAHr+q64=")</f>
        <v>#VALUE!</v>
      </c>
      <c r="FT171" t="e">
        <f>AND('UP133'!FI134,"AAAAAHr+q68=")</f>
        <v>#VALUE!</v>
      </c>
      <c r="FU171" t="e">
        <f>AND('UP133'!FJ134,"AAAAAHr+q7A=")</f>
        <v>#VALUE!</v>
      </c>
      <c r="FV171" t="e">
        <f>AND('UP133'!FK134,"AAAAAHr+q7E=")</f>
        <v>#VALUE!</v>
      </c>
      <c r="FW171" t="e">
        <f>AND('UP133'!FL134,"AAAAAHr+q7I=")</f>
        <v>#VALUE!</v>
      </c>
      <c r="FX171" t="e">
        <f>AND('UP133'!FM134,"AAAAAHr+q7M=")</f>
        <v>#VALUE!</v>
      </c>
      <c r="FY171" t="e">
        <f>AND('UP133'!FN134,"AAAAAHr+q7Q=")</f>
        <v>#VALUE!</v>
      </c>
      <c r="FZ171" t="e">
        <f>AND('UP133'!FO134,"AAAAAHr+q7U=")</f>
        <v>#VALUE!</v>
      </c>
      <c r="GA171" t="e">
        <f>AND('UP133'!FP134,"AAAAAHr+q7Y=")</f>
        <v>#VALUE!</v>
      </c>
      <c r="GB171" t="e">
        <f>AND('UP133'!FQ134,"AAAAAHr+q7c=")</f>
        <v>#VALUE!</v>
      </c>
      <c r="GC171" t="e">
        <f>AND('UP133'!FR134,"AAAAAHr+q7g=")</f>
        <v>#VALUE!</v>
      </c>
      <c r="GD171" t="e">
        <f>AND('UP133'!FS134,"AAAAAHr+q7k=")</f>
        <v>#VALUE!</v>
      </c>
      <c r="GE171" t="e">
        <f>AND('UP133'!FT134,"AAAAAHr+q7o=")</f>
        <v>#VALUE!</v>
      </c>
      <c r="GF171" t="e">
        <f>AND('UP133'!FU134,"AAAAAHr+q7s=")</f>
        <v>#VALUE!</v>
      </c>
      <c r="GG171" t="e">
        <f>AND('UP133'!FV134,"AAAAAHr+q7w=")</f>
        <v>#VALUE!</v>
      </c>
      <c r="GH171" t="e">
        <f>AND('UP133'!FW134,"AAAAAHr+q70=")</f>
        <v>#VALUE!</v>
      </c>
      <c r="GI171" t="e">
        <f>AND('UP133'!FX134,"AAAAAHr+q74=")</f>
        <v>#VALUE!</v>
      </c>
      <c r="GJ171" t="e">
        <f>AND('UP133'!FY134,"AAAAAHr+q78=")</f>
        <v>#VALUE!</v>
      </c>
      <c r="GK171" t="e">
        <f>AND('UP133'!FZ134,"AAAAAHr+q8A=")</f>
        <v>#VALUE!</v>
      </c>
      <c r="GL171" t="e">
        <f>AND('UP133'!GA134,"AAAAAHr+q8E=")</f>
        <v>#VALUE!</v>
      </c>
      <c r="GM171" t="e">
        <f>AND('UP133'!GB134,"AAAAAHr+q8I=")</f>
        <v>#VALUE!</v>
      </c>
      <c r="GN171" t="e">
        <f>AND('UP133'!GC134,"AAAAAHr+q8M=")</f>
        <v>#VALUE!</v>
      </c>
      <c r="GO171" t="e">
        <f>AND('UP133'!GD134,"AAAAAHr+q8Q=")</f>
        <v>#VALUE!</v>
      </c>
      <c r="GP171" t="e">
        <f>AND('UP133'!GE134,"AAAAAHr+q8U=")</f>
        <v>#VALUE!</v>
      </c>
      <c r="GQ171" t="e">
        <f>AND('UP133'!GF134,"AAAAAHr+q8Y=")</f>
        <v>#VALUE!</v>
      </c>
      <c r="GR171" t="e">
        <f>AND('UP133'!GG134,"AAAAAHr+q8c=")</f>
        <v>#VALUE!</v>
      </c>
      <c r="GS171" t="e">
        <f>AND('UP133'!GH134,"AAAAAHr+q8g=")</f>
        <v>#VALUE!</v>
      </c>
      <c r="GT171" t="e">
        <f>AND('UP133'!GI134,"AAAAAHr+q8k=")</f>
        <v>#VALUE!</v>
      </c>
      <c r="GU171" t="e">
        <f>AND('UP133'!GJ134,"AAAAAHr+q8o=")</f>
        <v>#VALUE!</v>
      </c>
      <c r="GV171" t="e">
        <f>AND('UP133'!GK134,"AAAAAHr+q8s=")</f>
        <v>#VALUE!</v>
      </c>
      <c r="GW171" t="e">
        <f>AND('UP133'!GL134,"AAAAAHr+q8w=")</f>
        <v>#VALUE!</v>
      </c>
      <c r="GX171" t="e">
        <f>AND('UP133'!GM134,"AAAAAHr+q80=")</f>
        <v>#VALUE!</v>
      </c>
      <c r="GY171" t="e">
        <f>AND('UP133'!GN134,"AAAAAHr+q84=")</f>
        <v>#VALUE!</v>
      </c>
      <c r="GZ171" t="e">
        <f>AND('UP133'!GO134,"AAAAAHr+q88=")</f>
        <v>#VALUE!</v>
      </c>
      <c r="HA171" t="e">
        <f>AND('UP133'!GP134,"AAAAAHr+q9A=")</f>
        <v>#VALUE!</v>
      </c>
      <c r="HB171" t="e">
        <f>AND('UP133'!GQ134,"AAAAAHr+q9E=")</f>
        <v>#VALUE!</v>
      </c>
      <c r="HC171" t="e">
        <f>AND('UP133'!GR134,"AAAAAHr+q9I=")</f>
        <v>#VALUE!</v>
      </c>
      <c r="HD171" t="e">
        <f>AND('UP133'!GS134,"AAAAAHr+q9M=")</f>
        <v>#VALUE!</v>
      </c>
      <c r="HE171" t="e">
        <f>AND('UP133'!GT134,"AAAAAHr+q9Q=")</f>
        <v>#VALUE!</v>
      </c>
      <c r="HF171" t="e">
        <f>AND('UP133'!GU134,"AAAAAHr+q9U=")</f>
        <v>#VALUE!</v>
      </c>
      <c r="HG171" t="e">
        <f>AND('UP133'!GV134,"AAAAAHr+q9Y=")</f>
        <v>#VALUE!</v>
      </c>
      <c r="HH171" t="e">
        <f>AND('UP133'!GW134,"AAAAAHr+q9c=")</f>
        <v>#VALUE!</v>
      </c>
      <c r="HI171" t="e">
        <f>AND('UP133'!GX134,"AAAAAHr+q9g=")</f>
        <v>#VALUE!</v>
      </c>
      <c r="HJ171" t="e">
        <f>AND('UP133'!GY134,"AAAAAHr+q9k=")</f>
        <v>#VALUE!</v>
      </c>
      <c r="HK171" t="e">
        <f>AND('UP133'!GZ134,"AAAAAHr+q9o=")</f>
        <v>#VALUE!</v>
      </c>
      <c r="HL171" t="e">
        <f>AND('UP133'!HA134,"AAAAAHr+q9s=")</f>
        <v>#VALUE!</v>
      </c>
      <c r="HM171" t="e">
        <f>AND('UP133'!HB134,"AAAAAHr+q9w=")</f>
        <v>#VALUE!</v>
      </c>
      <c r="HN171" t="e">
        <f>AND('UP133'!HC134,"AAAAAHr+q90=")</f>
        <v>#VALUE!</v>
      </c>
      <c r="HO171" t="e">
        <f>AND('UP133'!HD134,"AAAAAHr+q94=")</f>
        <v>#VALUE!</v>
      </c>
      <c r="HP171" t="e">
        <f>AND('UP133'!HE134,"AAAAAHr+q98=")</f>
        <v>#VALUE!</v>
      </c>
      <c r="HQ171" t="e">
        <f>AND('UP133'!HF134,"AAAAAHr+q+A=")</f>
        <v>#VALUE!</v>
      </c>
      <c r="HR171" t="e">
        <f>AND('UP133'!HG134,"AAAAAHr+q+E=")</f>
        <v>#VALUE!</v>
      </c>
      <c r="HS171" t="e">
        <f>AND('UP133'!HH134,"AAAAAHr+q+I=")</f>
        <v>#VALUE!</v>
      </c>
      <c r="HT171" t="e">
        <f>AND('UP133'!HI134,"AAAAAHr+q+M=")</f>
        <v>#VALUE!</v>
      </c>
      <c r="HU171" t="e">
        <f>AND('UP133'!HJ134,"AAAAAHr+q+Q=")</f>
        <v>#VALUE!</v>
      </c>
      <c r="HV171" t="e">
        <f>AND('UP133'!HK134,"AAAAAHr+q+U=")</f>
        <v>#VALUE!</v>
      </c>
      <c r="HW171" t="e">
        <f>AND('UP133'!HL134,"AAAAAHr+q+Y=")</f>
        <v>#VALUE!</v>
      </c>
      <c r="HX171" t="e">
        <f>AND('UP133'!HM134,"AAAAAHr+q+c=")</f>
        <v>#VALUE!</v>
      </c>
      <c r="HY171" t="e">
        <f>AND('UP133'!HN134,"AAAAAHr+q+g=")</f>
        <v>#VALUE!</v>
      </c>
      <c r="HZ171" t="e">
        <f>AND('UP133'!HO134,"AAAAAHr+q+k=")</f>
        <v>#VALUE!</v>
      </c>
      <c r="IA171" t="e">
        <f>AND('UP133'!HP134,"AAAAAHr+q+o=")</f>
        <v>#VALUE!</v>
      </c>
      <c r="IB171" t="e">
        <f>AND('UP133'!HQ134,"AAAAAHr+q+s=")</f>
        <v>#VALUE!</v>
      </c>
      <c r="IC171" t="e">
        <f>AND('UP133'!HR134,"AAAAAHr+q+w=")</f>
        <v>#VALUE!</v>
      </c>
      <c r="ID171" t="e">
        <f>AND('UP133'!HS134,"AAAAAHr+q+0=")</f>
        <v>#VALUE!</v>
      </c>
      <c r="IE171" t="e">
        <f>AND('UP133'!HT134,"AAAAAHr+q+4=")</f>
        <v>#VALUE!</v>
      </c>
      <c r="IF171" t="e">
        <f>AND('UP133'!HU134,"AAAAAHr+q+8=")</f>
        <v>#VALUE!</v>
      </c>
      <c r="IG171" t="e">
        <f>AND('UP133'!HV134,"AAAAAHr+q/A=")</f>
        <v>#VALUE!</v>
      </c>
      <c r="IH171" t="e">
        <f>AND('UP133'!HW134,"AAAAAHr+q/E=")</f>
        <v>#VALUE!</v>
      </c>
      <c r="II171" t="e">
        <f>AND('UP133'!HX134,"AAAAAHr+q/I=")</f>
        <v>#VALUE!</v>
      </c>
      <c r="IJ171" t="e">
        <f>AND('UP133'!HY134,"AAAAAHr+q/M=")</f>
        <v>#VALUE!</v>
      </c>
      <c r="IK171" t="e">
        <f>AND('UP133'!HZ134,"AAAAAHr+q/Q=")</f>
        <v>#VALUE!</v>
      </c>
      <c r="IL171" t="e">
        <f>AND('UP133'!IA134,"AAAAAHr+q/U=")</f>
        <v>#VALUE!</v>
      </c>
      <c r="IM171" t="e">
        <f>AND('UP133'!IB134,"AAAAAHr+q/Y=")</f>
        <v>#VALUE!</v>
      </c>
      <c r="IN171" t="e">
        <f>AND('UP133'!IC134,"AAAAAHr+q/c=")</f>
        <v>#VALUE!</v>
      </c>
      <c r="IO171" t="e">
        <f>AND('UP133'!ID134,"AAAAAHr+q/g=")</f>
        <v>#VALUE!</v>
      </c>
      <c r="IP171" t="e">
        <f>AND('UP133'!IE134,"AAAAAHr+q/k=")</f>
        <v>#VALUE!</v>
      </c>
      <c r="IQ171" t="e">
        <f>AND('UP133'!IF134,"AAAAAHr+q/o=")</f>
        <v>#VALUE!</v>
      </c>
      <c r="IR171" t="e">
        <f>AND('UP133'!IG134,"AAAAAHr+q/s=")</f>
        <v>#VALUE!</v>
      </c>
      <c r="IS171" t="e">
        <f>AND('UP133'!IH134,"AAAAAHr+q/w=")</f>
        <v>#VALUE!</v>
      </c>
      <c r="IT171" t="e">
        <f>AND('UP133'!II134,"AAAAAHr+q/0=")</f>
        <v>#VALUE!</v>
      </c>
      <c r="IU171" t="e">
        <f>AND('UP133'!IJ134,"AAAAAHr+q/4=")</f>
        <v>#VALUE!</v>
      </c>
      <c r="IV171" t="e">
        <f>AND('UP133'!IK134,"AAAAAHr+q/8=")</f>
        <v>#VALUE!</v>
      </c>
    </row>
    <row r="172" spans="1:256">
      <c r="A172" t="e">
        <f>AND('UP133'!IL134,"AAAAAH/YmgA=")</f>
        <v>#VALUE!</v>
      </c>
      <c r="B172" t="e">
        <f>AND('UP133'!IM134,"AAAAAH/YmgE=")</f>
        <v>#VALUE!</v>
      </c>
      <c r="C172" t="e">
        <f>AND('UP133'!IN134,"AAAAAH/YmgI=")</f>
        <v>#VALUE!</v>
      </c>
      <c r="D172" t="e">
        <f>AND('UP133'!IO134,"AAAAAH/YmgM=")</f>
        <v>#VALUE!</v>
      </c>
      <c r="E172" t="e">
        <f>AND('UP133'!IP134,"AAAAAH/YmgQ=")</f>
        <v>#VALUE!</v>
      </c>
      <c r="F172" t="e">
        <f>AND('UP133'!IQ134,"AAAAAH/YmgU=")</f>
        <v>#VALUE!</v>
      </c>
      <c r="G172">
        <f>IF('UP133'!135:135,"AAAAAH/YmgY=",0)</f>
        <v>0</v>
      </c>
      <c r="H172" t="e">
        <f>AND('UP133'!A135,"AAAAAH/Ymgc=")</f>
        <v>#VALUE!</v>
      </c>
      <c r="I172" t="e">
        <f>AND('UP133'!B135,"AAAAAH/Ymgg=")</f>
        <v>#VALUE!</v>
      </c>
      <c r="J172" t="e">
        <f>AND('UP133'!C135,"AAAAAH/Ymgk=")</f>
        <v>#VALUE!</v>
      </c>
      <c r="K172" t="e">
        <f>AND('UP133'!D135,"AAAAAH/Ymgo=")</f>
        <v>#VALUE!</v>
      </c>
      <c r="L172" t="e">
        <f>AND('UP133'!E135,"AAAAAH/Ymgs=")</f>
        <v>#VALUE!</v>
      </c>
      <c r="M172" t="e">
        <f>AND('UP133'!F135,"AAAAAH/Ymgw=")</f>
        <v>#VALUE!</v>
      </c>
      <c r="N172" t="e">
        <f>AND('UP133'!G135,"AAAAAH/Ymg0=")</f>
        <v>#VALUE!</v>
      </c>
      <c r="O172" t="e">
        <f>AND('UP133'!H135,"AAAAAH/Ymg4=")</f>
        <v>#VALUE!</v>
      </c>
      <c r="P172" t="e">
        <f>AND('UP133'!I135,"AAAAAH/Ymg8=")</f>
        <v>#VALUE!</v>
      </c>
      <c r="Q172" t="e">
        <f>AND('UP133'!J135,"AAAAAH/YmhA=")</f>
        <v>#VALUE!</v>
      </c>
      <c r="R172" t="e">
        <f>AND('UP133'!K135,"AAAAAH/YmhE=")</f>
        <v>#VALUE!</v>
      </c>
      <c r="S172" t="e">
        <f>AND('UP133'!L135,"AAAAAH/YmhI=")</f>
        <v>#VALUE!</v>
      </c>
      <c r="T172" t="e">
        <f>AND('UP133'!M135,"AAAAAH/YmhM=")</f>
        <v>#VALUE!</v>
      </c>
      <c r="U172" t="e">
        <f>AND('UP133'!N135,"AAAAAH/YmhQ=")</f>
        <v>#VALUE!</v>
      </c>
      <c r="V172" t="e">
        <f>AND('UP133'!O135,"AAAAAH/YmhU=")</f>
        <v>#VALUE!</v>
      </c>
      <c r="W172" t="e">
        <f>AND('UP133'!P135,"AAAAAH/YmhY=")</f>
        <v>#VALUE!</v>
      </c>
      <c r="X172" t="e">
        <f>AND('UP133'!Q135,"AAAAAH/Ymhc=")</f>
        <v>#VALUE!</v>
      </c>
      <c r="Y172" t="e">
        <f>AND('UP133'!R135,"AAAAAH/Ymhg=")</f>
        <v>#VALUE!</v>
      </c>
      <c r="Z172" t="e">
        <f>AND('UP133'!S135,"AAAAAH/Ymhk=")</f>
        <v>#VALUE!</v>
      </c>
      <c r="AA172" t="e">
        <f>AND('UP133'!T135,"AAAAAH/Ymho=")</f>
        <v>#VALUE!</v>
      </c>
      <c r="AB172" t="e">
        <f>AND('UP133'!U135,"AAAAAH/Ymhs=")</f>
        <v>#VALUE!</v>
      </c>
      <c r="AC172" t="e">
        <f>AND('UP133'!V135,"AAAAAH/Ymhw=")</f>
        <v>#VALUE!</v>
      </c>
      <c r="AD172" t="e">
        <f>AND('UP133'!W135,"AAAAAH/Ymh0=")</f>
        <v>#VALUE!</v>
      </c>
      <c r="AE172" t="e">
        <f>AND('UP133'!X135,"AAAAAH/Ymh4=")</f>
        <v>#VALUE!</v>
      </c>
      <c r="AF172" t="e">
        <f>AND('UP133'!Y135,"AAAAAH/Ymh8=")</f>
        <v>#VALUE!</v>
      </c>
      <c r="AG172" t="e">
        <f>AND('UP133'!Z135,"AAAAAH/YmiA=")</f>
        <v>#VALUE!</v>
      </c>
      <c r="AH172" t="e">
        <f>AND('UP133'!AA135,"AAAAAH/YmiE=")</f>
        <v>#VALUE!</v>
      </c>
      <c r="AI172" t="e">
        <f>AND('UP133'!AB135,"AAAAAH/YmiI=")</f>
        <v>#VALUE!</v>
      </c>
      <c r="AJ172" t="e">
        <f>AND('UP133'!AC135,"AAAAAH/YmiM=")</f>
        <v>#VALUE!</v>
      </c>
      <c r="AK172" t="e">
        <f>AND('UP133'!AD135,"AAAAAH/YmiQ=")</f>
        <v>#VALUE!</v>
      </c>
      <c r="AL172" t="e">
        <f>AND('UP133'!AE135,"AAAAAH/YmiU=")</f>
        <v>#VALUE!</v>
      </c>
      <c r="AM172" t="e">
        <f>AND('UP133'!AF135,"AAAAAH/YmiY=")</f>
        <v>#VALUE!</v>
      </c>
      <c r="AN172" t="e">
        <f>AND('UP133'!AG135,"AAAAAH/Ymic=")</f>
        <v>#VALUE!</v>
      </c>
      <c r="AO172" t="e">
        <f>AND('UP133'!AH135,"AAAAAH/Ymig=")</f>
        <v>#VALUE!</v>
      </c>
      <c r="AP172" t="e">
        <f>AND('UP133'!AI135,"AAAAAH/Ymik=")</f>
        <v>#VALUE!</v>
      </c>
      <c r="AQ172" t="e">
        <f>AND('UP133'!AJ135,"AAAAAH/Ymio=")</f>
        <v>#VALUE!</v>
      </c>
      <c r="AR172" t="e">
        <f>AND('UP133'!AK135,"AAAAAH/Ymis=")</f>
        <v>#VALUE!</v>
      </c>
      <c r="AS172" t="e">
        <f>AND('UP133'!AL135,"AAAAAH/Ymiw=")</f>
        <v>#VALUE!</v>
      </c>
      <c r="AT172" t="e">
        <f>AND('UP133'!AM135,"AAAAAH/Ymi0=")</f>
        <v>#VALUE!</v>
      </c>
      <c r="AU172" t="e">
        <f>AND('UP133'!AN135,"AAAAAH/Ymi4=")</f>
        <v>#VALUE!</v>
      </c>
      <c r="AV172" t="e">
        <f>AND('UP133'!AO135,"AAAAAH/Ymi8=")</f>
        <v>#VALUE!</v>
      </c>
      <c r="AW172" t="e">
        <f>AND('UP133'!AP135,"AAAAAH/YmjA=")</f>
        <v>#VALUE!</v>
      </c>
      <c r="AX172" t="e">
        <f>AND('UP133'!AQ135,"AAAAAH/YmjE=")</f>
        <v>#VALUE!</v>
      </c>
      <c r="AY172" t="e">
        <f>AND('UP133'!AR135,"AAAAAH/YmjI=")</f>
        <v>#VALUE!</v>
      </c>
      <c r="AZ172" t="e">
        <f>AND('UP133'!AS135,"AAAAAH/YmjM=")</f>
        <v>#VALUE!</v>
      </c>
      <c r="BA172" t="e">
        <f>AND('UP133'!AT135,"AAAAAH/YmjQ=")</f>
        <v>#VALUE!</v>
      </c>
      <c r="BB172" t="e">
        <f>AND('UP133'!AU135,"AAAAAH/YmjU=")</f>
        <v>#VALUE!</v>
      </c>
      <c r="BC172" t="e">
        <f>AND('UP133'!AV135,"AAAAAH/YmjY=")</f>
        <v>#VALUE!</v>
      </c>
      <c r="BD172" t="e">
        <f>AND('UP133'!AW135,"AAAAAH/Ymjc=")</f>
        <v>#VALUE!</v>
      </c>
      <c r="BE172" t="e">
        <f>AND('UP133'!AX135,"AAAAAH/Ymjg=")</f>
        <v>#VALUE!</v>
      </c>
      <c r="BF172" t="e">
        <f>AND('UP133'!AY135,"AAAAAH/Ymjk=")</f>
        <v>#VALUE!</v>
      </c>
      <c r="BG172" t="e">
        <f>AND('UP133'!AZ135,"AAAAAH/Ymjo=")</f>
        <v>#VALUE!</v>
      </c>
      <c r="BH172" t="e">
        <f>AND('UP133'!BA135,"AAAAAH/Ymjs=")</f>
        <v>#VALUE!</v>
      </c>
      <c r="BI172" t="e">
        <f>AND('UP133'!BB135,"AAAAAH/Ymjw=")</f>
        <v>#VALUE!</v>
      </c>
      <c r="BJ172" t="e">
        <f>AND('UP133'!BC135,"AAAAAH/Ymj0=")</f>
        <v>#VALUE!</v>
      </c>
      <c r="BK172" t="e">
        <f>AND('UP133'!BD135,"AAAAAH/Ymj4=")</f>
        <v>#VALUE!</v>
      </c>
      <c r="BL172" t="e">
        <f>AND('UP133'!BE135,"AAAAAH/Ymj8=")</f>
        <v>#VALUE!</v>
      </c>
      <c r="BM172" t="e">
        <f>AND('UP133'!BF135,"AAAAAH/YmkA=")</f>
        <v>#VALUE!</v>
      </c>
      <c r="BN172" t="e">
        <f>AND('UP133'!BG135,"AAAAAH/YmkE=")</f>
        <v>#VALUE!</v>
      </c>
      <c r="BO172" t="e">
        <f>AND('UP133'!BH135,"AAAAAH/YmkI=")</f>
        <v>#VALUE!</v>
      </c>
      <c r="BP172" t="e">
        <f>AND('UP133'!BI135,"AAAAAH/YmkM=")</f>
        <v>#VALUE!</v>
      </c>
      <c r="BQ172" t="e">
        <f>AND('UP133'!BJ135,"AAAAAH/YmkQ=")</f>
        <v>#VALUE!</v>
      </c>
      <c r="BR172" t="e">
        <f>AND('UP133'!BK135,"AAAAAH/YmkU=")</f>
        <v>#VALUE!</v>
      </c>
      <c r="BS172" t="e">
        <f>AND('UP133'!BL135,"AAAAAH/YmkY=")</f>
        <v>#VALUE!</v>
      </c>
      <c r="BT172" t="e">
        <f>AND('UP133'!BM135,"AAAAAH/Ymkc=")</f>
        <v>#VALUE!</v>
      </c>
      <c r="BU172" t="e">
        <f>AND('UP133'!BN135,"AAAAAH/Ymkg=")</f>
        <v>#VALUE!</v>
      </c>
      <c r="BV172" t="e">
        <f>AND('UP133'!BO135,"AAAAAH/Ymkk=")</f>
        <v>#VALUE!</v>
      </c>
      <c r="BW172" t="e">
        <f>AND('UP133'!BP135,"AAAAAH/Ymko=")</f>
        <v>#VALUE!</v>
      </c>
      <c r="BX172" t="e">
        <f>AND('UP133'!BQ135,"AAAAAH/Ymks=")</f>
        <v>#VALUE!</v>
      </c>
      <c r="BY172" t="e">
        <f>AND('UP133'!BR135,"AAAAAH/Ymkw=")</f>
        <v>#VALUE!</v>
      </c>
      <c r="BZ172" t="e">
        <f>AND('UP133'!BS135,"AAAAAH/Ymk0=")</f>
        <v>#VALUE!</v>
      </c>
      <c r="CA172" t="e">
        <f>AND('UP133'!BT135,"AAAAAH/Ymk4=")</f>
        <v>#VALUE!</v>
      </c>
      <c r="CB172" t="e">
        <f>AND('UP133'!BU135,"AAAAAH/Ymk8=")</f>
        <v>#VALUE!</v>
      </c>
      <c r="CC172" t="e">
        <f>AND('UP133'!BV135,"AAAAAH/YmlA=")</f>
        <v>#VALUE!</v>
      </c>
      <c r="CD172" t="e">
        <f>AND('UP133'!BW135,"AAAAAH/YmlE=")</f>
        <v>#VALUE!</v>
      </c>
      <c r="CE172" t="e">
        <f>AND('UP133'!BX135,"AAAAAH/YmlI=")</f>
        <v>#VALUE!</v>
      </c>
      <c r="CF172" t="e">
        <f>AND('UP133'!BY135,"AAAAAH/YmlM=")</f>
        <v>#VALUE!</v>
      </c>
      <c r="CG172" t="e">
        <f>AND('UP133'!BZ135,"AAAAAH/YmlQ=")</f>
        <v>#VALUE!</v>
      </c>
      <c r="CH172" t="e">
        <f>AND('UP133'!CA135,"AAAAAH/YmlU=")</f>
        <v>#VALUE!</v>
      </c>
      <c r="CI172" t="e">
        <f>AND('UP133'!CB135,"AAAAAH/YmlY=")</f>
        <v>#VALUE!</v>
      </c>
      <c r="CJ172" t="e">
        <f>AND('UP133'!CC135,"AAAAAH/Ymlc=")</f>
        <v>#VALUE!</v>
      </c>
      <c r="CK172" t="e">
        <f>AND('UP133'!CD135,"AAAAAH/Ymlg=")</f>
        <v>#VALUE!</v>
      </c>
      <c r="CL172" t="e">
        <f>AND('UP133'!CE135,"AAAAAH/Ymlk=")</f>
        <v>#VALUE!</v>
      </c>
      <c r="CM172" t="e">
        <f>AND('UP133'!CF135,"AAAAAH/Ymlo=")</f>
        <v>#VALUE!</v>
      </c>
      <c r="CN172" t="e">
        <f>AND('UP133'!CG135,"AAAAAH/Ymls=")</f>
        <v>#VALUE!</v>
      </c>
      <c r="CO172" t="e">
        <f>AND('UP133'!CH135,"AAAAAH/Ymlw=")</f>
        <v>#VALUE!</v>
      </c>
      <c r="CP172" t="e">
        <f>AND('UP133'!CI135,"AAAAAH/Yml0=")</f>
        <v>#VALUE!</v>
      </c>
      <c r="CQ172" t="e">
        <f>AND('UP133'!CJ135,"AAAAAH/Yml4=")</f>
        <v>#VALUE!</v>
      </c>
      <c r="CR172" t="e">
        <f>AND('UP133'!CK135,"AAAAAH/Yml8=")</f>
        <v>#VALUE!</v>
      </c>
      <c r="CS172" t="e">
        <f>AND('UP133'!CL135,"AAAAAH/YmmA=")</f>
        <v>#VALUE!</v>
      </c>
      <c r="CT172" t="e">
        <f>AND('UP133'!CM135,"AAAAAH/YmmE=")</f>
        <v>#VALUE!</v>
      </c>
      <c r="CU172" t="e">
        <f>AND('UP133'!CN135,"AAAAAH/YmmI=")</f>
        <v>#VALUE!</v>
      </c>
      <c r="CV172" t="e">
        <f>AND('UP133'!CO135,"AAAAAH/YmmM=")</f>
        <v>#VALUE!</v>
      </c>
      <c r="CW172" t="e">
        <f>AND('UP133'!CP135,"AAAAAH/YmmQ=")</f>
        <v>#VALUE!</v>
      </c>
      <c r="CX172" t="e">
        <f>AND('UP133'!CQ135,"AAAAAH/YmmU=")</f>
        <v>#VALUE!</v>
      </c>
      <c r="CY172" t="e">
        <f>AND('UP133'!CR135,"AAAAAH/YmmY=")</f>
        <v>#VALUE!</v>
      </c>
      <c r="CZ172" t="e">
        <f>AND('UP133'!CS135,"AAAAAH/Ymmc=")</f>
        <v>#VALUE!</v>
      </c>
      <c r="DA172" t="e">
        <f>AND('UP133'!CT135,"AAAAAH/Ymmg=")</f>
        <v>#VALUE!</v>
      </c>
      <c r="DB172" t="e">
        <f>AND('UP133'!CU135,"AAAAAH/Ymmk=")</f>
        <v>#VALUE!</v>
      </c>
      <c r="DC172" t="e">
        <f>AND('UP133'!CV135,"AAAAAH/Ymmo=")</f>
        <v>#VALUE!</v>
      </c>
      <c r="DD172" t="e">
        <f>AND('UP133'!CW135,"AAAAAH/Ymms=")</f>
        <v>#VALUE!</v>
      </c>
      <c r="DE172" t="e">
        <f>AND('UP133'!CX135,"AAAAAH/Ymmw=")</f>
        <v>#VALUE!</v>
      </c>
      <c r="DF172" t="e">
        <f>AND('UP133'!CY135,"AAAAAH/Ymm0=")</f>
        <v>#VALUE!</v>
      </c>
      <c r="DG172" t="e">
        <f>AND('UP133'!CZ135,"AAAAAH/Ymm4=")</f>
        <v>#VALUE!</v>
      </c>
      <c r="DH172" t="e">
        <f>AND('UP133'!DA135,"AAAAAH/Ymm8=")</f>
        <v>#VALUE!</v>
      </c>
      <c r="DI172" t="e">
        <f>AND('UP133'!DB135,"AAAAAH/YmnA=")</f>
        <v>#VALUE!</v>
      </c>
      <c r="DJ172" t="e">
        <f>AND('UP133'!DC135,"AAAAAH/YmnE=")</f>
        <v>#VALUE!</v>
      </c>
      <c r="DK172" t="e">
        <f>AND('UP133'!DD135,"AAAAAH/YmnI=")</f>
        <v>#VALUE!</v>
      </c>
      <c r="DL172" t="e">
        <f>AND('UP133'!DE135,"AAAAAH/YmnM=")</f>
        <v>#VALUE!</v>
      </c>
      <c r="DM172" t="e">
        <f>AND('UP133'!DF135,"AAAAAH/YmnQ=")</f>
        <v>#VALUE!</v>
      </c>
      <c r="DN172" t="e">
        <f>AND('UP133'!DG135,"AAAAAH/YmnU=")</f>
        <v>#VALUE!</v>
      </c>
      <c r="DO172" t="e">
        <f>AND('UP133'!DH135,"AAAAAH/YmnY=")</f>
        <v>#VALUE!</v>
      </c>
      <c r="DP172" t="e">
        <f>AND('UP133'!DI135,"AAAAAH/Ymnc=")</f>
        <v>#VALUE!</v>
      </c>
      <c r="DQ172" t="e">
        <f>AND('UP133'!DJ135,"AAAAAH/Ymng=")</f>
        <v>#VALUE!</v>
      </c>
      <c r="DR172" t="e">
        <f>AND('UP133'!DK135,"AAAAAH/Ymnk=")</f>
        <v>#VALUE!</v>
      </c>
      <c r="DS172" t="e">
        <f>AND('UP133'!DL135,"AAAAAH/Ymno=")</f>
        <v>#VALUE!</v>
      </c>
      <c r="DT172" t="e">
        <f>AND('UP133'!DM135,"AAAAAH/Ymns=")</f>
        <v>#VALUE!</v>
      </c>
      <c r="DU172" t="e">
        <f>AND('UP133'!DN135,"AAAAAH/Ymnw=")</f>
        <v>#VALUE!</v>
      </c>
      <c r="DV172" t="e">
        <f>AND('UP133'!DO135,"AAAAAH/Ymn0=")</f>
        <v>#VALUE!</v>
      </c>
      <c r="DW172" t="e">
        <f>AND('UP133'!DP135,"AAAAAH/Ymn4=")</f>
        <v>#VALUE!</v>
      </c>
      <c r="DX172" t="e">
        <f>AND('UP133'!DQ135,"AAAAAH/Ymn8=")</f>
        <v>#VALUE!</v>
      </c>
      <c r="DY172" t="e">
        <f>AND('UP133'!DR135,"AAAAAH/YmoA=")</f>
        <v>#VALUE!</v>
      </c>
      <c r="DZ172" t="e">
        <f>AND('UP133'!DS135,"AAAAAH/YmoE=")</f>
        <v>#VALUE!</v>
      </c>
      <c r="EA172" t="e">
        <f>AND('UP133'!DT135,"AAAAAH/YmoI=")</f>
        <v>#VALUE!</v>
      </c>
      <c r="EB172" t="e">
        <f>AND('UP133'!DU135,"AAAAAH/YmoM=")</f>
        <v>#VALUE!</v>
      </c>
      <c r="EC172" t="e">
        <f>AND('UP133'!DV135,"AAAAAH/YmoQ=")</f>
        <v>#VALUE!</v>
      </c>
      <c r="ED172" t="e">
        <f>AND('UP133'!DW135,"AAAAAH/YmoU=")</f>
        <v>#VALUE!</v>
      </c>
      <c r="EE172" t="e">
        <f>AND('UP133'!DX135,"AAAAAH/YmoY=")</f>
        <v>#VALUE!</v>
      </c>
      <c r="EF172" t="e">
        <f>AND('UP133'!DY135,"AAAAAH/Ymoc=")</f>
        <v>#VALUE!</v>
      </c>
      <c r="EG172" t="e">
        <f>AND('UP133'!DZ135,"AAAAAH/Ymog=")</f>
        <v>#VALUE!</v>
      </c>
      <c r="EH172" t="e">
        <f>AND('UP133'!EA135,"AAAAAH/Ymok=")</f>
        <v>#VALUE!</v>
      </c>
      <c r="EI172" t="e">
        <f>AND('UP133'!EB135,"AAAAAH/Ymoo=")</f>
        <v>#VALUE!</v>
      </c>
      <c r="EJ172" t="e">
        <f>AND('UP133'!EC135,"AAAAAH/Ymos=")</f>
        <v>#VALUE!</v>
      </c>
      <c r="EK172" t="e">
        <f>AND('UP133'!ED135,"AAAAAH/Ymow=")</f>
        <v>#VALUE!</v>
      </c>
      <c r="EL172" t="e">
        <f>AND('UP133'!EE135,"AAAAAH/Ymo0=")</f>
        <v>#VALUE!</v>
      </c>
      <c r="EM172" t="e">
        <f>AND('UP133'!EF135,"AAAAAH/Ymo4=")</f>
        <v>#VALUE!</v>
      </c>
      <c r="EN172" t="e">
        <f>AND('UP133'!EG135,"AAAAAH/Ymo8=")</f>
        <v>#VALUE!</v>
      </c>
      <c r="EO172" t="e">
        <f>AND('UP133'!EH135,"AAAAAH/YmpA=")</f>
        <v>#VALUE!</v>
      </c>
      <c r="EP172" t="e">
        <f>AND('UP133'!EI135,"AAAAAH/YmpE=")</f>
        <v>#VALUE!</v>
      </c>
      <c r="EQ172" t="e">
        <f>AND('UP133'!EJ135,"AAAAAH/YmpI=")</f>
        <v>#VALUE!</v>
      </c>
      <c r="ER172" t="e">
        <f>AND('UP133'!EK135,"AAAAAH/YmpM=")</f>
        <v>#VALUE!</v>
      </c>
      <c r="ES172" t="e">
        <f>AND('UP133'!EL135,"AAAAAH/YmpQ=")</f>
        <v>#VALUE!</v>
      </c>
      <c r="ET172" t="e">
        <f>AND('UP133'!EM135,"AAAAAH/YmpU=")</f>
        <v>#VALUE!</v>
      </c>
      <c r="EU172" t="e">
        <f>AND('UP133'!EN135,"AAAAAH/YmpY=")</f>
        <v>#VALUE!</v>
      </c>
      <c r="EV172" t="e">
        <f>AND('UP133'!EO135,"AAAAAH/Ympc=")</f>
        <v>#VALUE!</v>
      </c>
      <c r="EW172" t="e">
        <f>AND('UP133'!EP135,"AAAAAH/Ympg=")</f>
        <v>#VALUE!</v>
      </c>
      <c r="EX172" t="e">
        <f>AND('UP133'!EQ135,"AAAAAH/Ympk=")</f>
        <v>#VALUE!</v>
      </c>
      <c r="EY172" t="e">
        <f>AND('UP133'!ER135,"AAAAAH/Ympo=")</f>
        <v>#VALUE!</v>
      </c>
      <c r="EZ172" t="e">
        <f>AND('UP133'!ES135,"AAAAAH/Ymps=")</f>
        <v>#VALUE!</v>
      </c>
      <c r="FA172" t="e">
        <f>AND('UP133'!ET135,"AAAAAH/Ympw=")</f>
        <v>#VALUE!</v>
      </c>
      <c r="FB172" t="e">
        <f>AND('UP133'!EU135,"AAAAAH/Ymp0=")</f>
        <v>#VALUE!</v>
      </c>
      <c r="FC172" t="e">
        <f>AND('UP133'!EV135,"AAAAAH/Ymp4=")</f>
        <v>#VALUE!</v>
      </c>
      <c r="FD172" t="e">
        <f>AND('UP133'!EW135,"AAAAAH/Ymp8=")</f>
        <v>#VALUE!</v>
      </c>
      <c r="FE172" t="e">
        <f>AND('UP133'!EX135,"AAAAAH/YmqA=")</f>
        <v>#VALUE!</v>
      </c>
      <c r="FF172" t="e">
        <f>AND('UP133'!EY135,"AAAAAH/YmqE=")</f>
        <v>#VALUE!</v>
      </c>
      <c r="FG172" t="e">
        <f>AND('UP133'!EZ135,"AAAAAH/YmqI=")</f>
        <v>#VALUE!</v>
      </c>
      <c r="FH172" t="e">
        <f>AND('UP133'!FA135,"AAAAAH/YmqM=")</f>
        <v>#VALUE!</v>
      </c>
      <c r="FI172" t="e">
        <f>AND('UP133'!FB135,"AAAAAH/YmqQ=")</f>
        <v>#VALUE!</v>
      </c>
      <c r="FJ172" t="e">
        <f>AND('UP133'!FC135,"AAAAAH/YmqU=")</f>
        <v>#VALUE!</v>
      </c>
      <c r="FK172" t="e">
        <f>AND('UP133'!FD135,"AAAAAH/YmqY=")</f>
        <v>#VALUE!</v>
      </c>
      <c r="FL172" t="e">
        <f>AND('UP133'!FE135,"AAAAAH/Ymqc=")</f>
        <v>#VALUE!</v>
      </c>
      <c r="FM172" t="e">
        <f>AND('UP133'!FF135,"AAAAAH/Ymqg=")</f>
        <v>#VALUE!</v>
      </c>
      <c r="FN172" t="e">
        <f>AND('UP133'!FG135,"AAAAAH/Ymqk=")</f>
        <v>#VALUE!</v>
      </c>
      <c r="FO172" t="e">
        <f>AND('UP133'!FH135,"AAAAAH/Ymqo=")</f>
        <v>#VALUE!</v>
      </c>
      <c r="FP172" t="e">
        <f>AND('UP133'!FI135,"AAAAAH/Ymqs=")</f>
        <v>#VALUE!</v>
      </c>
      <c r="FQ172" t="e">
        <f>AND('UP133'!FJ135,"AAAAAH/Ymqw=")</f>
        <v>#VALUE!</v>
      </c>
      <c r="FR172" t="e">
        <f>AND('UP133'!FK135,"AAAAAH/Ymq0=")</f>
        <v>#VALUE!</v>
      </c>
      <c r="FS172" t="e">
        <f>AND('UP133'!FL135,"AAAAAH/Ymq4=")</f>
        <v>#VALUE!</v>
      </c>
      <c r="FT172" t="e">
        <f>AND('UP133'!FM135,"AAAAAH/Ymq8=")</f>
        <v>#VALUE!</v>
      </c>
      <c r="FU172" t="e">
        <f>AND('UP133'!FN135,"AAAAAH/YmrA=")</f>
        <v>#VALUE!</v>
      </c>
      <c r="FV172" t="e">
        <f>AND('UP133'!FO135,"AAAAAH/YmrE=")</f>
        <v>#VALUE!</v>
      </c>
      <c r="FW172" t="e">
        <f>AND('UP133'!FP135,"AAAAAH/YmrI=")</f>
        <v>#VALUE!</v>
      </c>
      <c r="FX172" t="e">
        <f>AND('UP133'!FQ135,"AAAAAH/YmrM=")</f>
        <v>#VALUE!</v>
      </c>
      <c r="FY172" t="e">
        <f>AND('UP133'!FR135,"AAAAAH/YmrQ=")</f>
        <v>#VALUE!</v>
      </c>
      <c r="FZ172" t="e">
        <f>AND('UP133'!FS135,"AAAAAH/YmrU=")</f>
        <v>#VALUE!</v>
      </c>
      <c r="GA172" t="e">
        <f>AND('UP133'!FT135,"AAAAAH/YmrY=")</f>
        <v>#VALUE!</v>
      </c>
      <c r="GB172" t="e">
        <f>AND('UP133'!FU135,"AAAAAH/Ymrc=")</f>
        <v>#VALUE!</v>
      </c>
      <c r="GC172" t="e">
        <f>AND('UP133'!FV135,"AAAAAH/Ymrg=")</f>
        <v>#VALUE!</v>
      </c>
      <c r="GD172" t="e">
        <f>AND('UP133'!FW135,"AAAAAH/Ymrk=")</f>
        <v>#VALUE!</v>
      </c>
      <c r="GE172" t="e">
        <f>AND('UP133'!FX135,"AAAAAH/Ymro=")</f>
        <v>#VALUE!</v>
      </c>
      <c r="GF172" t="e">
        <f>AND('UP133'!FY135,"AAAAAH/Ymrs=")</f>
        <v>#VALUE!</v>
      </c>
      <c r="GG172" t="e">
        <f>AND('UP133'!FZ135,"AAAAAH/Ymrw=")</f>
        <v>#VALUE!</v>
      </c>
      <c r="GH172" t="e">
        <f>AND('UP133'!GA135,"AAAAAH/Ymr0=")</f>
        <v>#VALUE!</v>
      </c>
      <c r="GI172" t="e">
        <f>AND('UP133'!GB135,"AAAAAH/Ymr4=")</f>
        <v>#VALUE!</v>
      </c>
      <c r="GJ172" t="e">
        <f>AND('UP133'!GC135,"AAAAAH/Ymr8=")</f>
        <v>#VALUE!</v>
      </c>
      <c r="GK172" t="e">
        <f>AND('UP133'!GD135,"AAAAAH/YmsA=")</f>
        <v>#VALUE!</v>
      </c>
      <c r="GL172" t="e">
        <f>AND('UP133'!GE135,"AAAAAH/YmsE=")</f>
        <v>#VALUE!</v>
      </c>
      <c r="GM172" t="e">
        <f>AND('UP133'!GF135,"AAAAAH/YmsI=")</f>
        <v>#VALUE!</v>
      </c>
      <c r="GN172" t="e">
        <f>AND('UP133'!GG135,"AAAAAH/YmsM=")</f>
        <v>#VALUE!</v>
      </c>
      <c r="GO172" t="e">
        <f>AND('UP133'!GH135,"AAAAAH/YmsQ=")</f>
        <v>#VALUE!</v>
      </c>
      <c r="GP172" t="e">
        <f>AND('UP133'!GI135,"AAAAAH/YmsU=")</f>
        <v>#VALUE!</v>
      </c>
      <c r="GQ172" t="e">
        <f>AND('UP133'!GJ135,"AAAAAH/YmsY=")</f>
        <v>#VALUE!</v>
      </c>
      <c r="GR172" t="e">
        <f>AND('UP133'!GK135,"AAAAAH/Ymsc=")</f>
        <v>#VALUE!</v>
      </c>
      <c r="GS172" t="e">
        <f>AND('UP133'!GL135,"AAAAAH/Ymsg=")</f>
        <v>#VALUE!</v>
      </c>
      <c r="GT172" t="e">
        <f>AND('UP133'!GM135,"AAAAAH/Ymsk=")</f>
        <v>#VALUE!</v>
      </c>
      <c r="GU172" t="e">
        <f>AND('UP133'!GN135,"AAAAAH/Ymso=")</f>
        <v>#VALUE!</v>
      </c>
      <c r="GV172" t="e">
        <f>AND('UP133'!GO135,"AAAAAH/Ymss=")</f>
        <v>#VALUE!</v>
      </c>
      <c r="GW172" t="e">
        <f>AND('UP133'!GP135,"AAAAAH/Ymsw=")</f>
        <v>#VALUE!</v>
      </c>
      <c r="GX172" t="e">
        <f>AND('UP133'!GQ135,"AAAAAH/Yms0=")</f>
        <v>#VALUE!</v>
      </c>
      <c r="GY172" t="e">
        <f>AND('UP133'!GR135,"AAAAAH/Yms4=")</f>
        <v>#VALUE!</v>
      </c>
      <c r="GZ172" t="e">
        <f>AND('UP133'!GS135,"AAAAAH/Yms8=")</f>
        <v>#VALUE!</v>
      </c>
      <c r="HA172" t="e">
        <f>AND('UP133'!GT135,"AAAAAH/YmtA=")</f>
        <v>#VALUE!</v>
      </c>
      <c r="HB172" t="e">
        <f>AND('UP133'!GU135,"AAAAAH/YmtE=")</f>
        <v>#VALUE!</v>
      </c>
      <c r="HC172" t="e">
        <f>AND('UP133'!GV135,"AAAAAH/YmtI=")</f>
        <v>#VALUE!</v>
      </c>
      <c r="HD172" t="e">
        <f>AND('UP133'!GW135,"AAAAAH/YmtM=")</f>
        <v>#VALUE!</v>
      </c>
      <c r="HE172" t="e">
        <f>AND('UP133'!GX135,"AAAAAH/YmtQ=")</f>
        <v>#VALUE!</v>
      </c>
      <c r="HF172" t="e">
        <f>AND('UP133'!GY135,"AAAAAH/YmtU=")</f>
        <v>#VALUE!</v>
      </c>
      <c r="HG172" t="e">
        <f>AND('UP133'!GZ135,"AAAAAH/YmtY=")</f>
        <v>#VALUE!</v>
      </c>
      <c r="HH172" t="e">
        <f>AND('UP133'!HA135,"AAAAAH/Ymtc=")</f>
        <v>#VALUE!</v>
      </c>
      <c r="HI172" t="e">
        <f>AND('UP133'!HB135,"AAAAAH/Ymtg=")</f>
        <v>#VALUE!</v>
      </c>
      <c r="HJ172" t="e">
        <f>AND('UP133'!HC135,"AAAAAH/Ymtk=")</f>
        <v>#VALUE!</v>
      </c>
      <c r="HK172" t="e">
        <f>AND('UP133'!HD135,"AAAAAH/Ymto=")</f>
        <v>#VALUE!</v>
      </c>
      <c r="HL172" t="e">
        <f>AND('UP133'!HE135,"AAAAAH/Ymts=")</f>
        <v>#VALUE!</v>
      </c>
      <c r="HM172" t="e">
        <f>AND('UP133'!HF135,"AAAAAH/Ymtw=")</f>
        <v>#VALUE!</v>
      </c>
      <c r="HN172" t="e">
        <f>AND('UP133'!HG135,"AAAAAH/Ymt0=")</f>
        <v>#VALUE!</v>
      </c>
      <c r="HO172" t="e">
        <f>AND('UP133'!HH135,"AAAAAH/Ymt4=")</f>
        <v>#VALUE!</v>
      </c>
      <c r="HP172" t="e">
        <f>AND('UP133'!HI135,"AAAAAH/Ymt8=")</f>
        <v>#VALUE!</v>
      </c>
      <c r="HQ172" t="e">
        <f>AND('UP133'!HJ135,"AAAAAH/YmuA=")</f>
        <v>#VALUE!</v>
      </c>
      <c r="HR172" t="e">
        <f>AND('UP133'!HK135,"AAAAAH/YmuE=")</f>
        <v>#VALUE!</v>
      </c>
      <c r="HS172" t="e">
        <f>AND('UP133'!HL135,"AAAAAH/YmuI=")</f>
        <v>#VALUE!</v>
      </c>
      <c r="HT172" t="e">
        <f>AND('UP133'!HM135,"AAAAAH/YmuM=")</f>
        <v>#VALUE!</v>
      </c>
      <c r="HU172" t="e">
        <f>AND('UP133'!HN135,"AAAAAH/YmuQ=")</f>
        <v>#VALUE!</v>
      </c>
      <c r="HV172" t="e">
        <f>AND('UP133'!HO135,"AAAAAH/YmuU=")</f>
        <v>#VALUE!</v>
      </c>
      <c r="HW172" t="e">
        <f>AND('UP133'!HP135,"AAAAAH/YmuY=")</f>
        <v>#VALUE!</v>
      </c>
      <c r="HX172" t="e">
        <f>AND('UP133'!HQ135,"AAAAAH/Ymuc=")</f>
        <v>#VALUE!</v>
      </c>
      <c r="HY172" t="e">
        <f>AND('UP133'!HR135,"AAAAAH/Ymug=")</f>
        <v>#VALUE!</v>
      </c>
      <c r="HZ172" t="e">
        <f>AND('UP133'!HS135,"AAAAAH/Ymuk=")</f>
        <v>#VALUE!</v>
      </c>
      <c r="IA172" t="e">
        <f>AND('UP133'!HT135,"AAAAAH/Ymuo=")</f>
        <v>#VALUE!</v>
      </c>
      <c r="IB172" t="e">
        <f>AND('UP133'!HU135,"AAAAAH/Ymus=")</f>
        <v>#VALUE!</v>
      </c>
      <c r="IC172" t="e">
        <f>AND('UP133'!HV135,"AAAAAH/Ymuw=")</f>
        <v>#VALUE!</v>
      </c>
      <c r="ID172" t="e">
        <f>AND('UP133'!HW135,"AAAAAH/Ymu0=")</f>
        <v>#VALUE!</v>
      </c>
      <c r="IE172" t="e">
        <f>AND('UP133'!HX135,"AAAAAH/Ymu4=")</f>
        <v>#VALUE!</v>
      </c>
      <c r="IF172" t="e">
        <f>AND('UP133'!HY135,"AAAAAH/Ymu8=")</f>
        <v>#VALUE!</v>
      </c>
      <c r="IG172" t="e">
        <f>AND('UP133'!HZ135,"AAAAAH/YmvA=")</f>
        <v>#VALUE!</v>
      </c>
      <c r="IH172" t="e">
        <f>AND('UP133'!IA135,"AAAAAH/YmvE=")</f>
        <v>#VALUE!</v>
      </c>
      <c r="II172" t="e">
        <f>AND('UP133'!IB135,"AAAAAH/YmvI=")</f>
        <v>#VALUE!</v>
      </c>
      <c r="IJ172" t="e">
        <f>AND('UP133'!IC135,"AAAAAH/YmvM=")</f>
        <v>#VALUE!</v>
      </c>
      <c r="IK172" t="e">
        <f>AND('UP133'!ID135,"AAAAAH/YmvQ=")</f>
        <v>#VALUE!</v>
      </c>
      <c r="IL172" t="e">
        <f>AND('UP133'!IE135,"AAAAAH/YmvU=")</f>
        <v>#VALUE!</v>
      </c>
      <c r="IM172" t="e">
        <f>AND('UP133'!IF135,"AAAAAH/YmvY=")</f>
        <v>#VALUE!</v>
      </c>
      <c r="IN172" t="e">
        <f>AND('UP133'!IG135,"AAAAAH/Ymvc=")</f>
        <v>#VALUE!</v>
      </c>
      <c r="IO172" t="e">
        <f>AND('UP133'!IH135,"AAAAAH/Ymvg=")</f>
        <v>#VALUE!</v>
      </c>
      <c r="IP172" t="e">
        <f>AND('UP133'!II135,"AAAAAH/Ymvk=")</f>
        <v>#VALUE!</v>
      </c>
      <c r="IQ172" t="e">
        <f>AND('UP133'!IJ135,"AAAAAH/Ymvo=")</f>
        <v>#VALUE!</v>
      </c>
      <c r="IR172" t="e">
        <f>AND('UP133'!IK135,"AAAAAH/Ymvs=")</f>
        <v>#VALUE!</v>
      </c>
      <c r="IS172" t="e">
        <f>AND('UP133'!IL135,"AAAAAH/Ymvw=")</f>
        <v>#VALUE!</v>
      </c>
      <c r="IT172" t="e">
        <f>AND('UP133'!IM135,"AAAAAH/Ymv0=")</f>
        <v>#VALUE!</v>
      </c>
      <c r="IU172" t="e">
        <f>AND('UP133'!IN135,"AAAAAH/Ymv4=")</f>
        <v>#VALUE!</v>
      </c>
      <c r="IV172" t="e">
        <f>AND('UP133'!IO135,"AAAAAH/Ymv8=")</f>
        <v>#VALUE!</v>
      </c>
    </row>
    <row r="173" spans="1:256">
      <c r="A173" t="e">
        <f>AND('UP133'!IP135,"AAAAAC3/nwA=")</f>
        <v>#VALUE!</v>
      </c>
      <c r="B173" t="e">
        <f>AND('UP133'!IQ135,"AAAAAC3/nwE=")</f>
        <v>#VALUE!</v>
      </c>
      <c r="C173" t="str">
        <f>IF('UP133'!136:136,"AAAAAC3/nwI=",0)</f>
        <v>AAAAAC3/nwI=</v>
      </c>
      <c r="D173" t="e">
        <f>AND('UP133'!A136,"AAAAAC3/nwM=")</f>
        <v>#VALUE!</v>
      </c>
      <c r="E173" t="e">
        <f>AND('UP133'!B136,"AAAAAC3/nwQ=")</f>
        <v>#VALUE!</v>
      </c>
      <c r="F173" t="e">
        <f>AND('UP133'!C136,"AAAAAC3/nwU=")</f>
        <v>#VALUE!</v>
      </c>
      <c r="G173" t="e">
        <f>AND('UP133'!D136,"AAAAAC3/nwY=")</f>
        <v>#VALUE!</v>
      </c>
      <c r="H173" t="e">
        <f>AND('UP133'!E136,"AAAAAC3/nwc=")</f>
        <v>#VALUE!</v>
      </c>
      <c r="I173" t="e">
        <f>AND('UP133'!F136,"AAAAAC3/nwg=")</f>
        <v>#VALUE!</v>
      </c>
      <c r="J173" t="e">
        <f>AND('UP133'!G136,"AAAAAC3/nwk=")</f>
        <v>#VALUE!</v>
      </c>
      <c r="K173" t="e">
        <f>AND('UP133'!H136,"AAAAAC3/nwo=")</f>
        <v>#VALUE!</v>
      </c>
      <c r="L173" t="e">
        <f>AND('UP133'!I136,"AAAAAC3/nws=")</f>
        <v>#VALUE!</v>
      </c>
      <c r="M173" t="e">
        <f>AND('UP133'!J136,"AAAAAC3/nww=")</f>
        <v>#VALUE!</v>
      </c>
      <c r="N173" t="e">
        <f>AND('UP133'!K136,"AAAAAC3/nw0=")</f>
        <v>#VALUE!</v>
      </c>
      <c r="O173" t="e">
        <f>AND('UP133'!L136,"AAAAAC3/nw4=")</f>
        <v>#VALUE!</v>
      </c>
      <c r="P173" t="e">
        <f>AND('UP133'!M136,"AAAAAC3/nw8=")</f>
        <v>#VALUE!</v>
      </c>
      <c r="Q173" t="e">
        <f>AND('UP133'!N136,"AAAAAC3/nxA=")</f>
        <v>#VALUE!</v>
      </c>
      <c r="R173" t="e">
        <f>AND('UP133'!O136,"AAAAAC3/nxE=")</f>
        <v>#VALUE!</v>
      </c>
      <c r="S173" t="e">
        <f>AND('UP133'!P136,"AAAAAC3/nxI=")</f>
        <v>#VALUE!</v>
      </c>
      <c r="T173" t="e">
        <f>AND('UP133'!Q136,"AAAAAC3/nxM=")</f>
        <v>#VALUE!</v>
      </c>
      <c r="U173" t="e">
        <f>AND('UP133'!R136,"AAAAAC3/nxQ=")</f>
        <v>#VALUE!</v>
      </c>
      <c r="V173" t="e">
        <f>AND('UP133'!S136,"AAAAAC3/nxU=")</f>
        <v>#VALUE!</v>
      </c>
      <c r="W173" t="e">
        <f>AND('UP133'!T136,"AAAAAC3/nxY=")</f>
        <v>#VALUE!</v>
      </c>
      <c r="X173" t="e">
        <f>AND('UP133'!U136,"AAAAAC3/nxc=")</f>
        <v>#VALUE!</v>
      </c>
      <c r="Y173" t="e">
        <f>AND('UP133'!V136,"AAAAAC3/nxg=")</f>
        <v>#VALUE!</v>
      </c>
      <c r="Z173" t="e">
        <f>AND('UP133'!W136,"AAAAAC3/nxk=")</f>
        <v>#VALUE!</v>
      </c>
      <c r="AA173" t="e">
        <f>AND('UP133'!X136,"AAAAAC3/nxo=")</f>
        <v>#VALUE!</v>
      </c>
      <c r="AB173" t="e">
        <f>AND('UP133'!Y136,"AAAAAC3/nxs=")</f>
        <v>#VALUE!</v>
      </c>
      <c r="AC173" t="e">
        <f>AND('UP133'!Z136,"AAAAAC3/nxw=")</f>
        <v>#VALUE!</v>
      </c>
      <c r="AD173" t="e">
        <f>AND('UP133'!AA136,"AAAAAC3/nx0=")</f>
        <v>#VALUE!</v>
      </c>
      <c r="AE173" t="e">
        <f>AND('UP133'!AB136,"AAAAAC3/nx4=")</f>
        <v>#VALUE!</v>
      </c>
      <c r="AF173" t="e">
        <f>AND('UP133'!AC136,"AAAAAC3/nx8=")</f>
        <v>#VALUE!</v>
      </c>
      <c r="AG173" t="e">
        <f>AND('UP133'!AD136,"AAAAAC3/nyA=")</f>
        <v>#VALUE!</v>
      </c>
      <c r="AH173" t="e">
        <f>AND('UP133'!AE136,"AAAAAC3/nyE=")</f>
        <v>#VALUE!</v>
      </c>
      <c r="AI173" t="e">
        <f>AND('UP133'!AF136,"AAAAAC3/nyI=")</f>
        <v>#VALUE!</v>
      </c>
      <c r="AJ173" t="e">
        <f>AND('UP133'!AG136,"AAAAAC3/nyM=")</f>
        <v>#VALUE!</v>
      </c>
      <c r="AK173" t="e">
        <f>AND('UP133'!AH136,"AAAAAC3/nyQ=")</f>
        <v>#VALUE!</v>
      </c>
      <c r="AL173" t="e">
        <f>AND('UP133'!AI136,"AAAAAC3/nyU=")</f>
        <v>#VALUE!</v>
      </c>
      <c r="AM173" t="e">
        <f>AND('UP133'!AJ136,"AAAAAC3/nyY=")</f>
        <v>#VALUE!</v>
      </c>
      <c r="AN173" t="e">
        <f>AND('UP133'!AK136,"AAAAAC3/nyc=")</f>
        <v>#VALUE!</v>
      </c>
      <c r="AO173" t="e">
        <f>AND('UP133'!AL136,"AAAAAC3/nyg=")</f>
        <v>#VALUE!</v>
      </c>
      <c r="AP173" t="e">
        <f>AND('UP133'!AM136,"AAAAAC3/nyk=")</f>
        <v>#VALUE!</v>
      </c>
      <c r="AQ173" t="e">
        <f>AND('UP133'!AN136,"AAAAAC3/nyo=")</f>
        <v>#VALUE!</v>
      </c>
      <c r="AR173" t="e">
        <f>AND('UP133'!AO136,"AAAAAC3/nys=")</f>
        <v>#VALUE!</v>
      </c>
      <c r="AS173" t="e">
        <f>AND('UP133'!AP136,"AAAAAC3/nyw=")</f>
        <v>#VALUE!</v>
      </c>
      <c r="AT173" t="e">
        <f>AND('UP133'!AQ136,"AAAAAC3/ny0=")</f>
        <v>#VALUE!</v>
      </c>
      <c r="AU173" t="e">
        <f>AND('UP133'!AR136,"AAAAAC3/ny4=")</f>
        <v>#VALUE!</v>
      </c>
      <c r="AV173" t="e">
        <f>AND('UP133'!AS136,"AAAAAC3/ny8=")</f>
        <v>#VALUE!</v>
      </c>
      <c r="AW173" t="e">
        <f>AND('UP133'!AT136,"AAAAAC3/nzA=")</f>
        <v>#VALUE!</v>
      </c>
      <c r="AX173" t="e">
        <f>AND('UP133'!AU136,"AAAAAC3/nzE=")</f>
        <v>#VALUE!</v>
      </c>
      <c r="AY173" t="e">
        <f>AND('UP133'!AV136,"AAAAAC3/nzI=")</f>
        <v>#VALUE!</v>
      </c>
      <c r="AZ173" t="e">
        <f>AND('UP133'!AW136,"AAAAAC3/nzM=")</f>
        <v>#VALUE!</v>
      </c>
      <c r="BA173" t="e">
        <f>AND('UP133'!AX136,"AAAAAC3/nzQ=")</f>
        <v>#VALUE!</v>
      </c>
      <c r="BB173" t="e">
        <f>AND('UP133'!AY136,"AAAAAC3/nzU=")</f>
        <v>#VALUE!</v>
      </c>
      <c r="BC173" t="e">
        <f>AND('UP133'!AZ136,"AAAAAC3/nzY=")</f>
        <v>#VALUE!</v>
      </c>
      <c r="BD173" t="e">
        <f>AND('UP133'!BA136,"AAAAAC3/nzc=")</f>
        <v>#VALUE!</v>
      </c>
      <c r="BE173" t="e">
        <f>AND('UP133'!BB136,"AAAAAC3/nzg=")</f>
        <v>#VALUE!</v>
      </c>
      <c r="BF173" t="e">
        <f>AND('UP133'!BC136,"AAAAAC3/nzk=")</f>
        <v>#VALUE!</v>
      </c>
      <c r="BG173" t="e">
        <f>AND('UP133'!BD136,"AAAAAC3/nzo=")</f>
        <v>#VALUE!</v>
      </c>
      <c r="BH173" t="e">
        <f>AND('UP133'!BE136,"AAAAAC3/nzs=")</f>
        <v>#VALUE!</v>
      </c>
      <c r="BI173" t="e">
        <f>AND('UP133'!BF136,"AAAAAC3/nzw=")</f>
        <v>#VALUE!</v>
      </c>
      <c r="BJ173" t="e">
        <f>AND('UP133'!BG136,"AAAAAC3/nz0=")</f>
        <v>#VALUE!</v>
      </c>
      <c r="BK173" t="e">
        <f>AND('UP133'!BH136,"AAAAAC3/nz4=")</f>
        <v>#VALUE!</v>
      </c>
      <c r="BL173" t="e">
        <f>AND('UP133'!BI136,"AAAAAC3/nz8=")</f>
        <v>#VALUE!</v>
      </c>
      <c r="BM173" t="e">
        <f>AND('UP133'!BJ136,"AAAAAC3/n0A=")</f>
        <v>#VALUE!</v>
      </c>
      <c r="BN173" t="e">
        <f>AND('UP133'!BK136,"AAAAAC3/n0E=")</f>
        <v>#VALUE!</v>
      </c>
      <c r="BO173" t="e">
        <f>AND('UP133'!BL136,"AAAAAC3/n0I=")</f>
        <v>#VALUE!</v>
      </c>
      <c r="BP173" t="e">
        <f>AND('UP133'!BM136,"AAAAAC3/n0M=")</f>
        <v>#VALUE!</v>
      </c>
      <c r="BQ173" t="e">
        <f>AND('UP133'!BN136,"AAAAAC3/n0Q=")</f>
        <v>#VALUE!</v>
      </c>
      <c r="BR173" t="e">
        <f>AND('UP133'!BO136,"AAAAAC3/n0U=")</f>
        <v>#VALUE!</v>
      </c>
      <c r="BS173" t="e">
        <f>AND('UP133'!BP136,"AAAAAC3/n0Y=")</f>
        <v>#VALUE!</v>
      </c>
      <c r="BT173" t="e">
        <f>AND('UP133'!BQ136,"AAAAAC3/n0c=")</f>
        <v>#VALUE!</v>
      </c>
      <c r="BU173" t="e">
        <f>AND('UP133'!BR136,"AAAAAC3/n0g=")</f>
        <v>#VALUE!</v>
      </c>
      <c r="BV173" t="e">
        <f>AND('UP133'!BS136,"AAAAAC3/n0k=")</f>
        <v>#VALUE!</v>
      </c>
      <c r="BW173" t="e">
        <f>AND('UP133'!BT136,"AAAAAC3/n0o=")</f>
        <v>#VALUE!</v>
      </c>
      <c r="BX173" t="e">
        <f>AND('UP133'!BU136,"AAAAAC3/n0s=")</f>
        <v>#VALUE!</v>
      </c>
      <c r="BY173" t="e">
        <f>AND('UP133'!BV136,"AAAAAC3/n0w=")</f>
        <v>#VALUE!</v>
      </c>
      <c r="BZ173" t="e">
        <f>AND('UP133'!BW136,"AAAAAC3/n00=")</f>
        <v>#VALUE!</v>
      </c>
      <c r="CA173" t="e">
        <f>AND('UP133'!BX136,"AAAAAC3/n04=")</f>
        <v>#VALUE!</v>
      </c>
      <c r="CB173" t="e">
        <f>AND('UP133'!BY136,"AAAAAC3/n08=")</f>
        <v>#VALUE!</v>
      </c>
      <c r="CC173" t="e">
        <f>AND('UP133'!BZ136,"AAAAAC3/n1A=")</f>
        <v>#VALUE!</v>
      </c>
      <c r="CD173" t="e">
        <f>AND('UP133'!CA136,"AAAAAC3/n1E=")</f>
        <v>#VALUE!</v>
      </c>
      <c r="CE173" t="e">
        <f>AND('UP133'!CB136,"AAAAAC3/n1I=")</f>
        <v>#VALUE!</v>
      </c>
      <c r="CF173" t="e">
        <f>AND('UP133'!CC136,"AAAAAC3/n1M=")</f>
        <v>#VALUE!</v>
      </c>
      <c r="CG173" t="e">
        <f>AND('UP133'!CD136,"AAAAAC3/n1Q=")</f>
        <v>#VALUE!</v>
      </c>
      <c r="CH173" t="e">
        <f>AND('UP133'!CE136,"AAAAAC3/n1U=")</f>
        <v>#VALUE!</v>
      </c>
      <c r="CI173" t="e">
        <f>AND('UP133'!CF136,"AAAAAC3/n1Y=")</f>
        <v>#VALUE!</v>
      </c>
      <c r="CJ173" t="e">
        <f>AND('UP133'!CG136,"AAAAAC3/n1c=")</f>
        <v>#VALUE!</v>
      </c>
      <c r="CK173" t="e">
        <f>AND('UP133'!CH136,"AAAAAC3/n1g=")</f>
        <v>#VALUE!</v>
      </c>
      <c r="CL173" t="e">
        <f>AND('UP133'!CI136,"AAAAAC3/n1k=")</f>
        <v>#VALUE!</v>
      </c>
      <c r="CM173" t="e">
        <f>AND('UP133'!CJ136,"AAAAAC3/n1o=")</f>
        <v>#VALUE!</v>
      </c>
      <c r="CN173" t="e">
        <f>AND('UP133'!CK136,"AAAAAC3/n1s=")</f>
        <v>#VALUE!</v>
      </c>
      <c r="CO173" t="e">
        <f>AND('UP133'!CL136,"AAAAAC3/n1w=")</f>
        <v>#VALUE!</v>
      </c>
      <c r="CP173" t="e">
        <f>AND('UP133'!CM136,"AAAAAC3/n10=")</f>
        <v>#VALUE!</v>
      </c>
      <c r="CQ173" t="e">
        <f>AND('UP133'!CN136,"AAAAAC3/n14=")</f>
        <v>#VALUE!</v>
      </c>
      <c r="CR173" t="e">
        <f>AND('UP133'!CO136,"AAAAAC3/n18=")</f>
        <v>#VALUE!</v>
      </c>
      <c r="CS173" t="e">
        <f>AND('UP133'!CP136,"AAAAAC3/n2A=")</f>
        <v>#VALUE!</v>
      </c>
      <c r="CT173" t="e">
        <f>AND('UP133'!CQ136,"AAAAAC3/n2E=")</f>
        <v>#VALUE!</v>
      </c>
      <c r="CU173" t="e">
        <f>AND('UP133'!CR136,"AAAAAC3/n2I=")</f>
        <v>#VALUE!</v>
      </c>
      <c r="CV173" t="e">
        <f>AND('UP133'!CS136,"AAAAAC3/n2M=")</f>
        <v>#VALUE!</v>
      </c>
      <c r="CW173" t="e">
        <f>AND('UP133'!CT136,"AAAAAC3/n2Q=")</f>
        <v>#VALUE!</v>
      </c>
      <c r="CX173" t="e">
        <f>AND('UP133'!CU136,"AAAAAC3/n2U=")</f>
        <v>#VALUE!</v>
      </c>
      <c r="CY173" t="e">
        <f>AND('UP133'!CV136,"AAAAAC3/n2Y=")</f>
        <v>#VALUE!</v>
      </c>
      <c r="CZ173" t="e">
        <f>AND('UP133'!CW136,"AAAAAC3/n2c=")</f>
        <v>#VALUE!</v>
      </c>
      <c r="DA173" t="e">
        <f>AND('UP133'!CX136,"AAAAAC3/n2g=")</f>
        <v>#VALUE!</v>
      </c>
      <c r="DB173" t="e">
        <f>AND('UP133'!CY136,"AAAAAC3/n2k=")</f>
        <v>#VALUE!</v>
      </c>
      <c r="DC173" t="e">
        <f>AND('UP133'!CZ136,"AAAAAC3/n2o=")</f>
        <v>#VALUE!</v>
      </c>
      <c r="DD173" t="e">
        <f>AND('UP133'!DA136,"AAAAAC3/n2s=")</f>
        <v>#VALUE!</v>
      </c>
      <c r="DE173" t="e">
        <f>AND('UP133'!DB136,"AAAAAC3/n2w=")</f>
        <v>#VALUE!</v>
      </c>
      <c r="DF173" t="e">
        <f>AND('UP133'!DC136,"AAAAAC3/n20=")</f>
        <v>#VALUE!</v>
      </c>
      <c r="DG173" t="e">
        <f>AND('UP133'!DD136,"AAAAAC3/n24=")</f>
        <v>#VALUE!</v>
      </c>
      <c r="DH173" t="e">
        <f>AND('UP133'!DE136,"AAAAAC3/n28=")</f>
        <v>#VALUE!</v>
      </c>
      <c r="DI173" t="e">
        <f>AND('UP133'!DF136,"AAAAAC3/n3A=")</f>
        <v>#VALUE!</v>
      </c>
      <c r="DJ173" t="e">
        <f>AND('UP133'!DG136,"AAAAAC3/n3E=")</f>
        <v>#VALUE!</v>
      </c>
      <c r="DK173" t="e">
        <f>AND('UP133'!DH136,"AAAAAC3/n3I=")</f>
        <v>#VALUE!</v>
      </c>
      <c r="DL173" t="e">
        <f>AND('UP133'!DI136,"AAAAAC3/n3M=")</f>
        <v>#VALUE!</v>
      </c>
      <c r="DM173" t="e">
        <f>AND('UP133'!DJ136,"AAAAAC3/n3Q=")</f>
        <v>#VALUE!</v>
      </c>
      <c r="DN173" t="e">
        <f>AND('UP133'!DK136,"AAAAAC3/n3U=")</f>
        <v>#VALUE!</v>
      </c>
      <c r="DO173" t="e">
        <f>AND('UP133'!DL136,"AAAAAC3/n3Y=")</f>
        <v>#VALUE!</v>
      </c>
      <c r="DP173" t="e">
        <f>AND('UP133'!DM136,"AAAAAC3/n3c=")</f>
        <v>#VALUE!</v>
      </c>
      <c r="DQ173" t="e">
        <f>AND('UP133'!DN136,"AAAAAC3/n3g=")</f>
        <v>#VALUE!</v>
      </c>
      <c r="DR173" t="e">
        <f>AND('UP133'!DO136,"AAAAAC3/n3k=")</f>
        <v>#VALUE!</v>
      </c>
      <c r="DS173" t="e">
        <f>AND('UP133'!DP136,"AAAAAC3/n3o=")</f>
        <v>#VALUE!</v>
      </c>
      <c r="DT173" t="e">
        <f>AND('UP133'!DQ136,"AAAAAC3/n3s=")</f>
        <v>#VALUE!</v>
      </c>
      <c r="DU173" t="e">
        <f>AND('UP133'!DR136,"AAAAAC3/n3w=")</f>
        <v>#VALUE!</v>
      </c>
      <c r="DV173" t="e">
        <f>AND('UP133'!DS136,"AAAAAC3/n30=")</f>
        <v>#VALUE!</v>
      </c>
      <c r="DW173" t="e">
        <f>AND('UP133'!DT136,"AAAAAC3/n34=")</f>
        <v>#VALUE!</v>
      </c>
      <c r="DX173" t="e">
        <f>AND('UP133'!DU136,"AAAAAC3/n38=")</f>
        <v>#VALUE!</v>
      </c>
      <c r="DY173" t="e">
        <f>AND('UP133'!DV136,"AAAAAC3/n4A=")</f>
        <v>#VALUE!</v>
      </c>
      <c r="DZ173" t="e">
        <f>AND('UP133'!DW136,"AAAAAC3/n4E=")</f>
        <v>#VALUE!</v>
      </c>
      <c r="EA173" t="e">
        <f>AND('UP133'!DX136,"AAAAAC3/n4I=")</f>
        <v>#VALUE!</v>
      </c>
      <c r="EB173" t="e">
        <f>AND('UP133'!DY136,"AAAAAC3/n4M=")</f>
        <v>#VALUE!</v>
      </c>
      <c r="EC173" t="e">
        <f>AND('UP133'!DZ136,"AAAAAC3/n4Q=")</f>
        <v>#VALUE!</v>
      </c>
      <c r="ED173" t="e">
        <f>AND('UP133'!EA136,"AAAAAC3/n4U=")</f>
        <v>#VALUE!</v>
      </c>
      <c r="EE173" t="e">
        <f>AND('UP133'!EB136,"AAAAAC3/n4Y=")</f>
        <v>#VALUE!</v>
      </c>
      <c r="EF173" t="e">
        <f>AND('UP133'!EC136,"AAAAAC3/n4c=")</f>
        <v>#VALUE!</v>
      </c>
      <c r="EG173" t="e">
        <f>AND('UP133'!ED136,"AAAAAC3/n4g=")</f>
        <v>#VALUE!</v>
      </c>
      <c r="EH173" t="e">
        <f>AND('UP133'!EE136,"AAAAAC3/n4k=")</f>
        <v>#VALUE!</v>
      </c>
      <c r="EI173" t="e">
        <f>AND('UP133'!EF136,"AAAAAC3/n4o=")</f>
        <v>#VALUE!</v>
      </c>
      <c r="EJ173" t="e">
        <f>AND('UP133'!EG136,"AAAAAC3/n4s=")</f>
        <v>#VALUE!</v>
      </c>
      <c r="EK173" t="e">
        <f>AND('UP133'!EH136,"AAAAAC3/n4w=")</f>
        <v>#VALUE!</v>
      </c>
      <c r="EL173" t="e">
        <f>AND('UP133'!EI136,"AAAAAC3/n40=")</f>
        <v>#VALUE!</v>
      </c>
      <c r="EM173" t="e">
        <f>AND('UP133'!EJ136,"AAAAAC3/n44=")</f>
        <v>#VALUE!</v>
      </c>
      <c r="EN173" t="e">
        <f>AND('UP133'!EK136,"AAAAAC3/n48=")</f>
        <v>#VALUE!</v>
      </c>
      <c r="EO173" t="e">
        <f>AND('UP133'!EL136,"AAAAAC3/n5A=")</f>
        <v>#VALUE!</v>
      </c>
      <c r="EP173" t="e">
        <f>AND('UP133'!EM136,"AAAAAC3/n5E=")</f>
        <v>#VALUE!</v>
      </c>
      <c r="EQ173" t="e">
        <f>AND('UP133'!EN136,"AAAAAC3/n5I=")</f>
        <v>#VALUE!</v>
      </c>
      <c r="ER173" t="e">
        <f>AND('UP133'!EO136,"AAAAAC3/n5M=")</f>
        <v>#VALUE!</v>
      </c>
      <c r="ES173" t="e">
        <f>AND('UP133'!EP136,"AAAAAC3/n5Q=")</f>
        <v>#VALUE!</v>
      </c>
      <c r="ET173" t="e">
        <f>AND('UP133'!EQ136,"AAAAAC3/n5U=")</f>
        <v>#VALUE!</v>
      </c>
      <c r="EU173" t="e">
        <f>AND('UP133'!ER136,"AAAAAC3/n5Y=")</f>
        <v>#VALUE!</v>
      </c>
      <c r="EV173" t="e">
        <f>AND('UP133'!ES136,"AAAAAC3/n5c=")</f>
        <v>#VALUE!</v>
      </c>
      <c r="EW173" t="e">
        <f>AND('UP133'!ET136,"AAAAAC3/n5g=")</f>
        <v>#VALUE!</v>
      </c>
      <c r="EX173" t="e">
        <f>AND('UP133'!EU136,"AAAAAC3/n5k=")</f>
        <v>#VALUE!</v>
      </c>
      <c r="EY173" t="e">
        <f>AND('UP133'!EV136,"AAAAAC3/n5o=")</f>
        <v>#VALUE!</v>
      </c>
      <c r="EZ173" t="e">
        <f>AND('UP133'!EW136,"AAAAAC3/n5s=")</f>
        <v>#VALUE!</v>
      </c>
      <c r="FA173" t="e">
        <f>AND('UP133'!EX136,"AAAAAC3/n5w=")</f>
        <v>#VALUE!</v>
      </c>
      <c r="FB173" t="e">
        <f>AND('UP133'!EY136,"AAAAAC3/n50=")</f>
        <v>#VALUE!</v>
      </c>
      <c r="FC173" t="e">
        <f>AND('UP133'!EZ136,"AAAAAC3/n54=")</f>
        <v>#VALUE!</v>
      </c>
      <c r="FD173" t="e">
        <f>AND('UP133'!FA136,"AAAAAC3/n58=")</f>
        <v>#VALUE!</v>
      </c>
      <c r="FE173" t="e">
        <f>AND('UP133'!FB136,"AAAAAC3/n6A=")</f>
        <v>#VALUE!</v>
      </c>
      <c r="FF173" t="e">
        <f>AND('UP133'!FC136,"AAAAAC3/n6E=")</f>
        <v>#VALUE!</v>
      </c>
      <c r="FG173" t="e">
        <f>AND('UP133'!FD136,"AAAAAC3/n6I=")</f>
        <v>#VALUE!</v>
      </c>
      <c r="FH173" t="e">
        <f>AND('UP133'!FE136,"AAAAAC3/n6M=")</f>
        <v>#VALUE!</v>
      </c>
      <c r="FI173" t="e">
        <f>AND('UP133'!FF136,"AAAAAC3/n6Q=")</f>
        <v>#VALUE!</v>
      </c>
      <c r="FJ173" t="e">
        <f>AND('UP133'!FG136,"AAAAAC3/n6U=")</f>
        <v>#VALUE!</v>
      </c>
      <c r="FK173" t="e">
        <f>AND('UP133'!FH136,"AAAAAC3/n6Y=")</f>
        <v>#VALUE!</v>
      </c>
      <c r="FL173" t="e">
        <f>AND('UP133'!FI136,"AAAAAC3/n6c=")</f>
        <v>#VALUE!</v>
      </c>
      <c r="FM173" t="e">
        <f>AND('UP133'!FJ136,"AAAAAC3/n6g=")</f>
        <v>#VALUE!</v>
      </c>
      <c r="FN173" t="e">
        <f>AND('UP133'!FK136,"AAAAAC3/n6k=")</f>
        <v>#VALUE!</v>
      </c>
      <c r="FO173" t="e">
        <f>AND('UP133'!FL136,"AAAAAC3/n6o=")</f>
        <v>#VALUE!</v>
      </c>
      <c r="FP173" t="e">
        <f>AND('UP133'!FM136,"AAAAAC3/n6s=")</f>
        <v>#VALUE!</v>
      </c>
      <c r="FQ173" t="e">
        <f>AND('UP133'!FN136,"AAAAAC3/n6w=")</f>
        <v>#VALUE!</v>
      </c>
      <c r="FR173" t="e">
        <f>AND('UP133'!FO136,"AAAAAC3/n60=")</f>
        <v>#VALUE!</v>
      </c>
      <c r="FS173" t="e">
        <f>AND('UP133'!FP136,"AAAAAC3/n64=")</f>
        <v>#VALUE!</v>
      </c>
      <c r="FT173" t="e">
        <f>AND('UP133'!FQ136,"AAAAAC3/n68=")</f>
        <v>#VALUE!</v>
      </c>
      <c r="FU173" t="e">
        <f>AND('UP133'!FR136,"AAAAAC3/n7A=")</f>
        <v>#VALUE!</v>
      </c>
      <c r="FV173" t="e">
        <f>AND('UP133'!FS136,"AAAAAC3/n7E=")</f>
        <v>#VALUE!</v>
      </c>
      <c r="FW173" t="e">
        <f>AND('UP133'!FT136,"AAAAAC3/n7I=")</f>
        <v>#VALUE!</v>
      </c>
      <c r="FX173" t="e">
        <f>AND('UP133'!FU136,"AAAAAC3/n7M=")</f>
        <v>#VALUE!</v>
      </c>
      <c r="FY173" t="e">
        <f>AND('UP133'!FV136,"AAAAAC3/n7Q=")</f>
        <v>#VALUE!</v>
      </c>
      <c r="FZ173" t="e">
        <f>AND('UP133'!FW136,"AAAAAC3/n7U=")</f>
        <v>#VALUE!</v>
      </c>
      <c r="GA173" t="e">
        <f>AND('UP133'!FX136,"AAAAAC3/n7Y=")</f>
        <v>#VALUE!</v>
      </c>
      <c r="GB173" t="e">
        <f>AND('UP133'!FY136,"AAAAAC3/n7c=")</f>
        <v>#VALUE!</v>
      </c>
      <c r="GC173" t="e">
        <f>AND('UP133'!FZ136,"AAAAAC3/n7g=")</f>
        <v>#VALUE!</v>
      </c>
      <c r="GD173" t="e">
        <f>AND('UP133'!GA136,"AAAAAC3/n7k=")</f>
        <v>#VALUE!</v>
      </c>
      <c r="GE173" t="e">
        <f>AND('UP133'!GB136,"AAAAAC3/n7o=")</f>
        <v>#VALUE!</v>
      </c>
      <c r="GF173" t="e">
        <f>AND('UP133'!GC136,"AAAAAC3/n7s=")</f>
        <v>#VALUE!</v>
      </c>
      <c r="GG173" t="e">
        <f>AND('UP133'!GD136,"AAAAAC3/n7w=")</f>
        <v>#VALUE!</v>
      </c>
      <c r="GH173" t="e">
        <f>AND('UP133'!GE136,"AAAAAC3/n70=")</f>
        <v>#VALUE!</v>
      </c>
      <c r="GI173" t="e">
        <f>AND('UP133'!GF136,"AAAAAC3/n74=")</f>
        <v>#VALUE!</v>
      </c>
      <c r="GJ173" t="e">
        <f>AND('UP133'!GG136,"AAAAAC3/n78=")</f>
        <v>#VALUE!</v>
      </c>
      <c r="GK173" t="e">
        <f>AND('UP133'!GH136,"AAAAAC3/n8A=")</f>
        <v>#VALUE!</v>
      </c>
      <c r="GL173" t="e">
        <f>AND('UP133'!GI136,"AAAAAC3/n8E=")</f>
        <v>#VALUE!</v>
      </c>
      <c r="GM173" t="e">
        <f>AND('UP133'!GJ136,"AAAAAC3/n8I=")</f>
        <v>#VALUE!</v>
      </c>
      <c r="GN173" t="e">
        <f>AND('UP133'!GK136,"AAAAAC3/n8M=")</f>
        <v>#VALUE!</v>
      </c>
      <c r="GO173" t="e">
        <f>AND('UP133'!GL136,"AAAAAC3/n8Q=")</f>
        <v>#VALUE!</v>
      </c>
      <c r="GP173" t="e">
        <f>AND('UP133'!GM136,"AAAAAC3/n8U=")</f>
        <v>#VALUE!</v>
      </c>
      <c r="GQ173" t="e">
        <f>AND('UP133'!GN136,"AAAAAC3/n8Y=")</f>
        <v>#VALUE!</v>
      </c>
      <c r="GR173" t="e">
        <f>AND('UP133'!GO136,"AAAAAC3/n8c=")</f>
        <v>#VALUE!</v>
      </c>
      <c r="GS173" t="e">
        <f>AND('UP133'!GP136,"AAAAAC3/n8g=")</f>
        <v>#VALUE!</v>
      </c>
      <c r="GT173" t="e">
        <f>AND('UP133'!GQ136,"AAAAAC3/n8k=")</f>
        <v>#VALUE!</v>
      </c>
      <c r="GU173" t="e">
        <f>AND('UP133'!GR136,"AAAAAC3/n8o=")</f>
        <v>#VALUE!</v>
      </c>
      <c r="GV173" t="e">
        <f>AND('UP133'!GS136,"AAAAAC3/n8s=")</f>
        <v>#VALUE!</v>
      </c>
      <c r="GW173" t="e">
        <f>AND('UP133'!GT136,"AAAAAC3/n8w=")</f>
        <v>#VALUE!</v>
      </c>
      <c r="GX173" t="e">
        <f>AND('UP133'!GU136,"AAAAAC3/n80=")</f>
        <v>#VALUE!</v>
      </c>
      <c r="GY173" t="e">
        <f>AND('UP133'!GV136,"AAAAAC3/n84=")</f>
        <v>#VALUE!</v>
      </c>
      <c r="GZ173" t="e">
        <f>AND('UP133'!GW136,"AAAAAC3/n88=")</f>
        <v>#VALUE!</v>
      </c>
      <c r="HA173" t="e">
        <f>AND('UP133'!GX136,"AAAAAC3/n9A=")</f>
        <v>#VALUE!</v>
      </c>
      <c r="HB173" t="e">
        <f>AND('UP133'!GY136,"AAAAAC3/n9E=")</f>
        <v>#VALUE!</v>
      </c>
      <c r="HC173" t="e">
        <f>AND('UP133'!GZ136,"AAAAAC3/n9I=")</f>
        <v>#VALUE!</v>
      </c>
      <c r="HD173" t="e">
        <f>AND('UP133'!HA136,"AAAAAC3/n9M=")</f>
        <v>#VALUE!</v>
      </c>
      <c r="HE173" t="e">
        <f>AND('UP133'!HB136,"AAAAAC3/n9Q=")</f>
        <v>#VALUE!</v>
      </c>
      <c r="HF173" t="e">
        <f>AND('UP133'!HC136,"AAAAAC3/n9U=")</f>
        <v>#VALUE!</v>
      </c>
      <c r="HG173" t="e">
        <f>AND('UP133'!HD136,"AAAAAC3/n9Y=")</f>
        <v>#VALUE!</v>
      </c>
      <c r="HH173" t="e">
        <f>AND('UP133'!HE136,"AAAAAC3/n9c=")</f>
        <v>#VALUE!</v>
      </c>
      <c r="HI173" t="e">
        <f>AND('UP133'!HF136,"AAAAAC3/n9g=")</f>
        <v>#VALUE!</v>
      </c>
      <c r="HJ173" t="e">
        <f>AND('UP133'!HG136,"AAAAAC3/n9k=")</f>
        <v>#VALUE!</v>
      </c>
      <c r="HK173" t="e">
        <f>AND('UP133'!HH136,"AAAAAC3/n9o=")</f>
        <v>#VALUE!</v>
      </c>
      <c r="HL173" t="e">
        <f>AND('UP133'!HI136,"AAAAAC3/n9s=")</f>
        <v>#VALUE!</v>
      </c>
      <c r="HM173" t="e">
        <f>AND('UP133'!HJ136,"AAAAAC3/n9w=")</f>
        <v>#VALUE!</v>
      </c>
      <c r="HN173" t="e">
        <f>AND('UP133'!HK136,"AAAAAC3/n90=")</f>
        <v>#VALUE!</v>
      </c>
      <c r="HO173" t="e">
        <f>AND('UP133'!HL136,"AAAAAC3/n94=")</f>
        <v>#VALUE!</v>
      </c>
      <c r="HP173" t="e">
        <f>AND('UP133'!HM136,"AAAAAC3/n98=")</f>
        <v>#VALUE!</v>
      </c>
      <c r="HQ173" t="e">
        <f>AND('UP133'!HN136,"AAAAAC3/n+A=")</f>
        <v>#VALUE!</v>
      </c>
      <c r="HR173" t="e">
        <f>AND('UP133'!HO136,"AAAAAC3/n+E=")</f>
        <v>#VALUE!</v>
      </c>
      <c r="HS173" t="e">
        <f>AND('UP133'!HP136,"AAAAAC3/n+I=")</f>
        <v>#VALUE!</v>
      </c>
      <c r="HT173" t="e">
        <f>AND('UP133'!HQ136,"AAAAAC3/n+M=")</f>
        <v>#VALUE!</v>
      </c>
      <c r="HU173" t="e">
        <f>AND('UP133'!HR136,"AAAAAC3/n+Q=")</f>
        <v>#VALUE!</v>
      </c>
      <c r="HV173" t="e">
        <f>AND('UP133'!HS136,"AAAAAC3/n+U=")</f>
        <v>#VALUE!</v>
      </c>
      <c r="HW173" t="e">
        <f>AND('UP133'!HT136,"AAAAAC3/n+Y=")</f>
        <v>#VALUE!</v>
      </c>
      <c r="HX173" t="e">
        <f>AND('UP133'!HU136,"AAAAAC3/n+c=")</f>
        <v>#VALUE!</v>
      </c>
      <c r="HY173" t="e">
        <f>AND('UP133'!HV136,"AAAAAC3/n+g=")</f>
        <v>#VALUE!</v>
      </c>
      <c r="HZ173" t="e">
        <f>AND('UP133'!HW136,"AAAAAC3/n+k=")</f>
        <v>#VALUE!</v>
      </c>
      <c r="IA173" t="e">
        <f>AND('UP133'!HX136,"AAAAAC3/n+o=")</f>
        <v>#VALUE!</v>
      </c>
      <c r="IB173" t="e">
        <f>AND('UP133'!HY136,"AAAAAC3/n+s=")</f>
        <v>#VALUE!</v>
      </c>
      <c r="IC173" t="e">
        <f>AND('UP133'!HZ136,"AAAAAC3/n+w=")</f>
        <v>#VALUE!</v>
      </c>
      <c r="ID173" t="e">
        <f>AND('UP133'!IA136,"AAAAAC3/n+0=")</f>
        <v>#VALUE!</v>
      </c>
      <c r="IE173" t="e">
        <f>AND('UP133'!IB136,"AAAAAC3/n+4=")</f>
        <v>#VALUE!</v>
      </c>
      <c r="IF173" t="e">
        <f>AND('UP133'!IC136,"AAAAAC3/n+8=")</f>
        <v>#VALUE!</v>
      </c>
      <c r="IG173" t="e">
        <f>AND('UP133'!ID136,"AAAAAC3/n/A=")</f>
        <v>#VALUE!</v>
      </c>
      <c r="IH173" t="e">
        <f>AND('UP133'!IE136,"AAAAAC3/n/E=")</f>
        <v>#VALUE!</v>
      </c>
      <c r="II173" t="e">
        <f>AND('UP133'!IF136,"AAAAAC3/n/I=")</f>
        <v>#VALUE!</v>
      </c>
      <c r="IJ173" t="e">
        <f>AND('UP133'!IG136,"AAAAAC3/n/M=")</f>
        <v>#VALUE!</v>
      </c>
      <c r="IK173" t="e">
        <f>AND('UP133'!IH136,"AAAAAC3/n/Q=")</f>
        <v>#VALUE!</v>
      </c>
      <c r="IL173" t="e">
        <f>AND('UP133'!II136,"AAAAAC3/n/U=")</f>
        <v>#VALUE!</v>
      </c>
      <c r="IM173" t="e">
        <f>AND('UP133'!IJ136,"AAAAAC3/n/Y=")</f>
        <v>#VALUE!</v>
      </c>
      <c r="IN173" t="e">
        <f>AND('UP133'!IK136,"AAAAAC3/n/c=")</f>
        <v>#VALUE!</v>
      </c>
      <c r="IO173" t="e">
        <f>AND('UP133'!IL136,"AAAAAC3/n/g=")</f>
        <v>#VALUE!</v>
      </c>
      <c r="IP173" t="e">
        <f>AND('UP133'!IM136,"AAAAAC3/n/k=")</f>
        <v>#VALUE!</v>
      </c>
      <c r="IQ173" t="e">
        <f>AND('UP133'!IN136,"AAAAAC3/n/o=")</f>
        <v>#VALUE!</v>
      </c>
      <c r="IR173" t="e">
        <f>AND('UP133'!IO136,"AAAAAC3/n/s=")</f>
        <v>#VALUE!</v>
      </c>
      <c r="IS173" t="e">
        <f>AND('UP133'!IP136,"AAAAAC3/n/w=")</f>
        <v>#VALUE!</v>
      </c>
      <c r="IT173" t="e">
        <f>AND('UP133'!IQ136,"AAAAAC3/n/0=")</f>
        <v>#VALUE!</v>
      </c>
      <c r="IU173">
        <f>IF('UP133'!137:137,"AAAAAC3/n/4=",0)</f>
        <v>0</v>
      </c>
      <c r="IV173" t="e">
        <f>AND('UP133'!A137,"AAAAAC3/n/8=")</f>
        <v>#VALUE!</v>
      </c>
    </row>
    <row r="174" spans="1:256">
      <c r="A174" t="e">
        <f>AND('UP133'!B137,"AAAAAHyf/wA=")</f>
        <v>#VALUE!</v>
      </c>
      <c r="B174" t="e">
        <f>AND('UP133'!C137,"AAAAAHyf/wE=")</f>
        <v>#VALUE!</v>
      </c>
      <c r="C174" t="e">
        <f>AND('UP133'!D137,"AAAAAHyf/wI=")</f>
        <v>#VALUE!</v>
      </c>
      <c r="D174" t="e">
        <f>AND('UP133'!E137,"AAAAAHyf/wM=")</f>
        <v>#VALUE!</v>
      </c>
      <c r="E174" t="e">
        <f>AND('UP133'!F137,"AAAAAHyf/wQ=")</f>
        <v>#VALUE!</v>
      </c>
      <c r="F174" t="e">
        <f>AND('UP133'!G137,"AAAAAHyf/wU=")</f>
        <v>#VALUE!</v>
      </c>
      <c r="G174" t="e">
        <f>AND('UP133'!H137,"AAAAAHyf/wY=")</f>
        <v>#VALUE!</v>
      </c>
      <c r="H174" t="e">
        <f>AND('UP133'!I137,"AAAAAHyf/wc=")</f>
        <v>#VALUE!</v>
      </c>
      <c r="I174" t="e">
        <f>AND('UP133'!J137,"AAAAAHyf/wg=")</f>
        <v>#VALUE!</v>
      </c>
      <c r="J174" t="e">
        <f>AND('UP133'!K137,"AAAAAHyf/wk=")</f>
        <v>#VALUE!</v>
      </c>
      <c r="K174" t="e">
        <f>AND('UP133'!L137,"AAAAAHyf/wo=")</f>
        <v>#VALUE!</v>
      </c>
      <c r="L174" t="e">
        <f>AND('UP133'!M137,"AAAAAHyf/ws=")</f>
        <v>#VALUE!</v>
      </c>
      <c r="M174" t="e">
        <f>AND('UP133'!N137,"AAAAAHyf/ww=")</f>
        <v>#VALUE!</v>
      </c>
      <c r="N174" t="e">
        <f>AND('UP133'!O137,"AAAAAHyf/w0=")</f>
        <v>#VALUE!</v>
      </c>
      <c r="O174" t="e">
        <f>AND('UP133'!P137,"AAAAAHyf/w4=")</f>
        <v>#VALUE!</v>
      </c>
      <c r="P174" t="e">
        <f>AND('UP133'!Q137,"AAAAAHyf/w8=")</f>
        <v>#VALUE!</v>
      </c>
      <c r="Q174" t="e">
        <f>AND('UP133'!R137,"AAAAAHyf/xA=")</f>
        <v>#VALUE!</v>
      </c>
      <c r="R174" t="e">
        <f>AND('UP133'!S137,"AAAAAHyf/xE=")</f>
        <v>#VALUE!</v>
      </c>
      <c r="S174" t="e">
        <f>AND('UP133'!T137,"AAAAAHyf/xI=")</f>
        <v>#VALUE!</v>
      </c>
      <c r="T174" t="e">
        <f>AND('UP133'!U137,"AAAAAHyf/xM=")</f>
        <v>#VALUE!</v>
      </c>
      <c r="U174" t="e">
        <f>AND('UP133'!V137,"AAAAAHyf/xQ=")</f>
        <v>#VALUE!</v>
      </c>
      <c r="V174" t="e">
        <f>AND('UP133'!W137,"AAAAAHyf/xU=")</f>
        <v>#VALUE!</v>
      </c>
      <c r="W174" t="e">
        <f>AND('UP133'!X137,"AAAAAHyf/xY=")</f>
        <v>#VALUE!</v>
      </c>
      <c r="X174" t="e">
        <f>AND('UP133'!Y137,"AAAAAHyf/xc=")</f>
        <v>#VALUE!</v>
      </c>
      <c r="Y174" t="e">
        <f>AND('UP133'!Z137,"AAAAAHyf/xg=")</f>
        <v>#VALUE!</v>
      </c>
      <c r="Z174" t="e">
        <f>AND('UP133'!AA137,"AAAAAHyf/xk=")</f>
        <v>#VALUE!</v>
      </c>
      <c r="AA174" t="e">
        <f>AND('UP133'!AB137,"AAAAAHyf/xo=")</f>
        <v>#VALUE!</v>
      </c>
      <c r="AB174" t="e">
        <f>AND('UP133'!AC137,"AAAAAHyf/xs=")</f>
        <v>#VALUE!</v>
      </c>
      <c r="AC174" t="e">
        <f>AND('UP133'!AD137,"AAAAAHyf/xw=")</f>
        <v>#VALUE!</v>
      </c>
      <c r="AD174" t="e">
        <f>AND('UP133'!AE137,"AAAAAHyf/x0=")</f>
        <v>#VALUE!</v>
      </c>
      <c r="AE174" t="e">
        <f>AND('UP133'!AF137,"AAAAAHyf/x4=")</f>
        <v>#VALUE!</v>
      </c>
      <c r="AF174" t="e">
        <f>AND('UP133'!AG137,"AAAAAHyf/x8=")</f>
        <v>#VALUE!</v>
      </c>
      <c r="AG174" t="e">
        <f>AND('UP133'!AH137,"AAAAAHyf/yA=")</f>
        <v>#VALUE!</v>
      </c>
      <c r="AH174" t="e">
        <f>AND('UP133'!AI137,"AAAAAHyf/yE=")</f>
        <v>#VALUE!</v>
      </c>
      <c r="AI174" t="e">
        <f>AND('UP133'!AJ137,"AAAAAHyf/yI=")</f>
        <v>#VALUE!</v>
      </c>
      <c r="AJ174" t="e">
        <f>AND('UP133'!AK137,"AAAAAHyf/yM=")</f>
        <v>#VALUE!</v>
      </c>
      <c r="AK174" t="e">
        <f>AND('UP133'!AL137,"AAAAAHyf/yQ=")</f>
        <v>#VALUE!</v>
      </c>
      <c r="AL174" t="e">
        <f>AND('UP133'!AM137,"AAAAAHyf/yU=")</f>
        <v>#VALUE!</v>
      </c>
      <c r="AM174" t="e">
        <f>AND('UP133'!AN137,"AAAAAHyf/yY=")</f>
        <v>#VALUE!</v>
      </c>
      <c r="AN174" t="e">
        <f>AND('UP133'!AO137,"AAAAAHyf/yc=")</f>
        <v>#VALUE!</v>
      </c>
      <c r="AO174" t="e">
        <f>AND('UP133'!AP137,"AAAAAHyf/yg=")</f>
        <v>#VALUE!</v>
      </c>
      <c r="AP174" t="e">
        <f>AND('UP133'!AQ137,"AAAAAHyf/yk=")</f>
        <v>#VALUE!</v>
      </c>
      <c r="AQ174" t="e">
        <f>AND('UP133'!AR137,"AAAAAHyf/yo=")</f>
        <v>#VALUE!</v>
      </c>
      <c r="AR174" t="e">
        <f>AND('UP133'!AS137,"AAAAAHyf/ys=")</f>
        <v>#VALUE!</v>
      </c>
      <c r="AS174" t="e">
        <f>AND('UP133'!AT137,"AAAAAHyf/yw=")</f>
        <v>#VALUE!</v>
      </c>
      <c r="AT174" t="e">
        <f>AND('UP133'!AU137,"AAAAAHyf/y0=")</f>
        <v>#VALUE!</v>
      </c>
      <c r="AU174" t="e">
        <f>AND('UP133'!AV137,"AAAAAHyf/y4=")</f>
        <v>#VALUE!</v>
      </c>
      <c r="AV174" t="e">
        <f>AND('UP133'!AW137,"AAAAAHyf/y8=")</f>
        <v>#VALUE!</v>
      </c>
      <c r="AW174" t="e">
        <f>AND('UP133'!AX137,"AAAAAHyf/zA=")</f>
        <v>#VALUE!</v>
      </c>
      <c r="AX174" t="e">
        <f>AND('UP133'!AY137,"AAAAAHyf/zE=")</f>
        <v>#VALUE!</v>
      </c>
      <c r="AY174" t="e">
        <f>AND('UP133'!AZ137,"AAAAAHyf/zI=")</f>
        <v>#VALUE!</v>
      </c>
      <c r="AZ174" t="e">
        <f>AND('UP133'!BA137,"AAAAAHyf/zM=")</f>
        <v>#VALUE!</v>
      </c>
      <c r="BA174" t="e">
        <f>AND('UP133'!BB137,"AAAAAHyf/zQ=")</f>
        <v>#VALUE!</v>
      </c>
      <c r="BB174" t="e">
        <f>AND('UP133'!BC137,"AAAAAHyf/zU=")</f>
        <v>#VALUE!</v>
      </c>
      <c r="BC174" t="e">
        <f>AND('UP133'!BD137,"AAAAAHyf/zY=")</f>
        <v>#VALUE!</v>
      </c>
      <c r="BD174" t="e">
        <f>AND('UP133'!BE137,"AAAAAHyf/zc=")</f>
        <v>#VALUE!</v>
      </c>
      <c r="BE174" t="e">
        <f>AND('UP133'!BF137,"AAAAAHyf/zg=")</f>
        <v>#VALUE!</v>
      </c>
      <c r="BF174" t="e">
        <f>AND('UP133'!BG137,"AAAAAHyf/zk=")</f>
        <v>#VALUE!</v>
      </c>
      <c r="BG174" t="e">
        <f>AND('UP133'!BH137,"AAAAAHyf/zo=")</f>
        <v>#VALUE!</v>
      </c>
      <c r="BH174" t="e">
        <f>AND('UP133'!BI137,"AAAAAHyf/zs=")</f>
        <v>#VALUE!</v>
      </c>
      <c r="BI174" t="e">
        <f>AND('UP133'!BJ137,"AAAAAHyf/zw=")</f>
        <v>#VALUE!</v>
      </c>
      <c r="BJ174" t="e">
        <f>AND('UP133'!BK137,"AAAAAHyf/z0=")</f>
        <v>#VALUE!</v>
      </c>
      <c r="BK174" t="e">
        <f>AND('UP133'!BL137,"AAAAAHyf/z4=")</f>
        <v>#VALUE!</v>
      </c>
      <c r="BL174" t="e">
        <f>AND('UP133'!BM137,"AAAAAHyf/z8=")</f>
        <v>#VALUE!</v>
      </c>
      <c r="BM174" t="e">
        <f>AND('UP133'!BN137,"AAAAAHyf/0A=")</f>
        <v>#VALUE!</v>
      </c>
      <c r="BN174" t="e">
        <f>AND('UP133'!BO137,"AAAAAHyf/0E=")</f>
        <v>#VALUE!</v>
      </c>
      <c r="BO174" t="e">
        <f>AND('UP133'!BP137,"AAAAAHyf/0I=")</f>
        <v>#VALUE!</v>
      </c>
      <c r="BP174" t="e">
        <f>AND('UP133'!BQ137,"AAAAAHyf/0M=")</f>
        <v>#VALUE!</v>
      </c>
      <c r="BQ174" t="e">
        <f>AND('UP133'!BR137,"AAAAAHyf/0Q=")</f>
        <v>#VALUE!</v>
      </c>
      <c r="BR174" t="e">
        <f>AND('UP133'!BS137,"AAAAAHyf/0U=")</f>
        <v>#VALUE!</v>
      </c>
      <c r="BS174" t="e">
        <f>AND('UP133'!BT137,"AAAAAHyf/0Y=")</f>
        <v>#VALUE!</v>
      </c>
      <c r="BT174" t="e">
        <f>AND('UP133'!BU137,"AAAAAHyf/0c=")</f>
        <v>#VALUE!</v>
      </c>
      <c r="BU174" t="e">
        <f>AND('UP133'!BV137,"AAAAAHyf/0g=")</f>
        <v>#VALUE!</v>
      </c>
      <c r="BV174" t="e">
        <f>AND('UP133'!BW137,"AAAAAHyf/0k=")</f>
        <v>#VALUE!</v>
      </c>
      <c r="BW174" t="e">
        <f>AND('UP133'!BX137,"AAAAAHyf/0o=")</f>
        <v>#VALUE!</v>
      </c>
      <c r="BX174" t="e">
        <f>AND('UP133'!BY137,"AAAAAHyf/0s=")</f>
        <v>#VALUE!</v>
      </c>
      <c r="BY174" t="e">
        <f>AND('UP133'!BZ137,"AAAAAHyf/0w=")</f>
        <v>#VALUE!</v>
      </c>
      <c r="BZ174" t="e">
        <f>AND('UP133'!CA137,"AAAAAHyf/00=")</f>
        <v>#VALUE!</v>
      </c>
      <c r="CA174" t="e">
        <f>AND('UP133'!CB137,"AAAAAHyf/04=")</f>
        <v>#VALUE!</v>
      </c>
      <c r="CB174" t="e">
        <f>AND('UP133'!CC137,"AAAAAHyf/08=")</f>
        <v>#VALUE!</v>
      </c>
      <c r="CC174" t="e">
        <f>AND('UP133'!CD137,"AAAAAHyf/1A=")</f>
        <v>#VALUE!</v>
      </c>
      <c r="CD174" t="e">
        <f>AND('UP133'!CE137,"AAAAAHyf/1E=")</f>
        <v>#VALUE!</v>
      </c>
      <c r="CE174" t="e">
        <f>AND('UP133'!CF137,"AAAAAHyf/1I=")</f>
        <v>#VALUE!</v>
      </c>
      <c r="CF174" t="e">
        <f>AND('UP133'!CG137,"AAAAAHyf/1M=")</f>
        <v>#VALUE!</v>
      </c>
      <c r="CG174" t="e">
        <f>AND('UP133'!CH137,"AAAAAHyf/1Q=")</f>
        <v>#VALUE!</v>
      </c>
      <c r="CH174" t="e">
        <f>AND('UP133'!CI137,"AAAAAHyf/1U=")</f>
        <v>#VALUE!</v>
      </c>
      <c r="CI174" t="e">
        <f>AND('UP133'!CJ137,"AAAAAHyf/1Y=")</f>
        <v>#VALUE!</v>
      </c>
      <c r="CJ174" t="e">
        <f>AND('UP133'!CK137,"AAAAAHyf/1c=")</f>
        <v>#VALUE!</v>
      </c>
      <c r="CK174" t="e">
        <f>AND('UP133'!CL137,"AAAAAHyf/1g=")</f>
        <v>#VALUE!</v>
      </c>
      <c r="CL174" t="e">
        <f>AND('UP133'!CM137,"AAAAAHyf/1k=")</f>
        <v>#VALUE!</v>
      </c>
      <c r="CM174" t="e">
        <f>AND('UP133'!CN137,"AAAAAHyf/1o=")</f>
        <v>#VALUE!</v>
      </c>
      <c r="CN174" t="e">
        <f>AND('UP133'!CO137,"AAAAAHyf/1s=")</f>
        <v>#VALUE!</v>
      </c>
      <c r="CO174" t="e">
        <f>AND('UP133'!CP137,"AAAAAHyf/1w=")</f>
        <v>#VALUE!</v>
      </c>
      <c r="CP174" t="e">
        <f>AND('UP133'!CQ137,"AAAAAHyf/10=")</f>
        <v>#VALUE!</v>
      </c>
      <c r="CQ174" t="e">
        <f>AND('UP133'!CR137,"AAAAAHyf/14=")</f>
        <v>#VALUE!</v>
      </c>
      <c r="CR174" t="e">
        <f>AND('UP133'!CS137,"AAAAAHyf/18=")</f>
        <v>#VALUE!</v>
      </c>
      <c r="CS174" t="e">
        <f>AND('UP133'!CT137,"AAAAAHyf/2A=")</f>
        <v>#VALUE!</v>
      </c>
      <c r="CT174" t="e">
        <f>AND('UP133'!CU137,"AAAAAHyf/2E=")</f>
        <v>#VALUE!</v>
      </c>
      <c r="CU174" t="e">
        <f>AND('UP133'!CV137,"AAAAAHyf/2I=")</f>
        <v>#VALUE!</v>
      </c>
      <c r="CV174" t="e">
        <f>AND('UP133'!CW137,"AAAAAHyf/2M=")</f>
        <v>#VALUE!</v>
      </c>
      <c r="CW174" t="e">
        <f>AND('UP133'!CX137,"AAAAAHyf/2Q=")</f>
        <v>#VALUE!</v>
      </c>
      <c r="CX174" t="e">
        <f>AND('UP133'!CY137,"AAAAAHyf/2U=")</f>
        <v>#VALUE!</v>
      </c>
      <c r="CY174" t="e">
        <f>AND('UP133'!CZ137,"AAAAAHyf/2Y=")</f>
        <v>#VALUE!</v>
      </c>
      <c r="CZ174" t="e">
        <f>AND('UP133'!DA137,"AAAAAHyf/2c=")</f>
        <v>#VALUE!</v>
      </c>
      <c r="DA174" t="e">
        <f>AND('UP133'!DB137,"AAAAAHyf/2g=")</f>
        <v>#VALUE!</v>
      </c>
      <c r="DB174" t="e">
        <f>AND('UP133'!DC137,"AAAAAHyf/2k=")</f>
        <v>#VALUE!</v>
      </c>
      <c r="DC174" t="e">
        <f>AND('UP133'!DD137,"AAAAAHyf/2o=")</f>
        <v>#VALUE!</v>
      </c>
      <c r="DD174" t="e">
        <f>AND('UP133'!DE137,"AAAAAHyf/2s=")</f>
        <v>#VALUE!</v>
      </c>
      <c r="DE174" t="e">
        <f>AND('UP133'!DF137,"AAAAAHyf/2w=")</f>
        <v>#VALUE!</v>
      </c>
      <c r="DF174" t="e">
        <f>AND('UP133'!DG137,"AAAAAHyf/20=")</f>
        <v>#VALUE!</v>
      </c>
      <c r="DG174" t="e">
        <f>AND('UP133'!DH137,"AAAAAHyf/24=")</f>
        <v>#VALUE!</v>
      </c>
      <c r="DH174" t="e">
        <f>AND('UP133'!DI137,"AAAAAHyf/28=")</f>
        <v>#VALUE!</v>
      </c>
      <c r="DI174" t="e">
        <f>AND('UP133'!DJ137,"AAAAAHyf/3A=")</f>
        <v>#VALUE!</v>
      </c>
      <c r="DJ174" t="e">
        <f>AND('UP133'!DK137,"AAAAAHyf/3E=")</f>
        <v>#VALUE!</v>
      </c>
      <c r="DK174" t="e">
        <f>AND('UP133'!DL137,"AAAAAHyf/3I=")</f>
        <v>#VALUE!</v>
      </c>
      <c r="DL174" t="e">
        <f>AND('UP133'!DM137,"AAAAAHyf/3M=")</f>
        <v>#VALUE!</v>
      </c>
      <c r="DM174" t="e">
        <f>AND('UP133'!DN137,"AAAAAHyf/3Q=")</f>
        <v>#VALUE!</v>
      </c>
      <c r="DN174" t="e">
        <f>AND('UP133'!DO137,"AAAAAHyf/3U=")</f>
        <v>#VALUE!</v>
      </c>
      <c r="DO174" t="e">
        <f>AND('UP133'!DP137,"AAAAAHyf/3Y=")</f>
        <v>#VALUE!</v>
      </c>
      <c r="DP174" t="e">
        <f>AND('UP133'!DQ137,"AAAAAHyf/3c=")</f>
        <v>#VALUE!</v>
      </c>
      <c r="DQ174" t="e">
        <f>AND('UP133'!DR137,"AAAAAHyf/3g=")</f>
        <v>#VALUE!</v>
      </c>
      <c r="DR174" t="e">
        <f>AND('UP133'!DS137,"AAAAAHyf/3k=")</f>
        <v>#VALUE!</v>
      </c>
      <c r="DS174" t="e">
        <f>AND('UP133'!DT137,"AAAAAHyf/3o=")</f>
        <v>#VALUE!</v>
      </c>
      <c r="DT174" t="e">
        <f>AND('UP133'!DU137,"AAAAAHyf/3s=")</f>
        <v>#VALUE!</v>
      </c>
      <c r="DU174" t="e">
        <f>AND('UP133'!DV137,"AAAAAHyf/3w=")</f>
        <v>#VALUE!</v>
      </c>
      <c r="DV174" t="e">
        <f>AND('UP133'!DW137,"AAAAAHyf/30=")</f>
        <v>#VALUE!</v>
      </c>
      <c r="DW174" t="e">
        <f>AND('UP133'!DX137,"AAAAAHyf/34=")</f>
        <v>#VALUE!</v>
      </c>
      <c r="DX174" t="e">
        <f>AND('UP133'!DY137,"AAAAAHyf/38=")</f>
        <v>#VALUE!</v>
      </c>
      <c r="DY174" t="e">
        <f>AND('UP133'!DZ137,"AAAAAHyf/4A=")</f>
        <v>#VALUE!</v>
      </c>
      <c r="DZ174" t="e">
        <f>AND('UP133'!EA137,"AAAAAHyf/4E=")</f>
        <v>#VALUE!</v>
      </c>
      <c r="EA174" t="e">
        <f>AND('UP133'!EB137,"AAAAAHyf/4I=")</f>
        <v>#VALUE!</v>
      </c>
      <c r="EB174" t="e">
        <f>AND('UP133'!EC137,"AAAAAHyf/4M=")</f>
        <v>#VALUE!</v>
      </c>
      <c r="EC174" t="e">
        <f>AND('UP133'!ED137,"AAAAAHyf/4Q=")</f>
        <v>#VALUE!</v>
      </c>
      <c r="ED174" t="e">
        <f>AND('UP133'!EE137,"AAAAAHyf/4U=")</f>
        <v>#VALUE!</v>
      </c>
      <c r="EE174" t="e">
        <f>AND('UP133'!EF137,"AAAAAHyf/4Y=")</f>
        <v>#VALUE!</v>
      </c>
      <c r="EF174" t="e">
        <f>AND('UP133'!EG137,"AAAAAHyf/4c=")</f>
        <v>#VALUE!</v>
      </c>
      <c r="EG174" t="e">
        <f>AND('UP133'!EH137,"AAAAAHyf/4g=")</f>
        <v>#VALUE!</v>
      </c>
      <c r="EH174" t="e">
        <f>AND('UP133'!EI137,"AAAAAHyf/4k=")</f>
        <v>#VALUE!</v>
      </c>
      <c r="EI174" t="e">
        <f>AND('UP133'!EJ137,"AAAAAHyf/4o=")</f>
        <v>#VALUE!</v>
      </c>
      <c r="EJ174" t="e">
        <f>AND('UP133'!EK137,"AAAAAHyf/4s=")</f>
        <v>#VALUE!</v>
      </c>
      <c r="EK174" t="e">
        <f>AND('UP133'!EL137,"AAAAAHyf/4w=")</f>
        <v>#VALUE!</v>
      </c>
      <c r="EL174" t="e">
        <f>AND('UP133'!EM137,"AAAAAHyf/40=")</f>
        <v>#VALUE!</v>
      </c>
      <c r="EM174" t="e">
        <f>AND('UP133'!EN137,"AAAAAHyf/44=")</f>
        <v>#VALUE!</v>
      </c>
      <c r="EN174" t="e">
        <f>AND('UP133'!EO137,"AAAAAHyf/48=")</f>
        <v>#VALUE!</v>
      </c>
      <c r="EO174" t="e">
        <f>AND('UP133'!EP137,"AAAAAHyf/5A=")</f>
        <v>#VALUE!</v>
      </c>
      <c r="EP174" t="e">
        <f>AND('UP133'!EQ137,"AAAAAHyf/5E=")</f>
        <v>#VALUE!</v>
      </c>
      <c r="EQ174" t="e">
        <f>AND('UP133'!ER137,"AAAAAHyf/5I=")</f>
        <v>#VALUE!</v>
      </c>
      <c r="ER174" t="e">
        <f>AND('UP133'!ES137,"AAAAAHyf/5M=")</f>
        <v>#VALUE!</v>
      </c>
      <c r="ES174" t="e">
        <f>AND('UP133'!ET137,"AAAAAHyf/5Q=")</f>
        <v>#VALUE!</v>
      </c>
      <c r="ET174" t="e">
        <f>AND('UP133'!EU137,"AAAAAHyf/5U=")</f>
        <v>#VALUE!</v>
      </c>
      <c r="EU174" t="e">
        <f>AND('UP133'!EV137,"AAAAAHyf/5Y=")</f>
        <v>#VALUE!</v>
      </c>
      <c r="EV174" t="e">
        <f>AND('UP133'!EW137,"AAAAAHyf/5c=")</f>
        <v>#VALUE!</v>
      </c>
      <c r="EW174" t="e">
        <f>AND('UP133'!EX137,"AAAAAHyf/5g=")</f>
        <v>#VALUE!</v>
      </c>
      <c r="EX174" t="e">
        <f>AND('UP133'!EY137,"AAAAAHyf/5k=")</f>
        <v>#VALUE!</v>
      </c>
      <c r="EY174" t="e">
        <f>AND('UP133'!EZ137,"AAAAAHyf/5o=")</f>
        <v>#VALUE!</v>
      </c>
      <c r="EZ174" t="e">
        <f>AND('UP133'!FA137,"AAAAAHyf/5s=")</f>
        <v>#VALUE!</v>
      </c>
      <c r="FA174" t="e">
        <f>AND('UP133'!FB137,"AAAAAHyf/5w=")</f>
        <v>#VALUE!</v>
      </c>
      <c r="FB174" t="e">
        <f>AND('UP133'!FC137,"AAAAAHyf/50=")</f>
        <v>#VALUE!</v>
      </c>
      <c r="FC174" t="e">
        <f>AND('UP133'!FD137,"AAAAAHyf/54=")</f>
        <v>#VALUE!</v>
      </c>
      <c r="FD174" t="e">
        <f>AND('UP133'!FE137,"AAAAAHyf/58=")</f>
        <v>#VALUE!</v>
      </c>
      <c r="FE174" t="e">
        <f>AND('UP133'!FF137,"AAAAAHyf/6A=")</f>
        <v>#VALUE!</v>
      </c>
      <c r="FF174" t="e">
        <f>AND('UP133'!FG137,"AAAAAHyf/6E=")</f>
        <v>#VALUE!</v>
      </c>
      <c r="FG174" t="e">
        <f>AND('UP133'!FH137,"AAAAAHyf/6I=")</f>
        <v>#VALUE!</v>
      </c>
      <c r="FH174" t="e">
        <f>AND('UP133'!FI137,"AAAAAHyf/6M=")</f>
        <v>#VALUE!</v>
      </c>
      <c r="FI174" t="e">
        <f>AND('UP133'!FJ137,"AAAAAHyf/6Q=")</f>
        <v>#VALUE!</v>
      </c>
      <c r="FJ174" t="e">
        <f>AND('UP133'!FK137,"AAAAAHyf/6U=")</f>
        <v>#VALUE!</v>
      </c>
      <c r="FK174" t="e">
        <f>AND('UP133'!FL137,"AAAAAHyf/6Y=")</f>
        <v>#VALUE!</v>
      </c>
      <c r="FL174" t="e">
        <f>AND('UP133'!FM137,"AAAAAHyf/6c=")</f>
        <v>#VALUE!</v>
      </c>
      <c r="FM174" t="e">
        <f>AND('UP133'!FN137,"AAAAAHyf/6g=")</f>
        <v>#VALUE!</v>
      </c>
      <c r="FN174" t="e">
        <f>AND('UP133'!FO137,"AAAAAHyf/6k=")</f>
        <v>#VALUE!</v>
      </c>
      <c r="FO174" t="e">
        <f>AND('UP133'!FP137,"AAAAAHyf/6o=")</f>
        <v>#VALUE!</v>
      </c>
      <c r="FP174" t="e">
        <f>AND('UP133'!FQ137,"AAAAAHyf/6s=")</f>
        <v>#VALUE!</v>
      </c>
      <c r="FQ174" t="e">
        <f>AND('UP133'!FR137,"AAAAAHyf/6w=")</f>
        <v>#VALUE!</v>
      </c>
      <c r="FR174" t="e">
        <f>AND('UP133'!FS137,"AAAAAHyf/60=")</f>
        <v>#VALUE!</v>
      </c>
      <c r="FS174" t="e">
        <f>AND('UP133'!FT137,"AAAAAHyf/64=")</f>
        <v>#VALUE!</v>
      </c>
      <c r="FT174" t="e">
        <f>AND('UP133'!FU137,"AAAAAHyf/68=")</f>
        <v>#VALUE!</v>
      </c>
      <c r="FU174" t="e">
        <f>AND('UP133'!FV137,"AAAAAHyf/7A=")</f>
        <v>#VALUE!</v>
      </c>
      <c r="FV174" t="e">
        <f>AND('UP133'!FW137,"AAAAAHyf/7E=")</f>
        <v>#VALUE!</v>
      </c>
      <c r="FW174" t="e">
        <f>AND('UP133'!FX137,"AAAAAHyf/7I=")</f>
        <v>#VALUE!</v>
      </c>
      <c r="FX174" t="e">
        <f>AND('UP133'!FY137,"AAAAAHyf/7M=")</f>
        <v>#VALUE!</v>
      </c>
      <c r="FY174" t="e">
        <f>AND('UP133'!FZ137,"AAAAAHyf/7Q=")</f>
        <v>#VALUE!</v>
      </c>
      <c r="FZ174" t="e">
        <f>AND('UP133'!GA137,"AAAAAHyf/7U=")</f>
        <v>#VALUE!</v>
      </c>
      <c r="GA174" t="e">
        <f>AND('UP133'!GB137,"AAAAAHyf/7Y=")</f>
        <v>#VALUE!</v>
      </c>
      <c r="GB174" t="e">
        <f>AND('UP133'!GC137,"AAAAAHyf/7c=")</f>
        <v>#VALUE!</v>
      </c>
      <c r="GC174" t="e">
        <f>AND('UP133'!GD137,"AAAAAHyf/7g=")</f>
        <v>#VALUE!</v>
      </c>
      <c r="GD174" t="e">
        <f>AND('UP133'!GE137,"AAAAAHyf/7k=")</f>
        <v>#VALUE!</v>
      </c>
      <c r="GE174" t="e">
        <f>AND('UP133'!GF137,"AAAAAHyf/7o=")</f>
        <v>#VALUE!</v>
      </c>
      <c r="GF174" t="e">
        <f>AND('UP133'!GG137,"AAAAAHyf/7s=")</f>
        <v>#VALUE!</v>
      </c>
      <c r="GG174" t="e">
        <f>AND('UP133'!GH137,"AAAAAHyf/7w=")</f>
        <v>#VALUE!</v>
      </c>
      <c r="GH174" t="e">
        <f>AND('UP133'!GI137,"AAAAAHyf/70=")</f>
        <v>#VALUE!</v>
      </c>
      <c r="GI174" t="e">
        <f>AND('UP133'!GJ137,"AAAAAHyf/74=")</f>
        <v>#VALUE!</v>
      </c>
      <c r="GJ174" t="e">
        <f>AND('UP133'!GK137,"AAAAAHyf/78=")</f>
        <v>#VALUE!</v>
      </c>
      <c r="GK174" t="e">
        <f>AND('UP133'!GL137,"AAAAAHyf/8A=")</f>
        <v>#VALUE!</v>
      </c>
      <c r="GL174" t="e">
        <f>AND('UP133'!GM137,"AAAAAHyf/8E=")</f>
        <v>#VALUE!</v>
      </c>
      <c r="GM174" t="e">
        <f>AND('UP133'!GN137,"AAAAAHyf/8I=")</f>
        <v>#VALUE!</v>
      </c>
      <c r="GN174" t="e">
        <f>AND('UP133'!GO137,"AAAAAHyf/8M=")</f>
        <v>#VALUE!</v>
      </c>
      <c r="GO174" t="e">
        <f>AND('UP133'!GP137,"AAAAAHyf/8Q=")</f>
        <v>#VALUE!</v>
      </c>
      <c r="GP174" t="e">
        <f>AND('UP133'!GQ137,"AAAAAHyf/8U=")</f>
        <v>#VALUE!</v>
      </c>
      <c r="GQ174" t="e">
        <f>AND('UP133'!GR137,"AAAAAHyf/8Y=")</f>
        <v>#VALUE!</v>
      </c>
      <c r="GR174" t="e">
        <f>AND('UP133'!GS137,"AAAAAHyf/8c=")</f>
        <v>#VALUE!</v>
      </c>
      <c r="GS174" t="e">
        <f>AND('UP133'!GT137,"AAAAAHyf/8g=")</f>
        <v>#VALUE!</v>
      </c>
      <c r="GT174" t="e">
        <f>AND('UP133'!GU137,"AAAAAHyf/8k=")</f>
        <v>#VALUE!</v>
      </c>
      <c r="GU174" t="e">
        <f>AND('UP133'!GV137,"AAAAAHyf/8o=")</f>
        <v>#VALUE!</v>
      </c>
      <c r="GV174" t="e">
        <f>AND('UP133'!GW137,"AAAAAHyf/8s=")</f>
        <v>#VALUE!</v>
      </c>
      <c r="GW174" t="e">
        <f>AND('UP133'!GX137,"AAAAAHyf/8w=")</f>
        <v>#VALUE!</v>
      </c>
      <c r="GX174" t="e">
        <f>AND('UP133'!GY137,"AAAAAHyf/80=")</f>
        <v>#VALUE!</v>
      </c>
      <c r="GY174" t="e">
        <f>AND('UP133'!GZ137,"AAAAAHyf/84=")</f>
        <v>#VALUE!</v>
      </c>
      <c r="GZ174" t="e">
        <f>AND('UP133'!HA137,"AAAAAHyf/88=")</f>
        <v>#VALUE!</v>
      </c>
      <c r="HA174" t="e">
        <f>AND('UP133'!HB137,"AAAAAHyf/9A=")</f>
        <v>#VALUE!</v>
      </c>
      <c r="HB174" t="e">
        <f>AND('UP133'!HC137,"AAAAAHyf/9E=")</f>
        <v>#VALUE!</v>
      </c>
      <c r="HC174" t="e">
        <f>AND('UP133'!HD137,"AAAAAHyf/9I=")</f>
        <v>#VALUE!</v>
      </c>
      <c r="HD174" t="e">
        <f>AND('UP133'!HE137,"AAAAAHyf/9M=")</f>
        <v>#VALUE!</v>
      </c>
      <c r="HE174" t="e">
        <f>AND('UP133'!HF137,"AAAAAHyf/9Q=")</f>
        <v>#VALUE!</v>
      </c>
      <c r="HF174" t="e">
        <f>AND('UP133'!HG137,"AAAAAHyf/9U=")</f>
        <v>#VALUE!</v>
      </c>
      <c r="HG174" t="e">
        <f>AND('UP133'!HH137,"AAAAAHyf/9Y=")</f>
        <v>#VALUE!</v>
      </c>
      <c r="HH174" t="e">
        <f>AND('UP133'!HI137,"AAAAAHyf/9c=")</f>
        <v>#VALUE!</v>
      </c>
      <c r="HI174" t="e">
        <f>AND('UP133'!HJ137,"AAAAAHyf/9g=")</f>
        <v>#VALUE!</v>
      </c>
      <c r="HJ174" t="e">
        <f>AND('UP133'!HK137,"AAAAAHyf/9k=")</f>
        <v>#VALUE!</v>
      </c>
      <c r="HK174" t="e">
        <f>AND('UP133'!HL137,"AAAAAHyf/9o=")</f>
        <v>#VALUE!</v>
      </c>
      <c r="HL174" t="e">
        <f>AND('UP133'!HM137,"AAAAAHyf/9s=")</f>
        <v>#VALUE!</v>
      </c>
      <c r="HM174" t="e">
        <f>AND('UP133'!HN137,"AAAAAHyf/9w=")</f>
        <v>#VALUE!</v>
      </c>
      <c r="HN174" t="e">
        <f>AND('UP133'!HO137,"AAAAAHyf/90=")</f>
        <v>#VALUE!</v>
      </c>
      <c r="HO174" t="e">
        <f>AND('UP133'!HP137,"AAAAAHyf/94=")</f>
        <v>#VALUE!</v>
      </c>
      <c r="HP174" t="e">
        <f>AND('UP133'!HQ137,"AAAAAHyf/98=")</f>
        <v>#VALUE!</v>
      </c>
      <c r="HQ174" t="e">
        <f>AND('UP133'!HR137,"AAAAAHyf/+A=")</f>
        <v>#VALUE!</v>
      </c>
      <c r="HR174" t="e">
        <f>AND('UP133'!HS137,"AAAAAHyf/+E=")</f>
        <v>#VALUE!</v>
      </c>
      <c r="HS174" t="e">
        <f>AND('UP133'!HT137,"AAAAAHyf/+I=")</f>
        <v>#VALUE!</v>
      </c>
      <c r="HT174" t="e">
        <f>AND('UP133'!HU137,"AAAAAHyf/+M=")</f>
        <v>#VALUE!</v>
      </c>
      <c r="HU174" t="e">
        <f>AND('UP133'!HV137,"AAAAAHyf/+Q=")</f>
        <v>#VALUE!</v>
      </c>
      <c r="HV174" t="e">
        <f>AND('UP133'!HW137,"AAAAAHyf/+U=")</f>
        <v>#VALUE!</v>
      </c>
      <c r="HW174" t="e">
        <f>AND('UP133'!HX137,"AAAAAHyf/+Y=")</f>
        <v>#VALUE!</v>
      </c>
      <c r="HX174" t="e">
        <f>AND('UP133'!HY137,"AAAAAHyf/+c=")</f>
        <v>#VALUE!</v>
      </c>
      <c r="HY174" t="e">
        <f>AND('UP133'!HZ137,"AAAAAHyf/+g=")</f>
        <v>#VALUE!</v>
      </c>
      <c r="HZ174" t="e">
        <f>AND('UP133'!IA137,"AAAAAHyf/+k=")</f>
        <v>#VALUE!</v>
      </c>
      <c r="IA174" t="e">
        <f>AND('UP133'!IB137,"AAAAAHyf/+o=")</f>
        <v>#VALUE!</v>
      </c>
      <c r="IB174" t="e">
        <f>AND('UP133'!IC137,"AAAAAHyf/+s=")</f>
        <v>#VALUE!</v>
      </c>
      <c r="IC174" t="e">
        <f>AND('UP133'!ID137,"AAAAAHyf/+w=")</f>
        <v>#VALUE!</v>
      </c>
      <c r="ID174" t="e">
        <f>AND('UP133'!IE137,"AAAAAHyf/+0=")</f>
        <v>#VALUE!</v>
      </c>
      <c r="IE174" t="e">
        <f>AND('UP133'!IF137,"AAAAAHyf/+4=")</f>
        <v>#VALUE!</v>
      </c>
      <c r="IF174" t="e">
        <f>AND('UP133'!IG137,"AAAAAHyf/+8=")</f>
        <v>#VALUE!</v>
      </c>
      <c r="IG174" t="e">
        <f>AND('UP133'!IH137,"AAAAAHyf//A=")</f>
        <v>#VALUE!</v>
      </c>
      <c r="IH174" t="e">
        <f>AND('UP133'!II137,"AAAAAHyf//E=")</f>
        <v>#VALUE!</v>
      </c>
      <c r="II174" t="e">
        <f>AND('UP133'!IJ137,"AAAAAHyf//I=")</f>
        <v>#VALUE!</v>
      </c>
      <c r="IJ174" t="e">
        <f>AND('UP133'!IK137,"AAAAAHyf//M=")</f>
        <v>#VALUE!</v>
      </c>
      <c r="IK174" t="e">
        <f>AND('UP133'!IL137,"AAAAAHyf//Q=")</f>
        <v>#VALUE!</v>
      </c>
      <c r="IL174" t="e">
        <f>AND('UP133'!IM137,"AAAAAHyf//U=")</f>
        <v>#VALUE!</v>
      </c>
      <c r="IM174" t="e">
        <f>AND('UP133'!IN137,"AAAAAHyf//Y=")</f>
        <v>#VALUE!</v>
      </c>
      <c r="IN174" t="e">
        <f>AND('UP133'!IO137,"AAAAAHyf//c=")</f>
        <v>#VALUE!</v>
      </c>
      <c r="IO174" t="e">
        <f>AND('UP133'!IP137,"AAAAAHyf//g=")</f>
        <v>#VALUE!</v>
      </c>
      <c r="IP174" t="e">
        <f>AND('UP133'!IQ137,"AAAAAHyf//k=")</f>
        <v>#VALUE!</v>
      </c>
      <c r="IQ174">
        <f>IF('UP133'!138:138,"AAAAAHyf//o=",0)</f>
        <v>0</v>
      </c>
      <c r="IR174" t="e">
        <f>AND('UP133'!A138,"AAAAAHyf//s=")</f>
        <v>#VALUE!</v>
      </c>
      <c r="IS174" t="e">
        <f>AND('UP133'!B138,"AAAAAHyf//w=")</f>
        <v>#VALUE!</v>
      </c>
      <c r="IT174" t="e">
        <f>AND('UP133'!C138,"AAAAAHyf//0=")</f>
        <v>#VALUE!</v>
      </c>
      <c r="IU174" t="e">
        <f>AND('UP133'!D138,"AAAAAHyf//4=")</f>
        <v>#VALUE!</v>
      </c>
      <c r="IV174" t="e">
        <f>AND('UP133'!E138,"AAAAAHyf//8=")</f>
        <v>#VALUE!</v>
      </c>
    </row>
    <row r="175" spans="1:256">
      <c r="A175" t="e">
        <f>AND('UP133'!F138,"AAAAAFbdPwA=")</f>
        <v>#VALUE!</v>
      </c>
      <c r="B175" t="e">
        <f>AND('UP133'!G138,"AAAAAFbdPwE=")</f>
        <v>#VALUE!</v>
      </c>
      <c r="C175" t="e">
        <f>AND('UP133'!H138,"AAAAAFbdPwI=")</f>
        <v>#VALUE!</v>
      </c>
      <c r="D175" t="e">
        <f>AND('UP133'!I138,"AAAAAFbdPwM=")</f>
        <v>#VALUE!</v>
      </c>
      <c r="E175" t="e">
        <f>AND('UP133'!J138,"AAAAAFbdPwQ=")</f>
        <v>#VALUE!</v>
      </c>
      <c r="F175" t="e">
        <f>AND('UP133'!K138,"AAAAAFbdPwU=")</f>
        <v>#VALUE!</v>
      </c>
      <c r="G175" t="e">
        <f>AND('UP133'!L138,"AAAAAFbdPwY=")</f>
        <v>#VALUE!</v>
      </c>
      <c r="H175" t="e">
        <f>AND('UP133'!M138,"AAAAAFbdPwc=")</f>
        <v>#VALUE!</v>
      </c>
      <c r="I175" t="e">
        <f>AND('UP133'!N138,"AAAAAFbdPwg=")</f>
        <v>#VALUE!</v>
      </c>
      <c r="J175" t="e">
        <f>AND('UP133'!O138,"AAAAAFbdPwk=")</f>
        <v>#VALUE!</v>
      </c>
      <c r="K175" t="e">
        <f>AND('UP133'!P138,"AAAAAFbdPwo=")</f>
        <v>#VALUE!</v>
      </c>
      <c r="L175" t="e">
        <f>AND('UP133'!Q138,"AAAAAFbdPws=")</f>
        <v>#VALUE!</v>
      </c>
      <c r="M175" t="e">
        <f>AND('UP133'!R138,"AAAAAFbdPww=")</f>
        <v>#VALUE!</v>
      </c>
      <c r="N175" t="e">
        <f>AND('UP133'!S138,"AAAAAFbdPw0=")</f>
        <v>#VALUE!</v>
      </c>
      <c r="O175" t="e">
        <f>AND('UP133'!T138,"AAAAAFbdPw4=")</f>
        <v>#VALUE!</v>
      </c>
      <c r="P175" t="e">
        <f>AND('UP133'!U138,"AAAAAFbdPw8=")</f>
        <v>#VALUE!</v>
      </c>
      <c r="Q175" t="e">
        <f>AND('UP133'!V138,"AAAAAFbdPxA=")</f>
        <v>#VALUE!</v>
      </c>
      <c r="R175" t="e">
        <f>AND('UP133'!W138,"AAAAAFbdPxE=")</f>
        <v>#VALUE!</v>
      </c>
      <c r="S175" t="e">
        <f>AND('UP133'!X138,"AAAAAFbdPxI=")</f>
        <v>#VALUE!</v>
      </c>
      <c r="T175" t="e">
        <f>AND('UP133'!Y138,"AAAAAFbdPxM=")</f>
        <v>#VALUE!</v>
      </c>
      <c r="U175" t="e">
        <f>AND('UP133'!Z138,"AAAAAFbdPxQ=")</f>
        <v>#VALUE!</v>
      </c>
      <c r="V175" t="e">
        <f>AND('UP133'!AA138,"AAAAAFbdPxU=")</f>
        <v>#VALUE!</v>
      </c>
      <c r="W175" t="e">
        <f>AND('UP133'!AB138,"AAAAAFbdPxY=")</f>
        <v>#VALUE!</v>
      </c>
      <c r="X175" t="e">
        <f>AND('UP133'!AC138,"AAAAAFbdPxc=")</f>
        <v>#VALUE!</v>
      </c>
      <c r="Y175" t="e">
        <f>AND('UP133'!AD138,"AAAAAFbdPxg=")</f>
        <v>#VALUE!</v>
      </c>
      <c r="Z175" t="e">
        <f>AND('UP133'!AE138,"AAAAAFbdPxk=")</f>
        <v>#VALUE!</v>
      </c>
      <c r="AA175" t="e">
        <f>AND('UP133'!AF138,"AAAAAFbdPxo=")</f>
        <v>#VALUE!</v>
      </c>
      <c r="AB175" t="e">
        <f>AND('UP133'!AG138,"AAAAAFbdPxs=")</f>
        <v>#VALUE!</v>
      </c>
      <c r="AC175" t="e">
        <f>AND('UP133'!AH138,"AAAAAFbdPxw=")</f>
        <v>#VALUE!</v>
      </c>
      <c r="AD175" t="e">
        <f>AND('UP133'!AI138,"AAAAAFbdPx0=")</f>
        <v>#VALUE!</v>
      </c>
      <c r="AE175" t="e">
        <f>AND('UP133'!AJ138,"AAAAAFbdPx4=")</f>
        <v>#VALUE!</v>
      </c>
      <c r="AF175" t="e">
        <f>AND('UP133'!AK138,"AAAAAFbdPx8=")</f>
        <v>#VALUE!</v>
      </c>
      <c r="AG175" t="e">
        <f>AND('UP133'!AL138,"AAAAAFbdPyA=")</f>
        <v>#VALUE!</v>
      </c>
      <c r="AH175" t="e">
        <f>AND('UP133'!AM138,"AAAAAFbdPyE=")</f>
        <v>#VALUE!</v>
      </c>
      <c r="AI175" t="e">
        <f>AND('UP133'!AN138,"AAAAAFbdPyI=")</f>
        <v>#VALUE!</v>
      </c>
      <c r="AJ175" t="e">
        <f>AND('UP133'!AO138,"AAAAAFbdPyM=")</f>
        <v>#VALUE!</v>
      </c>
      <c r="AK175" t="e">
        <f>AND('UP133'!AP138,"AAAAAFbdPyQ=")</f>
        <v>#VALUE!</v>
      </c>
      <c r="AL175" t="e">
        <f>AND('UP133'!AQ138,"AAAAAFbdPyU=")</f>
        <v>#VALUE!</v>
      </c>
      <c r="AM175" t="e">
        <f>AND('UP133'!AR138,"AAAAAFbdPyY=")</f>
        <v>#VALUE!</v>
      </c>
      <c r="AN175" t="e">
        <f>AND('UP133'!AS138,"AAAAAFbdPyc=")</f>
        <v>#VALUE!</v>
      </c>
      <c r="AO175" t="e">
        <f>AND('UP133'!AT138,"AAAAAFbdPyg=")</f>
        <v>#VALUE!</v>
      </c>
      <c r="AP175" t="e">
        <f>AND('UP133'!AU138,"AAAAAFbdPyk=")</f>
        <v>#VALUE!</v>
      </c>
      <c r="AQ175" t="e">
        <f>AND('UP133'!AV138,"AAAAAFbdPyo=")</f>
        <v>#VALUE!</v>
      </c>
      <c r="AR175" t="e">
        <f>AND('UP133'!AW138,"AAAAAFbdPys=")</f>
        <v>#VALUE!</v>
      </c>
      <c r="AS175" t="e">
        <f>AND('UP133'!AX138,"AAAAAFbdPyw=")</f>
        <v>#VALUE!</v>
      </c>
      <c r="AT175" t="e">
        <f>AND('UP133'!AY138,"AAAAAFbdPy0=")</f>
        <v>#VALUE!</v>
      </c>
      <c r="AU175" t="e">
        <f>AND('UP133'!AZ138,"AAAAAFbdPy4=")</f>
        <v>#VALUE!</v>
      </c>
      <c r="AV175" t="e">
        <f>AND('UP133'!BA138,"AAAAAFbdPy8=")</f>
        <v>#VALUE!</v>
      </c>
      <c r="AW175" t="e">
        <f>AND('UP133'!BB138,"AAAAAFbdPzA=")</f>
        <v>#VALUE!</v>
      </c>
      <c r="AX175" t="e">
        <f>AND('UP133'!BC138,"AAAAAFbdPzE=")</f>
        <v>#VALUE!</v>
      </c>
      <c r="AY175" t="e">
        <f>AND('UP133'!BD138,"AAAAAFbdPzI=")</f>
        <v>#VALUE!</v>
      </c>
      <c r="AZ175" t="e">
        <f>AND('UP133'!BE138,"AAAAAFbdPzM=")</f>
        <v>#VALUE!</v>
      </c>
      <c r="BA175" t="e">
        <f>AND('UP133'!BF138,"AAAAAFbdPzQ=")</f>
        <v>#VALUE!</v>
      </c>
      <c r="BB175" t="e">
        <f>AND('UP133'!BG138,"AAAAAFbdPzU=")</f>
        <v>#VALUE!</v>
      </c>
      <c r="BC175" t="e">
        <f>AND('UP133'!BH138,"AAAAAFbdPzY=")</f>
        <v>#VALUE!</v>
      </c>
      <c r="BD175" t="e">
        <f>AND('UP133'!BI138,"AAAAAFbdPzc=")</f>
        <v>#VALUE!</v>
      </c>
      <c r="BE175" t="e">
        <f>AND('UP133'!BJ138,"AAAAAFbdPzg=")</f>
        <v>#VALUE!</v>
      </c>
      <c r="BF175" t="e">
        <f>AND('UP133'!BK138,"AAAAAFbdPzk=")</f>
        <v>#VALUE!</v>
      </c>
      <c r="BG175" t="e">
        <f>AND('UP133'!BL138,"AAAAAFbdPzo=")</f>
        <v>#VALUE!</v>
      </c>
      <c r="BH175" t="e">
        <f>AND('UP133'!BM138,"AAAAAFbdPzs=")</f>
        <v>#VALUE!</v>
      </c>
      <c r="BI175" t="e">
        <f>AND('UP133'!BN138,"AAAAAFbdPzw=")</f>
        <v>#VALUE!</v>
      </c>
      <c r="BJ175" t="e">
        <f>AND('UP133'!BO138,"AAAAAFbdPz0=")</f>
        <v>#VALUE!</v>
      </c>
      <c r="BK175" t="e">
        <f>AND('UP133'!BP138,"AAAAAFbdPz4=")</f>
        <v>#VALUE!</v>
      </c>
      <c r="BL175" t="e">
        <f>AND('UP133'!BQ138,"AAAAAFbdPz8=")</f>
        <v>#VALUE!</v>
      </c>
      <c r="BM175" t="e">
        <f>AND('UP133'!BR138,"AAAAAFbdP0A=")</f>
        <v>#VALUE!</v>
      </c>
      <c r="BN175" t="e">
        <f>AND('UP133'!BS138,"AAAAAFbdP0E=")</f>
        <v>#VALUE!</v>
      </c>
      <c r="BO175" t="e">
        <f>AND('UP133'!BT138,"AAAAAFbdP0I=")</f>
        <v>#VALUE!</v>
      </c>
      <c r="BP175" t="e">
        <f>AND('UP133'!BU138,"AAAAAFbdP0M=")</f>
        <v>#VALUE!</v>
      </c>
      <c r="BQ175" t="e">
        <f>AND('UP133'!BV138,"AAAAAFbdP0Q=")</f>
        <v>#VALUE!</v>
      </c>
      <c r="BR175" t="e">
        <f>AND('UP133'!BW138,"AAAAAFbdP0U=")</f>
        <v>#VALUE!</v>
      </c>
      <c r="BS175" t="e">
        <f>AND('UP133'!BX138,"AAAAAFbdP0Y=")</f>
        <v>#VALUE!</v>
      </c>
      <c r="BT175" t="e">
        <f>AND('UP133'!BY138,"AAAAAFbdP0c=")</f>
        <v>#VALUE!</v>
      </c>
      <c r="BU175" t="e">
        <f>AND('UP133'!BZ138,"AAAAAFbdP0g=")</f>
        <v>#VALUE!</v>
      </c>
      <c r="BV175" t="e">
        <f>AND('UP133'!CA138,"AAAAAFbdP0k=")</f>
        <v>#VALUE!</v>
      </c>
      <c r="BW175" t="e">
        <f>AND('UP133'!CB138,"AAAAAFbdP0o=")</f>
        <v>#VALUE!</v>
      </c>
      <c r="BX175" t="e">
        <f>AND('UP133'!CC138,"AAAAAFbdP0s=")</f>
        <v>#VALUE!</v>
      </c>
      <c r="BY175" t="e">
        <f>AND('UP133'!CD138,"AAAAAFbdP0w=")</f>
        <v>#VALUE!</v>
      </c>
      <c r="BZ175" t="e">
        <f>AND('UP133'!CE138,"AAAAAFbdP00=")</f>
        <v>#VALUE!</v>
      </c>
      <c r="CA175" t="e">
        <f>AND('UP133'!CF138,"AAAAAFbdP04=")</f>
        <v>#VALUE!</v>
      </c>
      <c r="CB175" t="e">
        <f>AND('UP133'!CG138,"AAAAAFbdP08=")</f>
        <v>#VALUE!</v>
      </c>
      <c r="CC175" t="e">
        <f>AND('UP133'!CH138,"AAAAAFbdP1A=")</f>
        <v>#VALUE!</v>
      </c>
      <c r="CD175" t="e">
        <f>AND('UP133'!CI138,"AAAAAFbdP1E=")</f>
        <v>#VALUE!</v>
      </c>
      <c r="CE175" t="e">
        <f>AND('UP133'!CJ138,"AAAAAFbdP1I=")</f>
        <v>#VALUE!</v>
      </c>
      <c r="CF175" t="e">
        <f>AND('UP133'!CK138,"AAAAAFbdP1M=")</f>
        <v>#VALUE!</v>
      </c>
      <c r="CG175" t="e">
        <f>AND('UP133'!CL138,"AAAAAFbdP1Q=")</f>
        <v>#VALUE!</v>
      </c>
      <c r="CH175" t="e">
        <f>AND('UP133'!CM138,"AAAAAFbdP1U=")</f>
        <v>#VALUE!</v>
      </c>
      <c r="CI175" t="e">
        <f>AND('UP133'!CN138,"AAAAAFbdP1Y=")</f>
        <v>#VALUE!</v>
      </c>
      <c r="CJ175" t="e">
        <f>AND('UP133'!CO138,"AAAAAFbdP1c=")</f>
        <v>#VALUE!</v>
      </c>
      <c r="CK175" t="e">
        <f>AND('UP133'!CP138,"AAAAAFbdP1g=")</f>
        <v>#VALUE!</v>
      </c>
      <c r="CL175" t="e">
        <f>AND('UP133'!CQ138,"AAAAAFbdP1k=")</f>
        <v>#VALUE!</v>
      </c>
      <c r="CM175" t="e">
        <f>AND('UP133'!CR138,"AAAAAFbdP1o=")</f>
        <v>#VALUE!</v>
      </c>
      <c r="CN175" t="e">
        <f>AND('UP133'!CS138,"AAAAAFbdP1s=")</f>
        <v>#VALUE!</v>
      </c>
      <c r="CO175" t="e">
        <f>AND('UP133'!CT138,"AAAAAFbdP1w=")</f>
        <v>#VALUE!</v>
      </c>
      <c r="CP175" t="e">
        <f>AND('UP133'!CU138,"AAAAAFbdP10=")</f>
        <v>#VALUE!</v>
      </c>
      <c r="CQ175" t="e">
        <f>AND('UP133'!CV138,"AAAAAFbdP14=")</f>
        <v>#VALUE!</v>
      </c>
      <c r="CR175" t="e">
        <f>AND('UP133'!CW138,"AAAAAFbdP18=")</f>
        <v>#VALUE!</v>
      </c>
      <c r="CS175" t="e">
        <f>AND('UP133'!CX138,"AAAAAFbdP2A=")</f>
        <v>#VALUE!</v>
      </c>
      <c r="CT175" t="e">
        <f>AND('UP133'!CY138,"AAAAAFbdP2E=")</f>
        <v>#VALUE!</v>
      </c>
      <c r="CU175" t="e">
        <f>AND('UP133'!CZ138,"AAAAAFbdP2I=")</f>
        <v>#VALUE!</v>
      </c>
      <c r="CV175" t="e">
        <f>AND('UP133'!DA138,"AAAAAFbdP2M=")</f>
        <v>#VALUE!</v>
      </c>
      <c r="CW175" t="e">
        <f>AND('UP133'!DB138,"AAAAAFbdP2Q=")</f>
        <v>#VALUE!</v>
      </c>
      <c r="CX175" t="e">
        <f>AND('UP133'!DC138,"AAAAAFbdP2U=")</f>
        <v>#VALUE!</v>
      </c>
      <c r="CY175" t="e">
        <f>AND('UP133'!DD138,"AAAAAFbdP2Y=")</f>
        <v>#VALUE!</v>
      </c>
      <c r="CZ175" t="e">
        <f>AND('UP133'!DE138,"AAAAAFbdP2c=")</f>
        <v>#VALUE!</v>
      </c>
      <c r="DA175" t="e">
        <f>AND('UP133'!DF138,"AAAAAFbdP2g=")</f>
        <v>#VALUE!</v>
      </c>
      <c r="DB175" t="e">
        <f>AND('UP133'!DG138,"AAAAAFbdP2k=")</f>
        <v>#VALUE!</v>
      </c>
      <c r="DC175" t="e">
        <f>AND('UP133'!DH138,"AAAAAFbdP2o=")</f>
        <v>#VALUE!</v>
      </c>
      <c r="DD175" t="e">
        <f>AND('UP133'!DI138,"AAAAAFbdP2s=")</f>
        <v>#VALUE!</v>
      </c>
      <c r="DE175" t="e">
        <f>AND('UP133'!DJ138,"AAAAAFbdP2w=")</f>
        <v>#VALUE!</v>
      </c>
      <c r="DF175" t="e">
        <f>AND('UP133'!DK138,"AAAAAFbdP20=")</f>
        <v>#VALUE!</v>
      </c>
      <c r="DG175" t="e">
        <f>AND('UP133'!DL138,"AAAAAFbdP24=")</f>
        <v>#VALUE!</v>
      </c>
      <c r="DH175" t="e">
        <f>AND('UP133'!DM138,"AAAAAFbdP28=")</f>
        <v>#VALUE!</v>
      </c>
      <c r="DI175" t="e">
        <f>AND('UP133'!DN138,"AAAAAFbdP3A=")</f>
        <v>#VALUE!</v>
      </c>
      <c r="DJ175" t="e">
        <f>AND('UP133'!DO138,"AAAAAFbdP3E=")</f>
        <v>#VALUE!</v>
      </c>
      <c r="DK175" t="e">
        <f>AND('UP133'!DP138,"AAAAAFbdP3I=")</f>
        <v>#VALUE!</v>
      </c>
      <c r="DL175" t="e">
        <f>AND('UP133'!DQ138,"AAAAAFbdP3M=")</f>
        <v>#VALUE!</v>
      </c>
      <c r="DM175" t="e">
        <f>AND('UP133'!DR138,"AAAAAFbdP3Q=")</f>
        <v>#VALUE!</v>
      </c>
      <c r="DN175" t="e">
        <f>AND('UP133'!DS138,"AAAAAFbdP3U=")</f>
        <v>#VALUE!</v>
      </c>
      <c r="DO175" t="e">
        <f>AND('UP133'!DT138,"AAAAAFbdP3Y=")</f>
        <v>#VALUE!</v>
      </c>
      <c r="DP175" t="e">
        <f>AND('UP133'!DU138,"AAAAAFbdP3c=")</f>
        <v>#VALUE!</v>
      </c>
      <c r="DQ175" t="e">
        <f>AND('UP133'!DV138,"AAAAAFbdP3g=")</f>
        <v>#VALUE!</v>
      </c>
      <c r="DR175" t="e">
        <f>AND('UP133'!DW138,"AAAAAFbdP3k=")</f>
        <v>#VALUE!</v>
      </c>
      <c r="DS175" t="e">
        <f>AND('UP133'!DX138,"AAAAAFbdP3o=")</f>
        <v>#VALUE!</v>
      </c>
      <c r="DT175" t="e">
        <f>AND('UP133'!DY138,"AAAAAFbdP3s=")</f>
        <v>#VALUE!</v>
      </c>
      <c r="DU175" t="e">
        <f>AND('UP133'!DZ138,"AAAAAFbdP3w=")</f>
        <v>#VALUE!</v>
      </c>
      <c r="DV175" t="e">
        <f>AND('UP133'!EA138,"AAAAAFbdP30=")</f>
        <v>#VALUE!</v>
      </c>
      <c r="DW175" t="e">
        <f>AND('UP133'!EB138,"AAAAAFbdP34=")</f>
        <v>#VALUE!</v>
      </c>
      <c r="DX175" t="e">
        <f>AND('UP133'!EC138,"AAAAAFbdP38=")</f>
        <v>#VALUE!</v>
      </c>
      <c r="DY175" t="e">
        <f>AND('UP133'!ED138,"AAAAAFbdP4A=")</f>
        <v>#VALUE!</v>
      </c>
      <c r="DZ175" t="e">
        <f>AND('UP133'!EE138,"AAAAAFbdP4E=")</f>
        <v>#VALUE!</v>
      </c>
      <c r="EA175" t="e">
        <f>AND('UP133'!EF138,"AAAAAFbdP4I=")</f>
        <v>#VALUE!</v>
      </c>
      <c r="EB175" t="e">
        <f>AND('UP133'!EG138,"AAAAAFbdP4M=")</f>
        <v>#VALUE!</v>
      </c>
      <c r="EC175" t="e">
        <f>AND('UP133'!EH138,"AAAAAFbdP4Q=")</f>
        <v>#VALUE!</v>
      </c>
      <c r="ED175" t="e">
        <f>AND('UP133'!EI138,"AAAAAFbdP4U=")</f>
        <v>#VALUE!</v>
      </c>
      <c r="EE175" t="e">
        <f>AND('UP133'!EJ138,"AAAAAFbdP4Y=")</f>
        <v>#VALUE!</v>
      </c>
      <c r="EF175" t="e">
        <f>AND('UP133'!EK138,"AAAAAFbdP4c=")</f>
        <v>#VALUE!</v>
      </c>
      <c r="EG175" t="e">
        <f>AND('UP133'!EL138,"AAAAAFbdP4g=")</f>
        <v>#VALUE!</v>
      </c>
      <c r="EH175" t="e">
        <f>AND('UP133'!EM138,"AAAAAFbdP4k=")</f>
        <v>#VALUE!</v>
      </c>
      <c r="EI175" t="e">
        <f>AND('UP133'!EN138,"AAAAAFbdP4o=")</f>
        <v>#VALUE!</v>
      </c>
      <c r="EJ175" t="e">
        <f>AND('UP133'!EO138,"AAAAAFbdP4s=")</f>
        <v>#VALUE!</v>
      </c>
      <c r="EK175" t="e">
        <f>AND('UP133'!EP138,"AAAAAFbdP4w=")</f>
        <v>#VALUE!</v>
      </c>
      <c r="EL175" t="e">
        <f>AND('UP133'!EQ138,"AAAAAFbdP40=")</f>
        <v>#VALUE!</v>
      </c>
      <c r="EM175" t="e">
        <f>AND('UP133'!ER138,"AAAAAFbdP44=")</f>
        <v>#VALUE!</v>
      </c>
      <c r="EN175" t="e">
        <f>AND('UP133'!ES138,"AAAAAFbdP48=")</f>
        <v>#VALUE!</v>
      </c>
      <c r="EO175" t="e">
        <f>AND('UP133'!ET138,"AAAAAFbdP5A=")</f>
        <v>#VALUE!</v>
      </c>
      <c r="EP175" t="e">
        <f>AND('UP133'!EU138,"AAAAAFbdP5E=")</f>
        <v>#VALUE!</v>
      </c>
      <c r="EQ175" t="e">
        <f>AND('UP133'!EV138,"AAAAAFbdP5I=")</f>
        <v>#VALUE!</v>
      </c>
      <c r="ER175" t="e">
        <f>AND('UP133'!EW138,"AAAAAFbdP5M=")</f>
        <v>#VALUE!</v>
      </c>
      <c r="ES175" t="e">
        <f>AND('UP133'!EX138,"AAAAAFbdP5Q=")</f>
        <v>#VALUE!</v>
      </c>
      <c r="ET175" t="e">
        <f>AND('UP133'!EY138,"AAAAAFbdP5U=")</f>
        <v>#VALUE!</v>
      </c>
      <c r="EU175" t="e">
        <f>AND('UP133'!EZ138,"AAAAAFbdP5Y=")</f>
        <v>#VALUE!</v>
      </c>
      <c r="EV175" t="e">
        <f>AND('UP133'!FA138,"AAAAAFbdP5c=")</f>
        <v>#VALUE!</v>
      </c>
      <c r="EW175" t="e">
        <f>AND('UP133'!FB138,"AAAAAFbdP5g=")</f>
        <v>#VALUE!</v>
      </c>
      <c r="EX175" t="e">
        <f>AND('UP133'!FC138,"AAAAAFbdP5k=")</f>
        <v>#VALUE!</v>
      </c>
      <c r="EY175" t="e">
        <f>AND('UP133'!FD138,"AAAAAFbdP5o=")</f>
        <v>#VALUE!</v>
      </c>
      <c r="EZ175" t="e">
        <f>AND('UP133'!FE138,"AAAAAFbdP5s=")</f>
        <v>#VALUE!</v>
      </c>
      <c r="FA175" t="e">
        <f>AND('UP133'!FF138,"AAAAAFbdP5w=")</f>
        <v>#VALUE!</v>
      </c>
      <c r="FB175" t="e">
        <f>AND('UP133'!FG138,"AAAAAFbdP50=")</f>
        <v>#VALUE!</v>
      </c>
      <c r="FC175" t="e">
        <f>AND('UP133'!FH138,"AAAAAFbdP54=")</f>
        <v>#VALUE!</v>
      </c>
      <c r="FD175" t="e">
        <f>AND('UP133'!FI138,"AAAAAFbdP58=")</f>
        <v>#VALUE!</v>
      </c>
      <c r="FE175" t="e">
        <f>AND('UP133'!FJ138,"AAAAAFbdP6A=")</f>
        <v>#VALUE!</v>
      </c>
      <c r="FF175" t="e">
        <f>AND('UP133'!FK138,"AAAAAFbdP6E=")</f>
        <v>#VALUE!</v>
      </c>
      <c r="FG175" t="e">
        <f>AND('UP133'!FL138,"AAAAAFbdP6I=")</f>
        <v>#VALUE!</v>
      </c>
      <c r="FH175" t="e">
        <f>AND('UP133'!FM138,"AAAAAFbdP6M=")</f>
        <v>#VALUE!</v>
      </c>
      <c r="FI175" t="e">
        <f>AND('UP133'!FN138,"AAAAAFbdP6Q=")</f>
        <v>#VALUE!</v>
      </c>
      <c r="FJ175" t="e">
        <f>AND('UP133'!FO138,"AAAAAFbdP6U=")</f>
        <v>#VALUE!</v>
      </c>
      <c r="FK175" t="e">
        <f>AND('UP133'!FP138,"AAAAAFbdP6Y=")</f>
        <v>#VALUE!</v>
      </c>
      <c r="FL175" t="e">
        <f>AND('UP133'!FQ138,"AAAAAFbdP6c=")</f>
        <v>#VALUE!</v>
      </c>
      <c r="FM175" t="e">
        <f>AND('UP133'!FR138,"AAAAAFbdP6g=")</f>
        <v>#VALUE!</v>
      </c>
      <c r="FN175" t="e">
        <f>AND('UP133'!FS138,"AAAAAFbdP6k=")</f>
        <v>#VALUE!</v>
      </c>
      <c r="FO175" t="e">
        <f>AND('UP133'!FT138,"AAAAAFbdP6o=")</f>
        <v>#VALUE!</v>
      </c>
      <c r="FP175" t="e">
        <f>AND('UP133'!FU138,"AAAAAFbdP6s=")</f>
        <v>#VALUE!</v>
      </c>
      <c r="FQ175" t="e">
        <f>AND('UP133'!FV138,"AAAAAFbdP6w=")</f>
        <v>#VALUE!</v>
      </c>
      <c r="FR175" t="e">
        <f>AND('UP133'!FW138,"AAAAAFbdP60=")</f>
        <v>#VALUE!</v>
      </c>
      <c r="FS175" t="e">
        <f>AND('UP133'!FX138,"AAAAAFbdP64=")</f>
        <v>#VALUE!</v>
      </c>
      <c r="FT175" t="e">
        <f>AND('UP133'!FY138,"AAAAAFbdP68=")</f>
        <v>#VALUE!</v>
      </c>
      <c r="FU175" t="e">
        <f>AND('UP133'!FZ138,"AAAAAFbdP7A=")</f>
        <v>#VALUE!</v>
      </c>
      <c r="FV175" t="e">
        <f>AND('UP133'!GA138,"AAAAAFbdP7E=")</f>
        <v>#VALUE!</v>
      </c>
      <c r="FW175" t="e">
        <f>AND('UP133'!GB138,"AAAAAFbdP7I=")</f>
        <v>#VALUE!</v>
      </c>
      <c r="FX175" t="e">
        <f>AND('UP133'!GC138,"AAAAAFbdP7M=")</f>
        <v>#VALUE!</v>
      </c>
      <c r="FY175" t="e">
        <f>AND('UP133'!GD138,"AAAAAFbdP7Q=")</f>
        <v>#VALUE!</v>
      </c>
      <c r="FZ175" t="e">
        <f>AND('UP133'!GE138,"AAAAAFbdP7U=")</f>
        <v>#VALUE!</v>
      </c>
      <c r="GA175" t="e">
        <f>AND('UP133'!GF138,"AAAAAFbdP7Y=")</f>
        <v>#VALUE!</v>
      </c>
      <c r="GB175" t="e">
        <f>AND('UP133'!GG138,"AAAAAFbdP7c=")</f>
        <v>#VALUE!</v>
      </c>
      <c r="GC175" t="e">
        <f>AND('UP133'!GH138,"AAAAAFbdP7g=")</f>
        <v>#VALUE!</v>
      </c>
      <c r="GD175" t="e">
        <f>AND('UP133'!GI138,"AAAAAFbdP7k=")</f>
        <v>#VALUE!</v>
      </c>
      <c r="GE175" t="e">
        <f>AND('UP133'!GJ138,"AAAAAFbdP7o=")</f>
        <v>#VALUE!</v>
      </c>
      <c r="GF175" t="e">
        <f>AND('UP133'!GK138,"AAAAAFbdP7s=")</f>
        <v>#VALUE!</v>
      </c>
      <c r="GG175" t="e">
        <f>AND('UP133'!GL138,"AAAAAFbdP7w=")</f>
        <v>#VALUE!</v>
      </c>
      <c r="GH175" t="e">
        <f>AND('UP133'!GM138,"AAAAAFbdP70=")</f>
        <v>#VALUE!</v>
      </c>
      <c r="GI175" t="e">
        <f>AND('UP133'!GN138,"AAAAAFbdP74=")</f>
        <v>#VALUE!</v>
      </c>
      <c r="GJ175" t="e">
        <f>AND('UP133'!GO138,"AAAAAFbdP78=")</f>
        <v>#VALUE!</v>
      </c>
      <c r="GK175" t="e">
        <f>AND('UP133'!GP138,"AAAAAFbdP8A=")</f>
        <v>#VALUE!</v>
      </c>
      <c r="GL175" t="e">
        <f>AND('UP133'!GQ138,"AAAAAFbdP8E=")</f>
        <v>#VALUE!</v>
      </c>
      <c r="GM175" t="e">
        <f>AND('UP133'!GR138,"AAAAAFbdP8I=")</f>
        <v>#VALUE!</v>
      </c>
      <c r="GN175" t="e">
        <f>AND('UP133'!GS138,"AAAAAFbdP8M=")</f>
        <v>#VALUE!</v>
      </c>
      <c r="GO175" t="e">
        <f>AND('UP133'!GT138,"AAAAAFbdP8Q=")</f>
        <v>#VALUE!</v>
      </c>
      <c r="GP175" t="e">
        <f>AND('UP133'!GU138,"AAAAAFbdP8U=")</f>
        <v>#VALUE!</v>
      </c>
      <c r="GQ175" t="e">
        <f>AND('UP133'!GV138,"AAAAAFbdP8Y=")</f>
        <v>#VALUE!</v>
      </c>
      <c r="GR175" t="e">
        <f>AND('UP133'!GW138,"AAAAAFbdP8c=")</f>
        <v>#VALUE!</v>
      </c>
      <c r="GS175" t="e">
        <f>AND('UP133'!GX138,"AAAAAFbdP8g=")</f>
        <v>#VALUE!</v>
      </c>
      <c r="GT175" t="e">
        <f>AND('UP133'!GY138,"AAAAAFbdP8k=")</f>
        <v>#VALUE!</v>
      </c>
      <c r="GU175" t="e">
        <f>AND('UP133'!GZ138,"AAAAAFbdP8o=")</f>
        <v>#VALUE!</v>
      </c>
      <c r="GV175" t="e">
        <f>AND('UP133'!HA138,"AAAAAFbdP8s=")</f>
        <v>#VALUE!</v>
      </c>
      <c r="GW175" t="e">
        <f>AND('UP133'!HB138,"AAAAAFbdP8w=")</f>
        <v>#VALUE!</v>
      </c>
      <c r="GX175" t="e">
        <f>AND('UP133'!HC138,"AAAAAFbdP80=")</f>
        <v>#VALUE!</v>
      </c>
      <c r="GY175" t="e">
        <f>AND('UP133'!HD138,"AAAAAFbdP84=")</f>
        <v>#VALUE!</v>
      </c>
      <c r="GZ175" t="e">
        <f>AND('UP133'!HE138,"AAAAAFbdP88=")</f>
        <v>#VALUE!</v>
      </c>
      <c r="HA175" t="e">
        <f>AND('UP133'!HF138,"AAAAAFbdP9A=")</f>
        <v>#VALUE!</v>
      </c>
      <c r="HB175" t="e">
        <f>AND('UP133'!HG138,"AAAAAFbdP9E=")</f>
        <v>#VALUE!</v>
      </c>
      <c r="HC175" t="e">
        <f>AND('UP133'!HH138,"AAAAAFbdP9I=")</f>
        <v>#VALUE!</v>
      </c>
      <c r="HD175" t="e">
        <f>AND('UP133'!HI138,"AAAAAFbdP9M=")</f>
        <v>#VALUE!</v>
      </c>
      <c r="HE175" t="e">
        <f>AND('UP133'!HJ138,"AAAAAFbdP9Q=")</f>
        <v>#VALUE!</v>
      </c>
      <c r="HF175" t="e">
        <f>AND('UP133'!HK138,"AAAAAFbdP9U=")</f>
        <v>#VALUE!</v>
      </c>
      <c r="HG175" t="e">
        <f>AND('UP133'!HL138,"AAAAAFbdP9Y=")</f>
        <v>#VALUE!</v>
      </c>
      <c r="HH175" t="e">
        <f>AND('UP133'!HM138,"AAAAAFbdP9c=")</f>
        <v>#VALUE!</v>
      </c>
      <c r="HI175" t="e">
        <f>AND('UP133'!HN138,"AAAAAFbdP9g=")</f>
        <v>#VALUE!</v>
      </c>
      <c r="HJ175" t="e">
        <f>AND('UP133'!HO138,"AAAAAFbdP9k=")</f>
        <v>#VALUE!</v>
      </c>
      <c r="HK175" t="e">
        <f>AND('UP133'!HP138,"AAAAAFbdP9o=")</f>
        <v>#VALUE!</v>
      </c>
      <c r="HL175" t="e">
        <f>AND('UP133'!HQ138,"AAAAAFbdP9s=")</f>
        <v>#VALUE!</v>
      </c>
      <c r="HM175" t="e">
        <f>AND('UP133'!HR138,"AAAAAFbdP9w=")</f>
        <v>#VALUE!</v>
      </c>
      <c r="HN175" t="e">
        <f>AND('UP133'!HS138,"AAAAAFbdP90=")</f>
        <v>#VALUE!</v>
      </c>
      <c r="HO175" t="e">
        <f>AND('UP133'!HT138,"AAAAAFbdP94=")</f>
        <v>#VALUE!</v>
      </c>
      <c r="HP175" t="e">
        <f>AND('UP133'!HU138,"AAAAAFbdP98=")</f>
        <v>#VALUE!</v>
      </c>
      <c r="HQ175" t="e">
        <f>AND('UP133'!HV138,"AAAAAFbdP+A=")</f>
        <v>#VALUE!</v>
      </c>
      <c r="HR175" t="e">
        <f>AND('UP133'!HW138,"AAAAAFbdP+E=")</f>
        <v>#VALUE!</v>
      </c>
      <c r="HS175" t="e">
        <f>AND('UP133'!HX138,"AAAAAFbdP+I=")</f>
        <v>#VALUE!</v>
      </c>
      <c r="HT175" t="e">
        <f>AND('UP133'!HY138,"AAAAAFbdP+M=")</f>
        <v>#VALUE!</v>
      </c>
      <c r="HU175" t="e">
        <f>AND('UP133'!HZ138,"AAAAAFbdP+Q=")</f>
        <v>#VALUE!</v>
      </c>
      <c r="HV175" t="e">
        <f>AND('UP133'!IA138,"AAAAAFbdP+U=")</f>
        <v>#VALUE!</v>
      </c>
      <c r="HW175" t="e">
        <f>AND('UP133'!IB138,"AAAAAFbdP+Y=")</f>
        <v>#VALUE!</v>
      </c>
      <c r="HX175" t="e">
        <f>AND('UP133'!IC138,"AAAAAFbdP+c=")</f>
        <v>#VALUE!</v>
      </c>
      <c r="HY175" t="e">
        <f>AND('UP133'!ID138,"AAAAAFbdP+g=")</f>
        <v>#VALUE!</v>
      </c>
      <c r="HZ175" t="e">
        <f>AND('UP133'!IE138,"AAAAAFbdP+k=")</f>
        <v>#VALUE!</v>
      </c>
      <c r="IA175" t="e">
        <f>AND('UP133'!IF138,"AAAAAFbdP+o=")</f>
        <v>#VALUE!</v>
      </c>
      <c r="IB175" t="e">
        <f>AND('UP133'!IG138,"AAAAAFbdP+s=")</f>
        <v>#VALUE!</v>
      </c>
      <c r="IC175" t="e">
        <f>AND('UP133'!IH138,"AAAAAFbdP+w=")</f>
        <v>#VALUE!</v>
      </c>
      <c r="ID175" t="e">
        <f>AND('UP133'!II138,"AAAAAFbdP+0=")</f>
        <v>#VALUE!</v>
      </c>
      <c r="IE175" t="e">
        <f>AND('UP133'!IJ138,"AAAAAFbdP+4=")</f>
        <v>#VALUE!</v>
      </c>
      <c r="IF175" t="e">
        <f>AND('UP133'!IK138,"AAAAAFbdP+8=")</f>
        <v>#VALUE!</v>
      </c>
      <c r="IG175" t="e">
        <f>AND('UP133'!IL138,"AAAAAFbdP/A=")</f>
        <v>#VALUE!</v>
      </c>
      <c r="IH175" t="e">
        <f>AND('UP133'!IM138,"AAAAAFbdP/E=")</f>
        <v>#VALUE!</v>
      </c>
      <c r="II175" t="e">
        <f>AND('UP133'!IN138,"AAAAAFbdP/I=")</f>
        <v>#VALUE!</v>
      </c>
      <c r="IJ175" t="e">
        <f>AND('UP133'!IO138,"AAAAAFbdP/M=")</f>
        <v>#VALUE!</v>
      </c>
      <c r="IK175" t="e">
        <f>AND('UP133'!IP138,"AAAAAFbdP/Q=")</f>
        <v>#VALUE!</v>
      </c>
      <c r="IL175" t="e">
        <f>AND('UP133'!IQ138,"AAAAAFbdP/U=")</f>
        <v>#VALUE!</v>
      </c>
      <c r="IM175">
        <f>IF('UP133'!139:139,"AAAAAFbdP/Y=",0)</f>
        <v>0</v>
      </c>
      <c r="IN175" t="e">
        <f>AND('UP133'!A139,"AAAAAFbdP/c=")</f>
        <v>#VALUE!</v>
      </c>
      <c r="IO175" t="e">
        <f>AND('UP133'!B139,"AAAAAFbdP/g=")</f>
        <v>#VALUE!</v>
      </c>
      <c r="IP175" t="e">
        <f>AND('UP133'!C139,"AAAAAFbdP/k=")</f>
        <v>#VALUE!</v>
      </c>
      <c r="IQ175" t="e">
        <f>AND('UP133'!D139,"AAAAAFbdP/o=")</f>
        <v>#VALUE!</v>
      </c>
      <c r="IR175" t="e">
        <f>AND('UP133'!E139,"AAAAAFbdP/s=")</f>
        <v>#VALUE!</v>
      </c>
      <c r="IS175" t="e">
        <f>AND('UP133'!F139,"AAAAAFbdP/w=")</f>
        <v>#VALUE!</v>
      </c>
      <c r="IT175" t="e">
        <f>AND('UP133'!G139,"AAAAAFbdP/0=")</f>
        <v>#VALUE!</v>
      </c>
      <c r="IU175" t="e">
        <f>AND('UP133'!H139,"AAAAAFbdP/4=")</f>
        <v>#VALUE!</v>
      </c>
      <c r="IV175" t="e">
        <f>AND('UP133'!I139,"AAAAAFbdP/8=")</f>
        <v>#VALUE!</v>
      </c>
    </row>
    <row r="176" spans="1:256">
      <c r="A176" t="e">
        <f>AND('UP133'!J139,"AAAAAH+W2wA=")</f>
        <v>#VALUE!</v>
      </c>
      <c r="B176" t="e">
        <f>AND('UP133'!K139,"AAAAAH+W2wE=")</f>
        <v>#VALUE!</v>
      </c>
      <c r="C176" t="e">
        <f>AND('UP133'!L139,"AAAAAH+W2wI=")</f>
        <v>#VALUE!</v>
      </c>
      <c r="D176" t="e">
        <f>AND('UP133'!M139,"AAAAAH+W2wM=")</f>
        <v>#VALUE!</v>
      </c>
      <c r="E176" t="e">
        <f>AND('UP133'!N139,"AAAAAH+W2wQ=")</f>
        <v>#VALUE!</v>
      </c>
      <c r="F176" t="e">
        <f>AND('UP133'!O139,"AAAAAH+W2wU=")</f>
        <v>#VALUE!</v>
      </c>
      <c r="G176" t="e">
        <f>AND('UP133'!P139,"AAAAAH+W2wY=")</f>
        <v>#VALUE!</v>
      </c>
      <c r="H176" t="e">
        <f>AND('UP133'!Q139,"AAAAAH+W2wc=")</f>
        <v>#VALUE!</v>
      </c>
      <c r="I176" t="e">
        <f>AND('UP133'!R139,"AAAAAH+W2wg=")</f>
        <v>#VALUE!</v>
      </c>
      <c r="J176" t="e">
        <f>AND('UP133'!S139,"AAAAAH+W2wk=")</f>
        <v>#VALUE!</v>
      </c>
      <c r="K176" t="e">
        <f>AND('UP133'!T139,"AAAAAH+W2wo=")</f>
        <v>#VALUE!</v>
      </c>
      <c r="L176" t="e">
        <f>AND('UP133'!U139,"AAAAAH+W2ws=")</f>
        <v>#VALUE!</v>
      </c>
      <c r="M176" t="e">
        <f>AND('UP133'!V139,"AAAAAH+W2ww=")</f>
        <v>#VALUE!</v>
      </c>
      <c r="N176" t="e">
        <f>AND('UP133'!W139,"AAAAAH+W2w0=")</f>
        <v>#VALUE!</v>
      </c>
      <c r="O176" t="e">
        <f>AND('UP133'!X139,"AAAAAH+W2w4=")</f>
        <v>#VALUE!</v>
      </c>
      <c r="P176" t="e">
        <f>AND('UP133'!Y139,"AAAAAH+W2w8=")</f>
        <v>#VALUE!</v>
      </c>
      <c r="Q176" t="e">
        <f>AND('UP133'!Z139,"AAAAAH+W2xA=")</f>
        <v>#VALUE!</v>
      </c>
      <c r="R176" t="e">
        <f>AND('UP133'!AA139,"AAAAAH+W2xE=")</f>
        <v>#VALUE!</v>
      </c>
      <c r="S176" t="e">
        <f>AND('UP133'!AB139,"AAAAAH+W2xI=")</f>
        <v>#VALUE!</v>
      </c>
      <c r="T176" t="e">
        <f>AND('UP133'!AC139,"AAAAAH+W2xM=")</f>
        <v>#VALUE!</v>
      </c>
      <c r="U176" t="e">
        <f>AND('UP133'!AD139,"AAAAAH+W2xQ=")</f>
        <v>#VALUE!</v>
      </c>
      <c r="V176" t="e">
        <f>AND('UP133'!AE139,"AAAAAH+W2xU=")</f>
        <v>#VALUE!</v>
      </c>
      <c r="W176" t="e">
        <f>AND('UP133'!AF139,"AAAAAH+W2xY=")</f>
        <v>#VALUE!</v>
      </c>
      <c r="X176" t="e">
        <f>AND('UP133'!AG139,"AAAAAH+W2xc=")</f>
        <v>#VALUE!</v>
      </c>
      <c r="Y176" t="e">
        <f>AND('UP133'!AH139,"AAAAAH+W2xg=")</f>
        <v>#VALUE!</v>
      </c>
      <c r="Z176" t="e">
        <f>AND('UP133'!AI139,"AAAAAH+W2xk=")</f>
        <v>#VALUE!</v>
      </c>
      <c r="AA176" t="e">
        <f>AND('UP133'!AJ139,"AAAAAH+W2xo=")</f>
        <v>#VALUE!</v>
      </c>
      <c r="AB176" t="e">
        <f>AND('UP133'!AK139,"AAAAAH+W2xs=")</f>
        <v>#VALUE!</v>
      </c>
      <c r="AC176" t="e">
        <f>AND('UP133'!AL139,"AAAAAH+W2xw=")</f>
        <v>#VALUE!</v>
      </c>
      <c r="AD176" t="e">
        <f>AND('UP133'!AM139,"AAAAAH+W2x0=")</f>
        <v>#VALUE!</v>
      </c>
      <c r="AE176" t="e">
        <f>AND('UP133'!AN139,"AAAAAH+W2x4=")</f>
        <v>#VALUE!</v>
      </c>
      <c r="AF176" t="e">
        <f>AND('UP133'!AO139,"AAAAAH+W2x8=")</f>
        <v>#VALUE!</v>
      </c>
      <c r="AG176" t="e">
        <f>AND('UP133'!AP139,"AAAAAH+W2yA=")</f>
        <v>#VALUE!</v>
      </c>
      <c r="AH176" t="e">
        <f>AND('UP133'!AQ139,"AAAAAH+W2yE=")</f>
        <v>#VALUE!</v>
      </c>
      <c r="AI176" t="e">
        <f>AND('UP133'!AR139,"AAAAAH+W2yI=")</f>
        <v>#VALUE!</v>
      </c>
      <c r="AJ176" t="e">
        <f>AND('UP133'!AS139,"AAAAAH+W2yM=")</f>
        <v>#VALUE!</v>
      </c>
      <c r="AK176" t="e">
        <f>AND('UP133'!AT139,"AAAAAH+W2yQ=")</f>
        <v>#VALUE!</v>
      </c>
      <c r="AL176" t="e">
        <f>AND('UP133'!AU139,"AAAAAH+W2yU=")</f>
        <v>#VALUE!</v>
      </c>
      <c r="AM176" t="e">
        <f>AND('UP133'!AV139,"AAAAAH+W2yY=")</f>
        <v>#VALUE!</v>
      </c>
      <c r="AN176" t="e">
        <f>AND('UP133'!AW139,"AAAAAH+W2yc=")</f>
        <v>#VALUE!</v>
      </c>
      <c r="AO176" t="e">
        <f>AND('UP133'!AX139,"AAAAAH+W2yg=")</f>
        <v>#VALUE!</v>
      </c>
      <c r="AP176" t="e">
        <f>AND('UP133'!AY139,"AAAAAH+W2yk=")</f>
        <v>#VALUE!</v>
      </c>
      <c r="AQ176" t="e">
        <f>AND('UP133'!AZ139,"AAAAAH+W2yo=")</f>
        <v>#VALUE!</v>
      </c>
      <c r="AR176" t="e">
        <f>AND('UP133'!BA139,"AAAAAH+W2ys=")</f>
        <v>#VALUE!</v>
      </c>
      <c r="AS176" t="e">
        <f>AND('UP133'!BB139,"AAAAAH+W2yw=")</f>
        <v>#VALUE!</v>
      </c>
      <c r="AT176" t="e">
        <f>AND('UP133'!BC139,"AAAAAH+W2y0=")</f>
        <v>#VALUE!</v>
      </c>
      <c r="AU176" t="e">
        <f>AND('UP133'!BD139,"AAAAAH+W2y4=")</f>
        <v>#VALUE!</v>
      </c>
      <c r="AV176" t="e">
        <f>AND('UP133'!BE139,"AAAAAH+W2y8=")</f>
        <v>#VALUE!</v>
      </c>
      <c r="AW176" t="e">
        <f>AND('UP133'!BF139,"AAAAAH+W2zA=")</f>
        <v>#VALUE!</v>
      </c>
      <c r="AX176" t="e">
        <f>AND('UP133'!BG139,"AAAAAH+W2zE=")</f>
        <v>#VALUE!</v>
      </c>
      <c r="AY176" t="e">
        <f>AND('UP133'!BH139,"AAAAAH+W2zI=")</f>
        <v>#VALUE!</v>
      </c>
      <c r="AZ176" t="e">
        <f>AND('UP133'!BI139,"AAAAAH+W2zM=")</f>
        <v>#VALUE!</v>
      </c>
      <c r="BA176" t="e">
        <f>AND('UP133'!BJ139,"AAAAAH+W2zQ=")</f>
        <v>#VALUE!</v>
      </c>
      <c r="BB176" t="e">
        <f>AND('UP133'!BK139,"AAAAAH+W2zU=")</f>
        <v>#VALUE!</v>
      </c>
      <c r="BC176" t="e">
        <f>AND('UP133'!BL139,"AAAAAH+W2zY=")</f>
        <v>#VALUE!</v>
      </c>
      <c r="BD176" t="e">
        <f>AND('UP133'!BM139,"AAAAAH+W2zc=")</f>
        <v>#VALUE!</v>
      </c>
      <c r="BE176" t="e">
        <f>AND('UP133'!BN139,"AAAAAH+W2zg=")</f>
        <v>#VALUE!</v>
      </c>
      <c r="BF176" t="e">
        <f>AND('UP133'!BO139,"AAAAAH+W2zk=")</f>
        <v>#VALUE!</v>
      </c>
      <c r="BG176" t="e">
        <f>AND('UP133'!BP139,"AAAAAH+W2zo=")</f>
        <v>#VALUE!</v>
      </c>
      <c r="BH176" t="e">
        <f>AND('UP133'!BQ139,"AAAAAH+W2zs=")</f>
        <v>#VALUE!</v>
      </c>
      <c r="BI176" t="e">
        <f>AND('UP133'!BR139,"AAAAAH+W2zw=")</f>
        <v>#VALUE!</v>
      </c>
      <c r="BJ176" t="e">
        <f>AND('UP133'!BS139,"AAAAAH+W2z0=")</f>
        <v>#VALUE!</v>
      </c>
      <c r="BK176" t="e">
        <f>AND('UP133'!BT139,"AAAAAH+W2z4=")</f>
        <v>#VALUE!</v>
      </c>
      <c r="BL176" t="e">
        <f>AND('UP133'!BU139,"AAAAAH+W2z8=")</f>
        <v>#VALUE!</v>
      </c>
      <c r="BM176" t="e">
        <f>AND('UP133'!BV139,"AAAAAH+W20A=")</f>
        <v>#VALUE!</v>
      </c>
      <c r="BN176" t="e">
        <f>AND('UP133'!BW139,"AAAAAH+W20E=")</f>
        <v>#VALUE!</v>
      </c>
      <c r="BO176" t="e">
        <f>AND('UP133'!BX139,"AAAAAH+W20I=")</f>
        <v>#VALUE!</v>
      </c>
      <c r="BP176" t="e">
        <f>AND('UP133'!BY139,"AAAAAH+W20M=")</f>
        <v>#VALUE!</v>
      </c>
      <c r="BQ176" t="e">
        <f>AND('UP133'!BZ139,"AAAAAH+W20Q=")</f>
        <v>#VALUE!</v>
      </c>
      <c r="BR176" t="e">
        <f>AND('UP133'!CA139,"AAAAAH+W20U=")</f>
        <v>#VALUE!</v>
      </c>
      <c r="BS176" t="e">
        <f>AND('UP133'!CB139,"AAAAAH+W20Y=")</f>
        <v>#VALUE!</v>
      </c>
      <c r="BT176" t="e">
        <f>AND('UP133'!CC139,"AAAAAH+W20c=")</f>
        <v>#VALUE!</v>
      </c>
      <c r="BU176" t="e">
        <f>AND('UP133'!CD139,"AAAAAH+W20g=")</f>
        <v>#VALUE!</v>
      </c>
      <c r="BV176" t="e">
        <f>AND('UP133'!CE139,"AAAAAH+W20k=")</f>
        <v>#VALUE!</v>
      </c>
      <c r="BW176" t="e">
        <f>AND('UP133'!CF139,"AAAAAH+W20o=")</f>
        <v>#VALUE!</v>
      </c>
      <c r="BX176" t="e">
        <f>AND('UP133'!CG139,"AAAAAH+W20s=")</f>
        <v>#VALUE!</v>
      </c>
      <c r="BY176" t="e">
        <f>AND('UP133'!CH139,"AAAAAH+W20w=")</f>
        <v>#VALUE!</v>
      </c>
      <c r="BZ176" t="e">
        <f>AND('UP133'!CI139,"AAAAAH+W200=")</f>
        <v>#VALUE!</v>
      </c>
      <c r="CA176" t="e">
        <f>AND('UP133'!CJ139,"AAAAAH+W204=")</f>
        <v>#VALUE!</v>
      </c>
      <c r="CB176" t="e">
        <f>AND('UP133'!CK139,"AAAAAH+W208=")</f>
        <v>#VALUE!</v>
      </c>
      <c r="CC176" t="e">
        <f>AND('UP133'!CL139,"AAAAAH+W21A=")</f>
        <v>#VALUE!</v>
      </c>
      <c r="CD176" t="e">
        <f>AND('UP133'!CM139,"AAAAAH+W21E=")</f>
        <v>#VALUE!</v>
      </c>
      <c r="CE176" t="e">
        <f>AND('UP133'!CN139,"AAAAAH+W21I=")</f>
        <v>#VALUE!</v>
      </c>
      <c r="CF176" t="e">
        <f>AND('UP133'!CO139,"AAAAAH+W21M=")</f>
        <v>#VALUE!</v>
      </c>
      <c r="CG176" t="e">
        <f>AND('UP133'!CP139,"AAAAAH+W21Q=")</f>
        <v>#VALUE!</v>
      </c>
      <c r="CH176" t="e">
        <f>AND('UP133'!CQ139,"AAAAAH+W21U=")</f>
        <v>#VALUE!</v>
      </c>
      <c r="CI176" t="e">
        <f>AND('UP133'!CR139,"AAAAAH+W21Y=")</f>
        <v>#VALUE!</v>
      </c>
      <c r="CJ176" t="e">
        <f>AND('UP133'!CS139,"AAAAAH+W21c=")</f>
        <v>#VALUE!</v>
      </c>
      <c r="CK176" t="e">
        <f>AND('UP133'!CT139,"AAAAAH+W21g=")</f>
        <v>#VALUE!</v>
      </c>
      <c r="CL176" t="e">
        <f>AND('UP133'!CU139,"AAAAAH+W21k=")</f>
        <v>#VALUE!</v>
      </c>
      <c r="CM176" t="e">
        <f>AND('UP133'!CV139,"AAAAAH+W21o=")</f>
        <v>#VALUE!</v>
      </c>
      <c r="CN176" t="e">
        <f>AND('UP133'!CW139,"AAAAAH+W21s=")</f>
        <v>#VALUE!</v>
      </c>
      <c r="CO176" t="e">
        <f>AND('UP133'!CX139,"AAAAAH+W21w=")</f>
        <v>#VALUE!</v>
      </c>
      <c r="CP176" t="e">
        <f>AND('UP133'!CY139,"AAAAAH+W210=")</f>
        <v>#VALUE!</v>
      </c>
      <c r="CQ176" t="e">
        <f>AND('UP133'!CZ139,"AAAAAH+W214=")</f>
        <v>#VALUE!</v>
      </c>
      <c r="CR176" t="e">
        <f>AND('UP133'!DA139,"AAAAAH+W218=")</f>
        <v>#VALUE!</v>
      </c>
      <c r="CS176" t="e">
        <f>AND('UP133'!DB139,"AAAAAH+W22A=")</f>
        <v>#VALUE!</v>
      </c>
      <c r="CT176" t="e">
        <f>AND('UP133'!DC139,"AAAAAH+W22E=")</f>
        <v>#VALUE!</v>
      </c>
      <c r="CU176" t="e">
        <f>AND('UP133'!DD139,"AAAAAH+W22I=")</f>
        <v>#VALUE!</v>
      </c>
      <c r="CV176" t="e">
        <f>AND('UP133'!DE139,"AAAAAH+W22M=")</f>
        <v>#VALUE!</v>
      </c>
      <c r="CW176" t="e">
        <f>AND('UP133'!DF139,"AAAAAH+W22Q=")</f>
        <v>#VALUE!</v>
      </c>
      <c r="CX176" t="e">
        <f>AND('UP133'!DG139,"AAAAAH+W22U=")</f>
        <v>#VALUE!</v>
      </c>
      <c r="CY176" t="e">
        <f>AND('UP133'!DH139,"AAAAAH+W22Y=")</f>
        <v>#VALUE!</v>
      </c>
      <c r="CZ176" t="e">
        <f>AND('UP133'!DI139,"AAAAAH+W22c=")</f>
        <v>#VALUE!</v>
      </c>
      <c r="DA176" t="e">
        <f>AND('UP133'!DJ139,"AAAAAH+W22g=")</f>
        <v>#VALUE!</v>
      </c>
      <c r="DB176" t="e">
        <f>AND('UP133'!DK139,"AAAAAH+W22k=")</f>
        <v>#VALUE!</v>
      </c>
      <c r="DC176" t="e">
        <f>AND('UP133'!DL139,"AAAAAH+W22o=")</f>
        <v>#VALUE!</v>
      </c>
      <c r="DD176" t="e">
        <f>AND('UP133'!DM139,"AAAAAH+W22s=")</f>
        <v>#VALUE!</v>
      </c>
      <c r="DE176" t="e">
        <f>AND('UP133'!DN139,"AAAAAH+W22w=")</f>
        <v>#VALUE!</v>
      </c>
      <c r="DF176" t="e">
        <f>AND('UP133'!DO139,"AAAAAH+W220=")</f>
        <v>#VALUE!</v>
      </c>
      <c r="DG176" t="e">
        <f>AND('UP133'!DP139,"AAAAAH+W224=")</f>
        <v>#VALUE!</v>
      </c>
      <c r="DH176" t="e">
        <f>AND('UP133'!DQ139,"AAAAAH+W228=")</f>
        <v>#VALUE!</v>
      </c>
      <c r="DI176" t="e">
        <f>AND('UP133'!DR139,"AAAAAH+W23A=")</f>
        <v>#VALUE!</v>
      </c>
      <c r="DJ176" t="e">
        <f>AND('UP133'!DS139,"AAAAAH+W23E=")</f>
        <v>#VALUE!</v>
      </c>
      <c r="DK176" t="e">
        <f>AND('UP133'!DT139,"AAAAAH+W23I=")</f>
        <v>#VALUE!</v>
      </c>
      <c r="DL176" t="e">
        <f>AND('UP133'!DU139,"AAAAAH+W23M=")</f>
        <v>#VALUE!</v>
      </c>
      <c r="DM176" t="e">
        <f>AND('UP133'!DV139,"AAAAAH+W23Q=")</f>
        <v>#VALUE!</v>
      </c>
      <c r="DN176" t="e">
        <f>AND('UP133'!DW139,"AAAAAH+W23U=")</f>
        <v>#VALUE!</v>
      </c>
      <c r="DO176" t="e">
        <f>AND('UP133'!DX139,"AAAAAH+W23Y=")</f>
        <v>#VALUE!</v>
      </c>
      <c r="DP176" t="e">
        <f>AND('UP133'!DY139,"AAAAAH+W23c=")</f>
        <v>#VALUE!</v>
      </c>
      <c r="DQ176" t="e">
        <f>AND('UP133'!DZ139,"AAAAAH+W23g=")</f>
        <v>#VALUE!</v>
      </c>
      <c r="DR176" t="e">
        <f>AND('UP133'!EA139,"AAAAAH+W23k=")</f>
        <v>#VALUE!</v>
      </c>
      <c r="DS176" t="e">
        <f>AND('UP133'!EB139,"AAAAAH+W23o=")</f>
        <v>#VALUE!</v>
      </c>
      <c r="DT176" t="e">
        <f>AND('UP133'!EC139,"AAAAAH+W23s=")</f>
        <v>#VALUE!</v>
      </c>
      <c r="DU176" t="e">
        <f>AND('UP133'!ED139,"AAAAAH+W23w=")</f>
        <v>#VALUE!</v>
      </c>
      <c r="DV176" t="e">
        <f>AND('UP133'!EE139,"AAAAAH+W230=")</f>
        <v>#VALUE!</v>
      </c>
      <c r="DW176" t="e">
        <f>AND('UP133'!EF139,"AAAAAH+W234=")</f>
        <v>#VALUE!</v>
      </c>
      <c r="DX176" t="e">
        <f>AND('UP133'!EG139,"AAAAAH+W238=")</f>
        <v>#VALUE!</v>
      </c>
      <c r="DY176" t="e">
        <f>AND('UP133'!EH139,"AAAAAH+W24A=")</f>
        <v>#VALUE!</v>
      </c>
      <c r="DZ176" t="e">
        <f>AND('UP133'!EI139,"AAAAAH+W24E=")</f>
        <v>#VALUE!</v>
      </c>
      <c r="EA176" t="e">
        <f>AND('UP133'!EJ139,"AAAAAH+W24I=")</f>
        <v>#VALUE!</v>
      </c>
      <c r="EB176" t="e">
        <f>AND('UP133'!EK139,"AAAAAH+W24M=")</f>
        <v>#VALUE!</v>
      </c>
      <c r="EC176" t="e">
        <f>AND('UP133'!EL139,"AAAAAH+W24Q=")</f>
        <v>#VALUE!</v>
      </c>
      <c r="ED176" t="e">
        <f>AND('UP133'!EM139,"AAAAAH+W24U=")</f>
        <v>#VALUE!</v>
      </c>
      <c r="EE176" t="e">
        <f>AND('UP133'!EN139,"AAAAAH+W24Y=")</f>
        <v>#VALUE!</v>
      </c>
      <c r="EF176" t="e">
        <f>AND('UP133'!EO139,"AAAAAH+W24c=")</f>
        <v>#VALUE!</v>
      </c>
      <c r="EG176" t="e">
        <f>AND('UP133'!EP139,"AAAAAH+W24g=")</f>
        <v>#VALUE!</v>
      </c>
      <c r="EH176" t="e">
        <f>AND('UP133'!EQ139,"AAAAAH+W24k=")</f>
        <v>#VALUE!</v>
      </c>
      <c r="EI176" t="e">
        <f>AND('UP133'!ER139,"AAAAAH+W24o=")</f>
        <v>#VALUE!</v>
      </c>
      <c r="EJ176" t="e">
        <f>AND('UP133'!ES139,"AAAAAH+W24s=")</f>
        <v>#VALUE!</v>
      </c>
      <c r="EK176" t="e">
        <f>AND('UP133'!ET139,"AAAAAH+W24w=")</f>
        <v>#VALUE!</v>
      </c>
      <c r="EL176" t="e">
        <f>AND('UP133'!EU139,"AAAAAH+W240=")</f>
        <v>#VALUE!</v>
      </c>
      <c r="EM176" t="e">
        <f>AND('UP133'!EV139,"AAAAAH+W244=")</f>
        <v>#VALUE!</v>
      </c>
      <c r="EN176" t="e">
        <f>AND('UP133'!EW139,"AAAAAH+W248=")</f>
        <v>#VALUE!</v>
      </c>
      <c r="EO176" t="e">
        <f>AND('UP133'!EX139,"AAAAAH+W25A=")</f>
        <v>#VALUE!</v>
      </c>
      <c r="EP176" t="e">
        <f>AND('UP133'!EY139,"AAAAAH+W25E=")</f>
        <v>#VALUE!</v>
      </c>
      <c r="EQ176" t="e">
        <f>AND('UP133'!EZ139,"AAAAAH+W25I=")</f>
        <v>#VALUE!</v>
      </c>
      <c r="ER176" t="e">
        <f>AND('UP133'!FA139,"AAAAAH+W25M=")</f>
        <v>#VALUE!</v>
      </c>
      <c r="ES176" t="e">
        <f>AND('UP133'!FB139,"AAAAAH+W25Q=")</f>
        <v>#VALUE!</v>
      </c>
      <c r="ET176" t="e">
        <f>AND('UP133'!FC139,"AAAAAH+W25U=")</f>
        <v>#VALUE!</v>
      </c>
      <c r="EU176" t="e">
        <f>AND('UP133'!FD139,"AAAAAH+W25Y=")</f>
        <v>#VALUE!</v>
      </c>
      <c r="EV176" t="e">
        <f>AND('UP133'!FE139,"AAAAAH+W25c=")</f>
        <v>#VALUE!</v>
      </c>
      <c r="EW176" t="e">
        <f>AND('UP133'!FF139,"AAAAAH+W25g=")</f>
        <v>#VALUE!</v>
      </c>
      <c r="EX176" t="e">
        <f>AND('UP133'!FG139,"AAAAAH+W25k=")</f>
        <v>#VALUE!</v>
      </c>
      <c r="EY176" t="e">
        <f>AND('UP133'!FH139,"AAAAAH+W25o=")</f>
        <v>#VALUE!</v>
      </c>
      <c r="EZ176" t="e">
        <f>AND('UP133'!FI139,"AAAAAH+W25s=")</f>
        <v>#VALUE!</v>
      </c>
      <c r="FA176" t="e">
        <f>AND('UP133'!FJ139,"AAAAAH+W25w=")</f>
        <v>#VALUE!</v>
      </c>
      <c r="FB176" t="e">
        <f>AND('UP133'!FK139,"AAAAAH+W250=")</f>
        <v>#VALUE!</v>
      </c>
      <c r="FC176" t="e">
        <f>AND('UP133'!FL139,"AAAAAH+W254=")</f>
        <v>#VALUE!</v>
      </c>
      <c r="FD176" t="e">
        <f>AND('UP133'!FM139,"AAAAAH+W258=")</f>
        <v>#VALUE!</v>
      </c>
      <c r="FE176" t="e">
        <f>AND('UP133'!FN139,"AAAAAH+W26A=")</f>
        <v>#VALUE!</v>
      </c>
      <c r="FF176" t="e">
        <f>AND('UP133'!FO139,"AAAAAH+W26E=")</f>
        <v>#VALUE!</v>
      </c>
      <c r="FG176" t="e">
        <f>AND('UP133'!FP139,"AAAAAH+W26I=")</f>
        <v>#VALUE!</v>
      </c>
      <c r="FH176" t="e">
        <f>AND('UP133'!FQ139,"AAAAAH+W26M=")</f>
        <v>#VALUE!</v>
      </c>
      <c r="FI176" t="e">
        <f>AND('UP133'!FR139,"AAAAAH+W26Q=")</f>
        <v>#VALUE!</v>
      </c>
      <c r="FJ176" t="e">
        <f>AND('UP133'!FS139,"AAAAAH+W26U=")</f>
        <v>#VALUE!</v>
      </c>
      <c r="FK176" t="e">
        <f>AND('UP133'!FT139,"AAAAAH+W26Y=")</f>
        <v>#VALUE!</v>
      </c>
      <c r="FL176" t="e">
        <f>AND('UP133'!FU139,"AAAAAH+W26c=")</f>
        <v>#VALUE!</v>
      </c>
      <c r="FM176" t="e">
        <f>AND('UP133'!FV139,"AAAAAH+W26g=")</f>
        <v>#VALUE!</v>
      </c>
      <c r="FN176" t="e">
        <f>AND('UP133'!FW139,"AAAAAH+W26k=")</f>
        <v>#VALUE!</v>
      </c>
      <c r="FO176" t="e">
        <f>AND('UP133'!FX139,"AAAAAH+W26o=")</f>
        <v>#VALUE!</v>
      </c>
      <c r="FP176" t="e">
        <f>AND('UP133'!FY139,"AAAAAH+W26s=")</f>
        <v>#VALUE!</v>
      </c>
      <c r="FQ176" t="e">
        <f>AND('UP133'!FZ139,"AAAAAH+W26w=")</f>
        <v>#VALUE!</v>
      </c>
      <c r="FR176" t="e">
        <f>AND('UP133'!GA139,"AAAAAH+W260=")</f>
        <v>#VALUE!</v>
      </c>
      <c r="FS176" t="e">
        <f>AND('UP133'!GB139,"AAAAAH+W264=")</f>
        <v>#VALUE!</v>
      </c>
      <c r="FT176" t="e">
        <f>AND('UP133'!GC139,"AAAAAH+W268=")</f>
        <v>#VALUE!</v>
      </c>
      <c r="FU176" t="e">
        <f>AND('UP133'!GD139,"AAAAAH+W27A=")</f>
        <v>#VALUE!</v>
      </c>
      <c r="FV176" t="e">
        <f>AND('UP133'!GE139,"AAAAAH+W27E=")</f>
        <v>#VALUE!</v>
      </c>
      <c r="FW176" t="e">
        <f>AND('UP133'!GF139,"AAAAAH+W27I=")</f>
        <v>#VALUE!</v>
      </c>
      <c r="FX176" t="e">
        <f>AND('UP133'!GG139,"AAAAAH+W27M=")</f>
        <v>#VALUE!</v>
      </c>
      <c r="FY176" t="e">
        <f>AND('UP133'!GH139,"AAAAAH+W27Q=")</f>
        <v>#VALUE!</v>
      </c>
      <c r="FZ176" t="e">
        <f>AND('UP133'!GI139,"AAAAAH+W27U=")</f>
        <v>#VALUE!</v>
      </c>
      <c r="GA176" t="e">
        <f>AND('UP133'!GJ139,"AAAAAH+W27Y=")</f>
        <v>#VALUE!</v>
      </c>
      <c r="GB176" t="e">
        <f>AND('UP133'!GK139,"AAAAAH+W27c=")</f>
        <v>#VALUE!</v>
      </c>
      <c r="GC176" t="e">
        <f>AND('UP133'!GL139,"AAAAAH+W27g=")</f>
        <v>#VALUE!</v>
      </c>
      <c r="GD176" t="e">
        <f>AND('UP133'!GM139,"AAAAAH+W27k=")</f>
        <v>#VALUE!</v>
      </c>
      <c r="GE176" t="e">
        <f>AND('UP133'!GN139,"AAAAAH+W27o=")</f>
        <v>#VALUE!</v>
      </c>
      <c r="GF176" t="e">
        <f>AND('UP133'!GO139,"AAAAAH+W27s=")</f>
        <v>#VALUE!</v>
      </c>
      <c r="GG176" t="e">
        <f>AND('UP133'!GP139,"AAAAAH+W27w=")</f>
        <v>#VALUE!</v>
      </c>
      <c r="GH176" t="e">
        <f>AND('UP133'!GQ139,"AAAAAH+W270=")</f>
        <v>#VALUE!</v>
      </c>
      <c r="GI176" t="e">
        <f>AND('UP133'!GR139,"AAAAAH+W274=")</f>
        <v>#VALUE!</v>
      </c>
      <c r="GJ176" t="e">
        <f>AND('UP133'!GS139,"AAAAAH+W278=")</f>
        <v>#VALUE!</v>
      </c>
      <c r="GK176" t="e">
        <f>AND('UP133'!GT139,"AAAAAH+W28A=")</f>
        <v>#VALUE!</v>
      </c>
      <c r="GL176" t="e">
        <f>AND('UP133'!GU139,"AAAAAH+W28E=")</f>
        <v>#VALUE!</v>
      </c>
      <c r="GM176" t="e">
        <f>AND('UP133'!GV139,"AAAAAH+W28I=")</f>
        <v>#VALUE!</v>
      </c>
      <c r="GN176" t="e">
        <f>AND('UP133'!GW139,"AAAAAH+W28M=")</f>
        <v>#VALUE!</v>
      </c>
      <c r="GO176" t="e">
        <f>AND('UP133'!GX139,"AAAAAH+W28Q=")</f>
        <v>#VALUE!</v>
      </c>
      <c r="GP176" t="e">
        <f>AND('UP133'!GY139,"AAAAAH+W28U=")</f>
        <v>#VALUE!</v>
      </c>
      <c r="GQ176" t="e">
        <f>AND('UP133'!GZ139,"AAAAAH+W28Y=")</f>
        <v>#VALUE!</v>
      </c>
      <c r="GR176" t="e">
        <f>AND('UP133'!HA139,"AAAAAH+W28c=")</f>
        <v>#VALUE!</v>
      </c>
      <c r="GS176" t="e">
        <f>AND('UP133'!HB139,"AAAAAH+W28g=")</f>
        <v>#VALUE!</v>
      </c>
      <c r="GT176" t="e">
        <f>AND('UP133'!HC139,"AAAAAH+W28k=")</f>
        <v>#VALUE!</v>
      </c>
      <c r="GU176" t="e">
        <f>AND('UP133'!HD139,"AAAAAH+W28o=")</f>
        <v>#VALUE!</v>
      </c>
      <c r="GV176" t="e">
        <f>AND('UP133'!HE139,"AAAAAH+W28s=")</f>
        <v>#VALUE!</v>
      </c>
      <c r="GW176" t="e">
        <f>AND('UP133'!HF139,"AAAAAH+W28w=")</f>
        <v>#VALUE!</v>
      </c>
      <c r="GX176" t="e">
        <f>AND('UP133'!HG139,"AAAAAH+W280=")</f>
        <v>#VALUE!</v>
      </c>
      <c r="GY176" t="e">
        <f>AND('UP133'!HH139,"AAAAAH+W284=")</f>
        <v>#VALUE!</v>
      </c>
      <c r="GZ176" t="e">
        <f>AND('UP133'!HI139,"AAAAAH+W288=")</f>
        <v>#VALUE!</v>
      </c>
      <c r="HA176" t="e">
        <f>AND('UP133'!HJ139,"AAAAAH+W29A=")</f>
        <v>#VALUE!</v>
      </c>
      <c r="HB176" t="e">
        <f>AND('UP133'!HK139,"AAAAAH+W29E=")</f>
        <v>#VALUE!</v>
      </c>
      <c r="HC176" t="e">
        <f>AND('UP133'!HL139,"AAAAAH+W29I=")</f>
        <v>#VALUE!</v>
      </c>
      <c r="HD176" t="e">
        <f>AND('UP133'!HM139,"AAAAAH+W29M=")</f>
        <v>#VALUE!</v>
      </c>
      <c r="HE176" t="e">
        <f>AND('UP133'!HN139,"AAAAAH+W29Q=")</f>
        <v>#VALUE!</v>
      </c>
      <c r="HF176" t="e">
        <f>AND('UP133'!HO139,"AAAAAH+W29U=")</f>
        <v>#VALUE!</v>
      </c>
      <c r="HG176" t="e">
        <f>AND('UP133'!HP139,"AAAAAH+W29Y=")</f>
        <v>#VALUE!</v>
      </c>
      <c r="HH176" t="e">
        <f>AND('UP133'!HQ139,"AAAAAH+W29c=")</f>
        <v>#VALUE!</v>
      </c>
      <c r="HI176" t="e">
        <f>AND('UP133'!HR139,"AAAAAH+W29g=")</f>
        <v>#VALUE!</v>
      </c>
      <c r="HJ176" t="e">
        <f>AND('UP133'!HS139,"AAAAAH+W29k=")</f>
        <v>#VALUE!</v>
      </c>
      <c r="HK176" t="e">
        <f>AND('UP133'!HT139,"AAAAAH+W29o=")</f>
        <v>#VALUE!</v>
      </c>
      <c r="HL176" t="e">
        <f>AND('UP133'!HU139,"AAAAAH+W29s=")</f>
        <v>#VALUE!</v>
      </c>
      <c r="HM176" t="e">
        <f>AND('UP133'!HV139,"AAAAAH+W29w=")</f>
        <v>#VALUE!</v>
      </c>
      <c r="HN176" t="e">
        <f>AND('UP133'!HW139,"AAAAAH+W290=")</f>
        <v>#VALUE!</v>
      </c>
      <c r="HO176" t="e">
        <f>AND('UP133'!HX139,"AAAAAH+W294=")</f>
        <v>#VALUE!</v>
      </c>
      <c r="HP176" t="e">
        <f>AND('UP133'!HY139,"AAAAAH+W298=")</f>
        <v>#VALUE!</v>
      </c>
      <c r="HQ176" t="e">
        <f>AND('UP133'!HZ139,"AAAAAH+W2+A=")</f>
        <v>#VALUE!</v>
      </c>
      <c r="HR176" t="e">
        <f>AND('UP133'!IA139,"AAAAAH+W2+E=")</f>
        <v>#VALUE!</v>
      </c>
      <c r="HS176" t="e">
        <f>AND('UP133'!IB139,"AAAAAH+W2+I=")</f>
        <v>#VALUE!</v>
      </c>
      <c r="HT176" t="e">
        <f>AND('UP133'!IC139,"AAAAAH+W2+M=")</f>
        <v>#VALUE!</v>
      </c>
      <c r="HU176" t="e">
        <f>AND('UP133'!ID139,"AAAAAH+W2+Q=")</f>
        <v>#VALUE!</v>
      </c>
      <c r="HV176" t="e">
        <f>AND('UP133'!IE139,"AAAAAH+W2+U=")</f>
        <v>#VALUE!</v>
      </c>
      <c r="HW176" t="e">
        <f>AND('UP133'!IF139,"AAAAAH+W2+Y=")</f>
        <v>#VALUE!</v>
      </c>
      <c r="HX176" t="e">
        <f>AND('UP133'!IG139,"AAAAAH+W2+c=")</f>
        <v>#VALUE!</v>
      </c>
      <c r="HY176" t="e">
        <f>AND('UP133'!IH139,"AAAAAH+W2+g=")</f>
        <v>#VALUE!</v>
      </c>
      <c r="HZ176" t="e">
        <f>AND('UP133'!II139,"AAAAAH+W2+k=")</f>
        <v>#VALUE!</v>
      </c>
      <c r="IA176" t="e">
        <f>AND('UP133'!IJ139,"AAAAAH+W2+o=")</f>
        <v>#VALUE!</v>
      </c>
      <c r="IB176" t="e">
        <f>AND('UP133'!IK139,"AAAAAH+W2+s=")</f>
        <v>#VALUE!</v>
      </c>
      <c r="IC176" t="e">
        <f>AND('UP133'!IL139,"AAAAAH+W2+w=")</f>
        <v>#VALUE!</v>
      </c>
      <c r="ID176" t="e">
        <f>AND('UP133'!IM139,"AAAAAH+W2+0=")</f>
        <v>#VALUE!</v>
      </c>
      <c r="IE176" t="e">
        <f>AND('UP133'!IN139,"AAAAAH+W2+4=")</f>
        <v>#VALUE!</v>
      </c>
      <c r="IF176" t="e">
        <f>AND('UP133'!IO139,"AAAAAH+W2+8=")</f>
        <v>#VALUE!</v>
      </c>
      <c r="IG176" t="e">
        <f>AND('UP133'!IP139,"AAAAAH+W2/A=")</f>
        <v>#VALUE!</v>
      </c>
      <c r="IH176" t="e">
        <f>AND('UP133'!IQ139,"AAAAAH+W2/E=")</f>
        <v>#VALUE!</v>
      </c>
      <c r="II176">
        <f>IF('UP133'!140:140,"AAAAAH+W2/I=",0)</f>
        <v>0</v>
      </c>
      <c r="IJ176" t="e">
        <f>AND('UP133'!A140,"AAAAAH+W2/M=")</f>
        <v>#VALUE!</v>
      </c>
      <c r="IK176" t="e">
        <f>AND('UP133'!B140,"AAAAAH+W2/Q=")</f>
        <v>#VALUE!</v>
      </c>
      <c r="IL176" t="e">
        <f>AND('UP133'!C140,"AAAAAH+W2/U=")</f>
        <v>#VALUE!</v>
      </c>
      <c r="IM176" t="e">
        <f>AND('UP133'!D140,"AAAAAH+W2/Y=")</f>
        <v>#VALUE!</v>
      </c>
      <c r="IN176" t="e">
        <f>AND('UP133'!E140,"AAAAAH+W2/c=")</f>
        <v>#VALUE!</v>
      </c>
      <c r="IO176" t="e">
        <f>AND('UP133'!F140,"AAAAAH+W2/g=")</f>
        <v>#VALUE!</v>
      </c>
      <c r="IP176" t="e">
        <f>AND('UP133'!G140,"AAAAAH+W2/k=")</f>
        <v>#VALUE!</v>
      </c>
      <c r="IQ176" t="e">
        <f>AND('UP133'!H140,"AAAAAH+W2/o=")</f>
        <v>#VALUE!</v>
      </c>
      <c r="IR176" t="e">
        <f>AND('UP133'!I140,"AAAAAH+W2/s=")</f>
        <v>#VALUE!</v>
      </c>
      <c r="IS176" t="e">
        <f>AND('UP133'!J140,"AAAAAH+W2/w=")</f>
        <v>#VALUE!</v>
      </c>
      <c r="IT176" t="e">
        <f>AND('UP133'!K140,"AAAAAH+W2/0=")</f>
        <v>#VALUE!</v>
      </c>
      <c r="IU176" t="e">
        <f>AND('UP133'!L140,"AAAAAH+W2/4=")</f>
        <v>#VALUE!</v>
      </c>
      <c r="IV176" t="e">
        <f>AND('UP133'!M140,"AAAAAH+W2/8=")</f>
        <v>#VALUE!</v>
      </c>
    </row>
    <row r="177" spans="1:256">
      <c r="A177" t="e">
        <f>AND('UP133'!N140,"AAAAAHZ/HwA=")</f>
        <v>#VALUE!</v>
      </c>
      <c r="B177" t="e">
        <f>AND('UP133'!O140,"AAAAAHZ/HwE=")</f>
        <v>#VALUE!</v>
      </c>
      <c r="C177" t="e">
        <f>AND('UP133'!P140,"AAAAAHZ/HwI=")</f>
        <v>#VALUE!</v>
      </c>
      <c r="D177" t="e">
        <f>AND('UP133'!Q140,"AAAAAHZ/HwM=")</f>
        <v>#VALUE!</v>
      </c>
      <c r="E177" t="e">
        <f>AND('UP133'!R140,"AAAAAHZ/HwQ=")</f>
        <v>#VALUE!</v>
      </c>
      <c r="F177" t="e">
        <f>AND('UP133'!S140,"AAAAAHZ/HwU=")</f>
        <v>#VALUE!</v>
      </c>
      <c r="G177" t="e">
        <f>AND('UP133'!T140,"AAAAAHZ/HwY=")</f>
        <v>#VALUE!</v>
      </c>
      <c r="H177" t="e">
        <f>AND('UP133'!U140,"AAAAAHZ/Hwc=")</f>
        <v>#VALUE!</v>
      </c>
      <c r="I177" t="e">
        <f>AND('UP133'!V140,"AAAAAHZ/Hwg=")</f>
        <v>#VALUE!</v>
      </c>
      <c r="J177" t="e">
        <f>AND('UP133'!W140,"AAAAAHZ/Hwk=")</f>
        <v>#VALUE!</v>
      </c>
      <c r="K177" t="e">
        <f>AND('UP133'!X140,"AAAAAHZ/Hwo=")</f>
        <v>#VALUE!</v>
      </c>
      <c r="L177" t="e">
        <f>AND('UP133'!Y140,"AAAAAHZ/Hws=")</f>
        <v>#VALUE!</v>
      </c>
      <c r="M177" t="e">
        <f>AND('UP133'!Z140,"AAAAAHZ/Hww=")</f>
        <v>#VALUE!</v>
      </c>
      <c r="N177" t="e">
        <f>AND('UP133'!AA140,"AAAAAHZ/Hw0=")</f>
        <v>#VALUE!</v>
      </c>
      <c r="O177" t="e">
        <f>AND('UP133'!AB140,"AAAAAHZ/Hw4=")</f>
        <v>#VALUE!</v>
      </c>
      <c r="P177" t="e">
        <f>AND('UP133'!AC140,"AAAAAHZ/Hw8=")</f>
        <v>#VALUE!</v>
      </c>
      <c r="Q177" t="e">
        <f>AND('UP133'!AD140,"AAAAAHZ/HxA=")</f>
        <v>#VALUE!</v>
      </c>
      <c r="R177" t="e">
        <f>AND('UP133'!AE140,"AAAAAHZ/HxE=")</f>
        <v>#VALUE!</v>
      </c>
      <c r="S177" t="e">
        <f>AND('UP133'!AF140,"AAAAAHZ/HxI=")</f>
        <v>#VALUE!</v>
      </c>
      <c r="T177" t="e">
        <f>AND('UP133'!AG140,"AAAAAHZ/HxM=")</f>
        <v>#VALUE!</v>
      </c>
      <c r="U177" t="e">
        <f>AND('UP133'!AH140,"AAAAAHZ/HxQ=")</f>
        <v>#VALUE!</v>
      </c>
      <c r="V177" t="e">
        <f>AND('UP133'!AI140,"AAAAAHZ/HxU=")</f>
        <v>#VALUE!</v>
      </c>
      <c r="W177" t="e">
        <f>AND('UP133'!AJ140,"AAAAAHZ/HxY=")</f>
        <v>#VALUE!</v>
      </c>
      <c r="X177" t="e">
        <f>AND('UP133'!AK140,"AAAAAHZ/Hxc=")</f>
        <v>#VALUE!</v>
      </c>
      <c r="Y177" t="e">
        <f>AND('UP133'!AL140,"AAAAAHZ/Hxg=")</f>
        <v>#VALUE!</v>
      </c>
      <c r="Z177" t="e">
        <f>AND('UP133'!AM140,"AAAAAHZ/Hxk=")</f>
        <v>#VALUE!</v>
      </c>
      <c r="AA177" t="e">
        <f>AND('UP133'!AN140,"AAAAAHZ/Hxo=")</f>
        <v>#VALUE!</v>
      </c>
      <c r="AB177" t="e">
        <f>AND('UP133'!AO140,"AAAAAHZ/Hxs=")</f>
        <v>#VALUE!</v>
      </c>
      <c r="AC177" t="e">
        <f>AND('UP133'!AP140,"AAAAAHZ/Hxw=")</f>
        <v>#VALUE!</v>
      </c>
      <c r="AD177" t="e">
        <f>AND('UP133'!AQ140,"AAAAAHZ/Hx0=")</f>
        <v>#VALUE!</v>
      </c>
      <c r="AE177" t="e">
        <f>AND('UP133'!AR140,"AAAAAHZ/Hx4=")</f>
        <v>#VALUE!</v>
      </c>
      <c r="AF177" t="e">
        <f>AND('UP133'!AS140,"AAAAAHZ/Hx8=")</f>
        <v>#VALUE!</v>
      </c>
      <c r="AG177" t="e">
        <f>AND('UP133'!AT140,"AAAAAHZ/HyA=")</f>
        <v>#VALUE!</v>
      </c>
      <c r="AH177" t="e">
        <f>AND('UP133'!AU140,"AAAAAHZ/HyE=")</f>
        <v>#VALUE!</v>
      </c>
      <c r="AI177" t="e">
        <f>AND('UP133'!AV140,"AAAAAHZ/HyI=")</f>
        <v>#VALUE!</v>
      </c>
      <c r="AJ177" t="e">
        <f>AND('UP133'!AW140,"AAAAAHZ/HyM=")</f>
        <v>#VALUE!</v>
      </c>
      <c r="AK177" t="e">
        <f>AND('UP133'!AX140,"AAAAAHZ/HyQ=")</f>
        <v>#VALUE!</v>
      </c>
      <c r="AL177" t="e">
        <f>AND('UP133'!AY140,"AAAAAHZ/HyU=")</f>
        <v>#VALUE!</v>
      </c>
      <c r="AM177" t="e">
        <f>AND('UP133'!AZ140,"AAAAAHZ/HyY=")</f>
        <v>#VALUE!</v>
      </c>
      <c r="AN177" t="e">
        <f>AND('UP133'!BA140,"AAAAAHZ/Hyc=")</f>
        <v>#VALUE!</v>
      </c>
      <c r="AO177" t="e">
        <f>AND('UP133'!BB140,"AAAAAHZ/Hyg=")</f>
        <v>#VALUE!</v>
      </c>
      <c r="AP177" t="e">
        <f>AND('UP133'!BC140,"AAAAAHZ/Hyk=")</f>
        <v>#VALUE!</v>
      </c>
      <c r="AQ177" t="e">
        <f>AND('UP133'!BD140,"AAAAAHZ/Hyo=")</f>
        <v>#VALUE!</v>
      </c>
      <c r="AR177" t="e">
        <f>AND('UP133'!BE140,"AAAAAHZ/Hys=")</f>
        <v>#VALUE!</v>
      </c>
      <c r="AS177" t="e">
        <f>AND('UP133'!BF140,"AAAAAHZ/Hyw=")</f>
        <v>#VALUE!</v>
      </c>
      <c r="AT177" t="e">
        <f>AND('UP133'!BG140,"AAAAAHZ/Hy0=")</f>
        <v>#VALUE!</v>
      </c>
      <c r="AU177" t="e">
        <f>AND('UP133'!BH140,"AAAAAHZ/Hy4=")</f>
        <v>#VALUE!</v>
      </c>
      <c r="AV177" t="e">
        <f>AND('UP133'!BI140,"AAAAAHZ/Hy8=")</f>
        <v>#VALUE!</v>
      </c>
      <c r="AW177" t="e">
        <f>AND('UP133'!BJ140,"AAAAAHZ/HzA=")</f>
        <v>#VALUE!</v>
      </c>
      <c r="AX177" t="e">
        <f>AND('UP133'!BK140,"AAAAAHZ/HzE=")</f>
        <v>#VALUE!</v>
      </c>
      <c r="AY177" t="e">
        <f>AND('UP133'!BL140,"AAAAAHZ/HzI=")</f>
        <v>#VALUE!</v>
      </c>
      <c r="AZ177" t="e">
        <f>AND('UP133'!BM140,"AAAAAHZ/HzM=")</f>
        <v>#VALUE!</v>
      </c>
      <c r="BA177" t="e">
        <f>AND('UP133'!BN140,"AAAAAHZ/HzQ=")</f>
        <v>#VALUE!</v>
      </c>
      <c r="BB177" t="e">
        <f>AND('UP133'!BO140,"AAAAAHZ/HzU=")</f>
        <v>#VALUE!</v>
      </c>
      <c r="BC177" t="e">
        <f>AND('UP133'!BP140,"AAAAAHZ/HzY=")</f>
        <v>#VALUE!</v>
      </c>
      <c r="BD177" t="e">
        <f>AND('UP133'!BQ140,"AAAAAHZ/Hzc=")</f>
        <v>#VALUE!</v>
      </c>
      <c r="BE177" t="e">
        <f>AND('UP133'!BR140,"AAAAAHZ/Hzg=")</f>
        <v>#VALUE!</v>
      </c>
      <c r="BF177" t="e">
        <f>AND('UP133'!BS140,"AAAAAHZ/Hzk=")</f>
        <v>#VALUE!</v>
      </c>
      <c r="BG177" t="e">
        <f>AND('UP133'!BT140,"AAAAAHZ/Hzo=")</f>
        <v>#VALUE!</v>
      </c>
      <c r="BH177" t="e">
        <f>AND('UP133'!BU140,"AAAAAHZ/Hzs=")</f>
        <v>#VALUE!</v>
      </c>
      <c r="BI177" t="e">
        <f>AND('UP133'!BV140,"AAAAAHZ/Hzw=")</f>
        <v>#VALUE!</v>
      </c>
      <c r="BJ177" t="e">
        <f>AND('UP133'!BW140,"AAAAAHZ/Hz0=")</f>
        <v>#VALUE!</v>
      </c>
      <c r="BK177" t="e">
        <f>AND('UP133'!BX140,"AAAAAHZ/Hz4=")</f>
        <v>#VALUE!</v>
      </c>
      <c r="BL177" t="e">
        <f>AND('UP133'!BY140,"AAAAAHZ/Hz8=")</f>
        <v>#VALUE!</v>
      </c>
      <c r="BM177" t="e">
        <f>AND('UP133'!BZ140,"AAAAAHZ/H0A=")</f>
        <v>#VALUE!</v>
      </c>
      <c r="BN177" t="e">
        <f>AND('UP133'!CA140,"AAAAAHZ/H0E=")</f>
        <v>#VALUE!</v>
      </c>
      <c r="BO177" t="e">
        <f>AND('UP133'!CB140,"AAAAAHZ/H0I=")</f>
        <v>#VALUE!</v>
      </c>
      <c r="BP177" t="e">
        <f>AND('UP133'!CC140,"AAAAAHZ/H0M=")</f>
        <v>#VALUE!</v>
      </c>
      <c r="BQ177" t="e">
        <f>AND('UP133'!CD140,"AAAAAHZ/H0Q=")</f>
        <v>#VALUE!</v>
      </c>
      <c r="BR177" t="e">
        <f>AND('UP133'!CE140,"AAAAAHZ/H0U=")</f>
        <v>#VALUE!</v>
      </c>
      <c r="BS177" t="e">
        <f>AND('UP133'!CF140,"AAAAAHZ/H0Y=")</f>
        <v>#VALUE!</v>
      </c>
      <c r="BT177" t="e">
        <f>AND('UP133'!CG140,"AAAAAHZ/H0c=")</f>
        <v>#VALUE!</v>
      </c>
      <c r="BU177" t="e">
        <f>AND('UP133'!CH140,"AAAAAHZ/H0g=")</f>
        <v>#VALUE!</v>
      </c>
      <c r="BV177" t="e">
        <f>AND('UP133'!CI140,"AAAAAHZ/H0k=")</f>
        <v>#VALUE!</v>
      </c>
      <c r="BW177" t="e">
        <f>AND('UP133'!CJ140,"AAAAAHZ/H0o=")</f>
        <v>#VALUE!</v>
      </c>
      <c r="BX177" t="e">
        <f>AND('UP133'!CK140,"AAAAAHZ/H0s=")</f>
        <v>#VALUE!</v>
      </c>
      <c r="BY177" t="e">
        <f>AND('UP133'!CL140,"AAAAAHZ/H0w=")</f>
        <v>#VALUE!</v>
      </c>
      <c r="BZ177" t="e">
        <f>AND('UP133'!CM140,"AAAAAHZ/H00=")</f>
        <v>#VALUE!</v>
      </c>
      <c r="CA177" t="e">
        <f>AND('UP133'!CN140,"AAAAAHZ/H04=")</f>
        <v>#VALUE!</v>
      </c>
      <c r="CB177" t="e">
        <f>AND('UP133'!CO140,"AAAAAHZ/H08=")</f>
        <v>#VALUE!</v>
      </c>
      <c r="CC177" t="e">
        <f>AND('UP133'!CP140,"AAAAAHZ/H1A=")</f>
        <v>#VALUE!</v>
      </c>
      <c r="CD177" t="e">
        <f>AND('UP133'!CQ140,"AAAAAHZ/H1E=")</f>
        <v>#VALUE!</v>
      </c>
      <c r="CE177" t="e">
        <f>AND('UP133'!CR140,"AAAAAHZ/H1I=")</f>
        <v>#VALUE!</v>
      </c>
      <c r="CF177" t="e">
        <f>AND('UP133'!CS140,"AAAAAHZ/H1M=")</f>
        <v>#VALUE!</v>
      </c>
      <c r="CG177" t="e">
        <f>AND('UP133'!CT140,"AAAAAHZ/H1Q=")</f>
        <v>#VALUE!</v>
      </c>
      <c r="CH177" t="e">
        <f>AND('UP133'!CU140,"AAAAAHZ/H1U=")</f>
        <v>#VALUE!</v>
      </c>
      <c r="CI177" t="e">
        <f>AND('UP133'!CV140,"AAAAAHZ/H1Y=")</f>
        <v>#VALUE!</v>
      </c>
      <c r="CJ177" t="e">
        <f>AND('UP133'!CW140,"AAAAAHZ/H1c=")</f>
        <v>#VALUE!</v>
      </c>
      <c r="CK177" t="e">
        <f>AND('UP133'!CX140,"AAAAAHZ/H1g=")</f>
        <v>#VALUE!</v>
      </c>
      <c r="CL177" t="e">
        <f>AND('UP133'!CY140,"AAAAAHZ/H1k=")</f>
        <v>#VALUE!</v>
      </c>
      <c r="CM177" t="e">
        <f>AND('UP133'!CZ140,"AAAAAHZ/H1o=")</f>
        <v>#VALUE!</v>
      </c>
      <c r="CN177" t="e">
        <f>AND('UP133'!DA140,"AAAAAHZ/H1s=")</f>
        <v>#VALUE!</v>
      </c>
      <c r="CO177" t="e">
        <f>AND('UP133'!DB140,"AAAAAHZ/H1w=")</f>
        <v>#VALUE!</v>
      </c>
      <c r="CP177" t="e">
        <f>AND('UP133'!DC140,"AAAAAHZ/H10=")</f>
        <v>#VALUE!</v>
      </c>
      <c r="CQ177" t="e">
        <f>AND('UP133'!DD140,"AAAAAHZ/H14=")</f>
        <v>#VALUE!</v>
      </c>
      <c r="CR177" t="e">
        <f>AND('UP133'!DE140,"AAAAAHZ/H18=")</f>
        <v>#VALUE!</v>
      </c>
      <c r="CS177" t="e">
        <f>AND('UP133'!DF140,"AAAAAHZ/H2A=")</f>
        <v>#VALUE!</v>
      </c>
      <c r="CT177" t="e">
        <f>AND('UP133'!DG140,"AAAAAHZ/H2E=")</f>
        <v>#VALUE!</v>
      </c>
      <c r="CU177" t="e">
        <f>AND('UP133'!DH140,"AAAAAHZ/H2I=")</f>
        <v>#VALUE!</v>
      </c>
      <c r="CV177" t="e">
        <f>AND('UP133'!DI140,"AAAAAHZ/H2M=")</f>
        <v>#VALUE!</v>
      </c>
      <c r="CW177" t="e">
        <f>AND('UP133'!DJ140,"AAAAAHZ/H2Q=")</f>
        <v>#VALUE!</v>
      </c>
      <c r="CX177" t="e">
        <f>AND('UP133'!DK140,"AAAAAHZ/H2U=")</f>
        <v>#VALUE!</v>
      </c>
      <c r="CY177" t="e">
        <f>AND('UP133'!DL140,"AAAAAHZ/H2Y=")</f>
        <v>#VALUE!</v>
      </c>
      <c r="CZ177" t="e">
        <f>AND('UP133'!DM140,"AAAAAHZ/H2c=")</f>
        <v>#VALUE!</v>
      </c>
      <c r="DA177" t="e">
        <f>AND('UP133'!DN140,"AAAAAHZ/H2g=")</f>
        <v>#VALUE!</v>
      </c>
      <c r="DB177" t="e">
        <f>AND('UP133'!DO140,"AAAAAHZ/H2k=")</f>
        <v>#VALUE!</v>
      </c>
      <c r="DC177" t="e">
        <f>AND('UP133'!DP140,"AAAAAHZ/H2o=")</f>
        <v>#VALUE!</v>
      </c>
      <c r="DD177" t="e">
        <f>AND('UP133'!DQ140,"AAAAAHZ/H2s=")</f>
        <v>#VALUE!</v>
      </c>
      <c r="DE177" t="e">
        <f>AND('UP133'!DR140,"AAAAAHZ/H2w=")</f>
        <v>#VALUE!</v>
      </c>
      <c r="DF177" t="e">
        <f>AND('UP133'!DS140,"AAAAAHZ/H20=")</f>
        <v>#VALUE!</v>
      </c>
      <c r="DG177" t="e">
        <f>AND('UP133'!DT140,"AAAAAHZ/H24=")</f>
        <v>#VALUE!</v>
      </c>
      <c r="DH177" t="e">
        <f>AND('UP133'!DU140,"AAAAAHZ/H28=")</f>
        <v>#VALUE!</v>
      </c>
      <c r="DI177" t="e">
        <f>AND('UP133'!DV140,"AAAAAHZ/H3A=")</f>
        <v>#VALUE!</v>
      </c>
      <c r="DJ177" t="e">
        <f>AND('UP133'!DW140,"AAAAAHZ/H3E=")</f>
        <v>#VALUE!</v>
      </c>
      <c r="DK177" t="e">
        <f>AND('UP133'!DX140,"AAAAAHZ/H3I=")</f>
        <v>#VALUE!</v>
      </c>
      <c r="DL177" t="e">
        <f>AND('UP133'!DY140,"AAAAAHZ/H3M=")</f>
        <v>#VALUE!</v>
      </c>
      <c r="DM177" t="e">
        <f>AND('UP133'!DZ140,"AAAAAHZ/H3Q=")</f>
        <v>#VALUE!</v>
      </c>
      <c r="DN177" t="e">
        <f>AND('UP133'!EA140,"AAAAAHZ/H3U=")</f>
        <v>#VALUE!</v>
      </c>
      <c r="DO177" t="e">
        <f>AND('UP133'!EB140,"AAAAAHZ/H3Y=")</f>
        <v>#VALUE!</v>
      </c>
      <c r="DP177" t="e">
        <f>AND('UP133'!EC140,"AAAAAHZ/H3c=")</f>
        <v>#VALUE!</v>
      </c>
      <c r="DQ177" t="e">
        <f>AND('UP133'!ED140,"AAAAAHZ/H3g=")</f>
        <v>#VALUE!</v>
      </c>
      <c r="DR177" t="e">
        <f>AND('UP133'!EE140,"AAAAAHZ/H3k=")</f>
        <v>#VALUE!</v>
      </c>
      <c r="DS177" t="e">
        <f>AND('UP133'!EF140,"AAAAAHZ/H3o=")</f>
        <v>#VALUE!</v>
      </c>
      <c r="DT177" t="e">
        <f>AND('UP133'!EG140,"AAAAAHZ/H3s=")</f>
        <v>#VALUE!</v>
      </c>
      <c r="DU177" t="e">
        <f>AND('UP133'!EH140,"AAAAAHZ/H3w=")</f>
        <v>#VALUE!</v>
      </c>
      <c r="DV177" t="e">
        <f>AND('UP133'!EI140,"AAAAAHZ/H30=")</f>
        <v>#VALUE!</v>
      </c>
      <c r="DW177" t="e">
        <f>AND('UP133'!EJ140,"AAAAAHZ/H34=")</f>
        <v>#VALUE!</v>
      </c>
      <c r="DX177" t="e">
        <f>AND('UP133'!EK140,"AAAAAHZ/H38=")</f>
        <v>#VALUE!</v>
      </c>
      <c r="DY177" t="e">
        <f>AND('UP133'!EL140,"AAAAAHZ/H4A=")</f>
        <v>#VALUE!</v>
      </c>
      <c r="DZ177" t="e">
        <f>AND('UP133'!EM140,"AAAAAHZ/H4E=")</f>
        <v>#VALUE!</v>
      </c>
      <c r="EA177" t="e">
        <f>AND('UP133'!EN140,"AAAAAHZ/H4I=")</f>
        <v>#VALUE!</v>
      </c>
      <c r="EB177" t="e">
        <f>AND('UP133'!EO140,"AAAAAHZ/H4M=")</f>
        <v>#VALUE!</v>
      </c>
      <c r="EC177" t="e">
        <f>AND('UP133'!EP140,"AAAAAHZ/H4Q=")</f>
        <v>#VALUE!</v>
      </c>
      <c r="ED177" t="e">
        <f>AND('UP133'!EQ140,"AAAAAHZ/H4U=")</f>
        <v>#VALUE!</v>
      </c>
      <c r="EE177" t="e">
        <f>AND('UP133'!ER140,"AAAAAHZ/H4Y=")</f>
        <v>#VALUE!</v>
      </c>
      <c r="EF177" t="e">
        <f>AND('UP133'!ES140,"AAAAAHZ/H4c=")</f>
        <v>#VALUE!</v>
      </c>
      <c r="EG177" t="e">
        <f>AND('UP133'!ET140,"AAAAAHZ/H4g=")</f>
        <v>#VALUE!</v>
      </c>
      <c r="EH177" t="e">
        <f>AND('UP133'!EU140,"AAAAAHZ/H4k=")</f>
        <v>#VALUE!</v>
      </c>
      <c r="EI177" t="e">
        <f>AND('UP133'!EV140,"AAAAAHZ/H4o=")</f>
        <v>#VALUE!</v>
      </c>
      <c r="EJ177" t="e">
        <f>AND('UP133'!EW140,"AAAAAHZ/H4s=")</f>
        <v>#VALUE!</v>
      </c>
      <c r="EK177" t="e">
        <f>AND('UP133'!EX140,"AAAAAHZ/H4w=")</f>
        <v>#VALUE!</v>
      </c>
      <c r="EL177" t="e">
        <f>AND('UP133'!EY140,"AAAAAHZ/H40=")</f>
        <v>#VALUE!</v>
      </c>
      <c r="EM177" t="e">
        <f>AND('UP133'!EZ140,"AAAAAHZ/H44=")</f>
        <v>#VALUE!</v>
      </c>
      <c r="EN177" t="e">
        <f>AND('UP133'!FA140,"AAAAAHZ/H48=")</f>
        <v>#VALUE!</v>
      </c>
      <c r="EO177" t="e">
        <f>AND('UP133'!FB140,"AAAAAHZ/H5A=")</f>
        <v>#VALUE!</v>
      </c>
      <c r="EP177" t="e">
        <f>AND('UP133'!FC140,"AAAAAHZ/H5E=")</f>
        <v>#VALUE!</v>
      </c>
      <c r="EQ177" t="e">
        <f>AND('UP133'!FD140,"AAAAAHZ/H5I=")</f>
        <v>#VALUE!</v>
      </c>
      <c r="ER177" t="e">
        <f>AND('UP133'!FE140,"AAAAAHZ/H5M=")</f>
        <v>#VALUE!</v>
      </c>
      <c r="ES177" t="e">
        <f>AND('UP133'!FF140,"AAAAAHZ/H5Q=")</f>
        <v>#VALUE!</v>
      </c>
      <c r="ET177" t="e">
        <f>AND('UP133'!FG140,"AAAAAHZ/H5U=")</f>
        <v>#VALUE!</v>
      </c>
      <c r="EU177" t="e">
        <f>AND('UP133'!FH140,"AAAAAHZ/H5Y=")</f>
        <v>#VALUE!</v>
      </c>
      <c r="EV177" t="e">
        <f>AND('UP133'!FI140,"AAAAAHZ/H5c=")</f>
        <v>#VALUE!</v>
      </c>
      <c r="EW177" t="e">
        <f>AND('UP133'!FJ140,"AAAAAHZ/H5g=")</f>
        <v>#VALUE!</v>
      </c>
      <c r="EX177" t="e">
        <f>AND('UP133'!FK140,"AAAAAHZ/H5k=")</f>
        <v>#VALUE!</v>
      </c>
      <c r="EY177" t="e">
        <f>AND('UP133'!FL140,"AAAAAHZ/H5o=")</f>
        <v>#VALUE!</v>
      </c>
      <c r="EZ177" t="e">
        <f>AND('UP133'!FM140,"AAAAAHZ/H5s=")</f>
        <v>#VALUE!</v>
      </c>
      <c r="FA177" t="e">
        <f>AND('UP133'!FN140,"AAAAAHZ/H5w=")</f>
        <v>#VALUE!</v>
      </c>
      <c r="FB177" t="e">
        <f>AND('UP133'!FO140,"AAAAAHZ/H50=")</f>
        <v>#VALUE!</v>
      </c>
      <c r="FC177" t="e">
        <f>AND('UP133'!FP140,"AAAAAHZ/H54=")</f>
        <v>#VALUE!</v>
      </c>
      <c r="FD177" t="e">
        <f>AND('UP133'!FQ140,"AAAAAHZ/H58=")</f>
        <v>#VALUE!</v>
      </c>
      <c r="FE177" t="e">
        <f>AND('UP133'!FR140,"AAAAAHZ/H6A=")</f>
        <v>#VALUE!</v>
      </c>
      <c r="FF177" t="e">
        <f>AND('UP133'!FS140,"AAAAAHZ/H6E=")</f>
        <v>#VALUE!</v>
      </c>
      <c r="FG177" t="e">
        <f>AND('UP133'!FT140,"AAAAAHZ/H6I=")</f>
        <v>#VALUE!</v>
      </c>
      <c r="FH177" t="e">
        <f>AND('UP133'!FU140,"AAAAAHZ/H6M=")</f>
        <v>#VALUE!</v>
      </c>
      <c r="FI177" t="e">
        <f>AND('UP133'!FV140,"AAAAAHZ/H6Q=")</f>
        <v>#VALUE!</v>
      </c>
      <c r="FJ177" t="e">
        <f>AND('UP133'!FW140,"AAAAAHZ/H6U=")</f>
        <v>#VALUE!</v>
      </c>
      <c r="FK177" t="e">
        <f>AND('UP133'!FX140,"AAAAAHZ/H6Y=")</f>
        <v>#VALUE!</v>
      </c>
      <c r="FL177" t="e">
        <f>AND('UP133'!FY140,"AAAAAHZ/H6c=")</f>
        <v>#VALUE!</v>
      </c>
      <c r="FM177" t="e">
        <f>AND('UP133'!FZ140,"AAAAAHZ/H6g=")</f>
        <v>#VALUE!</v>
      </c>
      <c r="FN177" t="e">
        <f>AND('UP133'!GA140,"AAAAAHZ/H6k=")</f>
        <v>#VALUE!</v>
      </c>
      <c r="FO177" t="e">
        <f>AND('UP133'!GB140,"AAAAAHZ/H6o=")</f>
        <v>#VALUE!</v>
      </c>
      <c r="FP177" t="e">
        <f>AND('UP133'!GC140,"AAAAAHZ/H6s=")</f>
        <v>#VALUE!</v>
      </c>
      <c r="FQ177" t="e">
        <f>AND('UP133'!GD140,"AAAAAHZ/H6w=")</f>
        <v>#VALUE!</v>
      </c>
      <c r="FR177" t="e">
        <f>AND('UP133'!GE140,"AAAAAHZ/H60=")</f>
        <v>#VALUE!</v>
      </c>
      <c r="FS177" t="e">
        <f>AND('UP133'!GF140,"AAAAAHZ/H64=")</f>
        <v>#VALUE!</v>
      </c>
      <c r="FT177" t="e">
        <f>AND('UP133'!GG140,"AAAAAHZ/H68=")</f>
        <v>#VALUE!</v>
      </c>
      <c r="FU177" t="e">
        <f>AND('UP133'!GH140,"AAAAAHZ/H7A=")</f>
        <v>#VALUE!</v>
      </c>
      <c r="FV177" t="e">
        <f>AND('UP133'!GI140,"AAAAAHZ/H7E=")</f>
        <v>#VALUE!</v>
      </c>
      <c r="FW177" t="e">
        <f>AND('UP133'!GJ140,"AAAAAHZ/H7I=")</f>
        <v>#VALUE!</v>
      </c>
      <c r="FX177" t="e">
        <f>AND('UP133'!GK140,"AAAAAHZ/H7M=")</f>
        <v>#VALUE!</v>
      </c>
      <c r="FY177" t="e">
        <f>AND('UP133'!GL140,"AAAAAHZ/H7Q=")</f>
        <v>#VALUE!</v>
      </c>
      <c r="FZ177" t="e">
        <f>AND('UP133'!GM140,"AAAAAHZ/H7U=")</f>
        <v>#VALUE!</v>
      </c>
      <c r="GA177" t="e">
        <f>AND('UP133'!GN140,"AAAAAHZ/H7Y=")</f>
        <v>#VALUE!</v>
      </c>
      <c r="GB177" t="e">
        <f>AND('UP133'!GO140,"AAAAAHZ/H7c=")</f>
        <v>#VALUE!</v>
      </c>
      <c r="GC177" t="e">
        <f>AND('UP133'!GP140,"AAAAAHZ/H7g=")</f>
        <v>#VALUE!</v>
      </c>
      <c r="GD177" t="e">
        <f>AND('UP133'!GQ140,"AAAAAHZ/H7k=")</f>
        <v>#VALUE!</v>
      </c>
      <c r="GE177" t="e">
        <f>AND('UP133'!GR140,"AAAAAHZ/H7o=")</f>
        <v>#VALUE!</v>
      </c>
      <c r="GF177" t="e">
        <f>AND('UP133'!GS140,"AAAAAHZ/H7s=")</f>
        <v>#VALUE!</v>
      </c>
      <c r="GG177" t="e">
        <f>AND('UP133'!GT140,"AAAAAHZ/H7w=")</f>
        <v>#VALUE!</v>
      </c>
      <c r="GH177" t="e">
        <f>AND('UP133'!GU140,"AAAAAHZ/H70=")</f>
        <v>#VALUE!</v>
      </c>
      <c r="GI177" t="e">
        <f>AND('UP133'!GV140,"AAAAAHZ/H74=")</f>
        <v>#VALUE!</v>
      </c>
      <c r="GJ177" t="e">
        <f>AND('UP133'!GW140,"AAAAAHZ/H78=")</f>
        <v>#VALUE!</v>
      </c>
      <c r="GK177" t="e">
        <f>AND('UP133'!GX140,"AAAAAHZ/H8A=")</f>
        <v>#VALUE!</v>
      </c>
      <c r="GL177" t="e">
        <f>AND('UP133'!GY140,"AAAAAHZ/H8E=")</f>
        <v>#VALUE!</v>
      </c>
      <c r="GM177" t="e">
        <f>AND('UP133'!GZ140,"AAAAAHZ/H8I=")</f>
        <v>#VALUE!</v>
      </c>
      <c r="GN177" t="e">
        <f>AND('UP133'!HA140,"AAAAAHZ/H8M=")</f>
        <v>#VALUE!</v>
      </c>
      <c r="GO177" t="e">
        <f>AND('UP133'!HB140,"AAAAAHZ/H8Q=")</f>
        <v>#VALUE!</v>
      </c>
      <c r="GP177" t="e">
        <f>AND('UP133'!HC140,"AAAAAHZ/H8U=")</f>
        <v>#VALUE!</v>
      </c>
      <c r="GQ177" t="e">
        <f>AND('UP133'!HD140,"AAAAAHZ/H8Y=")</f>
        <v>#VALUE!</v>
      </c>
      <c r="GR177" t="e">
        <f>AND('UP133'!HE140,"AAAAAHZ/H8c=")</f>
        <v>#VALUE!</v>
      </c>
      <c r="GS177" t="e">
        <f>AND('UP133'!HF140,"AAAAAHZ/H8g=")</f>
        <v>#VALUE!</v>
      </c>
      <c r="GT177" t="e">
        <f>AND('UP133'!HG140,"AAAAAHZ/H8k=")</f>
        <v>#VALUE!</v>
      </c>
      <c r="GU177" t="e">
        <f>AND('UP133'!HH140,"AAAAAHZ/H8o=")</f>
        <v>#VALUE!</v>
      </c>
      <c r="GV177" t="e">
        <f>AND('UP133'!HI140,"AAAAAHZ/H8s=")</f>
        <v>#VALUE!</v>
      </c>
      <c r="GW177" t="e">
        <f>AND('UP133'!HJ140,"AAAAAHZ/H8w=")</f>
        <v>#VALUE!</v>
      </c>
      <c r="GX177" t="e">
        <f>AND('UP133'!HK140,"AAAAAHZ/H80=")</f>
        <v>#VALUE!</v>
      </c>
      <c r="GY177" t="e">
        <f>AND('UP133'!HL140,"AAAAAHZ/H84=")</f>
        <v>#VALUE!</v>
      </c>
      <c r="GZ177" t="e">
        <f>AND('UP133'!HM140,"AAAAAHZ/H88=")</f>
        <v>#VALUE!</v>
      </c>
      <c r="HA177" t="e">
        <f>AND('UP133'!HN140,"AAAAAHZ/H9A=")</f>
        <v>#VALUE!</v>
      </c>
      <c r="HB177" t="e">
        <f>AND('UP133'!HO140,"AAAAAHZ/H9E=")</f>
        <v>#VALUE!</v>
      </c>
      <c r="HC177" t="e">
        <f>AND('UP133'!HP140,"AAAAAHZ/H9I=")</f>
        <v>#VALUE!</v>
      </c>
      <c r="HD177" t="e">
        <f>AND('UP133'!HQ140,"AAAAAHZ/H9M=")</f>
        <v>#VALUE!</v>
      </c>
      <c r="HE177" t="e">
        <f>AND('UP133'!HR140,"AAAAAHZ/H9Q=")</f>
        <v>#VALUE!</v>
      </c>
      <c r="HF177" t="e">
        <f>AND('UP133'!HS140,"AAAAAHZ/H9U=")</f>
        <v>#VALUE!</v>
      </c>
      <c r="HG177" t="e">
        <f>AND('UP133'!HT140,"AAAAAHZ/H9Y=")</f>
        <v>#VALUE!</v>
      </c>
      <c r="HH177" t="e">
        <f>AND('UP133'!HU140,"AAAAAHZ/H9c=")</f>
        <v>#VALUE!</v>
      </c>
      <c r="HI177" t="e">
        <f>AND('UP133'!HV140,"AAAAAHZ/H9g=")</f>
        <v>#VALUE!</v>
      </c>
      <c r="HJ177" t="e">
        <f>AND('UP133'!HW140,"AAAAAHZ/H9k=")</f>
        <v>#VALUE!</v>
      </c>
      <c r="HK177" t="e">
        <f>AND('UP133'!HX140,"AAAAAHZ/H9o=")</f>
        <v>#VALUE!</v>
      </c>
      <c r="HL177" t="e">
        <f>AND('UP133'!HY140,"AAAAAHZ/H9s=")</f>
        <v>#VALUE!</v>
      </c>
      <c r="HM177" t="e">
        <f>AND('UP133'!HZ140,"AAAAAHZ/H9w=")</f>
        <v>#VALUE!</v>
      </c>
      <c r="HN177" t="e">
        <f>AND('UP133'!IA140,"AAAAAHZ/H90=")</f>
        <v>#VALUE!</v>
      </c>
      <c r="HO177" t="e">
        <f>AND('UP133'!IB140,"AAAAAHZ/H94=")</f>
        <v>#VALUE!</v>
      </c>
      <c r="HP177" t="e">
        <f>AND('UP133'!IC140,"AAAAAHZ/H98=")</f>
        <v>#VALUE!</v>
      </c>
      <c r="HQ177" t="e">
        <f>AND('UP133'!ID140,"AAAAAHZ/H+A=")</f>
        <v>#VALUE!</v>
      </c>
      <c r="HR177" t="e">
        <f>AND('UP133'!IE140,"AAAAAHZ/H+E=")</f>
        <v>#VALUE!</v>
      </c>
      <c r="HS177" t="e">
        <f>AND('UP133'!IF140,"AAAAAHZ/H+I=")</f>
        <v>#VALUE!</v>
      </c>
      <c r="HT177" t="e">
        <f>AND('UP133'!IG140,"AAAAAHZ/H+M=")</f>
        <v>#VALUE!</v>
      </c>
      <c r="HU177" t="e">
        <f>AND('UP133'!IH140,"AAAAAHZ/H+Q=")</f>
        <v>#VALUE!</v>
      </c>
      <c r="HV177" t="e">
        <f>AND('UP133'!II140,"AAAAAHZ/H+U=")</f>
        <v>#VALUE!</v>
      </c>
      <c r="HW177" t="e">
        <f>AND('UP133'!IJ140,"AAAAAHZ/H+Y=")</f>
        <v>#VALUE!</v>
      </c>
      <c r="HX177" t="e">
        <f>AND('UP133'!IK140,"AAAAAHZ/H+c=")</f>
        <v>#VALUE!</v>
      </c>
      <c r="HY177" t="e">
        <f>AND('UP133'!IL140,"AAAAAHZ/H+g=")</f>
        <v>#VALUE!</v>
      </c>
      <c r="HZ177" t="e">
        <f>AND('UP133'!IM140,"AAAAAHZ/H+k=")</f>
        <v>#VALUE!</v>
      </c>
      <c r="IA177" t="e">
        <f>AND('UP133'!IN140,"AAAAAHZ/H+o=")</f>
        <v>#VALUE!</v>
      </c>
      <c r="IB177" t="e">
        <f>AND('UP133'!IO140,"AAAAAHZ/H+s=")</f>
        <v>#VALUE!</v>
      </c>
      <c r="IC177" t="e">
        <f>AND('UP133'!IP140,"AAAAAHZ/H+w=")</f>
        <v>#VALUE!</v>
      </c>
      <c r="ID177" t="e">
        <f>AND('UP133'!IQ140,"AAAAAHZ/H+0=")</f>
        <v>#VALUE!</v>
      </c>
      <c r="IE177">
        <f>IF('UP133'!141:141,"AAAAAHZ/H+4=",0)</f>
        <v>0</v>
      </c>
      <c r="IF177" t="e">
        <f>AND('UP133'!A141,"AAAAAHZ/H+8=")</f>
        <v>#VALUE!</v>
      </c>
      <c r="IG177" t="e">
        <f>AND('UP133'!B141,"AAAAAHZ/H/A=")</f>
        <v>#VALUE!</v>
      </c>
      <c r="IH177" t="e">
        <f>AND('UP133'!C141,"AAAAAHZ/H/E=")</f>
        <v>#VALUE!</v>
      </c>
      <c r="II177" t="e">
        <f>AND('UP133'!D141,"AAAAAHZ/H/I=")</f>
        <v>#VALUE!</v>
      </c>
      <c r="IJ177" t="e">
        <f>AND('UP133'!E141,"AAAAAHZ/H/M=")</f>
        <v>#VALUE!</v>
      </c>
      <c r="IK177" t="e">
        <f>AND('UP133'!F141,"AAAAAHZ/H/Q=")</f>
        <v>#VALUE!</v>
      </c>
      <c r="IL177" t="e">
        <f>AND('UP133'!G141,"AAAAAHZ/H/U=")</f>
        <v>#VALUE!</v>
      </c>
      <c r="IM177" t="e">
        <f>AND('UP133'!H141,"AAAAAHZ/H/Y=")</f>
        <v>#VALUE!</v>
      </c>
      <c r="IN177" t="e">
        <f>AND('UP133'!I141,"AAAAAHZ/H/c=")</f>
        <v>#VALUE!</v>
      </c>
      <c r="IO177" t="e">
        <f>AND('UP133'!J141,"AAAAAHZ/H/g=")</f>
        <v>#VALUE!</v>
      </c>
      <c r="IP177" t="e">
        <f>AND('UP133'!K141,"AAAAAHZ/H/k=")</f>
        <v>#VALUE!</v>
      </c>
      <c r="IQ177" t="e">
        <f>AND('UP133'!L141,"AAAAAHZ/H/o=")</f>
        <v>#VALUE!</v>
      </c>
      <c r="IR177" t="e">
        <f>AND('UP133'!M141,"AAAAAHZ/H/s=")</f>
        <v>#VALUE!</v>
      </c>
      <c r="IS177" t="e">
        <f>AND('UP133'!N141,"AAAAAHZ/H/w=")</f>
        <v>#VALUE!</v>
      </c>
      <c r="IT177" t="e">
        <f>AND('UP133'!O141,"AAAAAHZ/H/0=")</f>
        <v>#VALUE!</v>
      </c>
      <c r="IU177" t="e">
        <f>AND('UP133'!P141,"AAAAAHZ/H/4=")</f>
        <v>#VALUE!</v>
      </c>
      <c r="IV177" t="e">
        <f>AND('UP133'!Q141,"AAAAAHZ/H/8=")</f>
        <v>#VALUE!</v>
      </c>
    </row>
    <row r="178" spans="1:256">
      <c r="A178" t="e">
        <f>AND('UP133'!R141,"AAAAAH/f1QA=")</f>
        <v>#VALUE!</v>
      </c>
      <c r="B178" t="e">
        <f>AND('UP133'!S141,"AAAAAH/f1QE=")</f>
        <v>#VALUE!</v>
      </c>
      <c r="C178" t="e">
        <f>AND('UP133'!T141,"AAAAAH/f1QI=")</f>
        <v>#VALUE!</v>
      </c>
      <c r="D178" t="e">
        <f>AND('UP133'!U141,"AAAAAH/f1QM=")</f>
        <v>#VALUE!</v>
      </c>
      <c r="E178" t="e">
        <f>AND('UP133'!V141,"AAAAAH/f1QQ=")</f>
        <v>#VALUE!</v>
      </c>
      <c r="F178" t="e">
        <f>AND('UP133'!W141,"AAAAAH/f1QU=")</f>
        <v>#VALUE!</v>
      </c>
      <c r="G178" t="e">
        <f>AND('UP133'!X141,"AAAAAH/f1QY=")</f>
        <v>#VALUE!</v>
      </c>
      <c r="H178" t="e">
        <f>AND('UP133'!Y141,"AAAAAH/f1Qc=")</f>
        <v>#VALUE!</v>
      </c>
      <c r="I178" t="e">
        <f>AND('UP133'!Z141,"AAAAAH/f1Qg=")</f>
        <v>#VALUE!</v>
      </c>
      <c r="J178" t="e">
        <f>AND('UP133'!AA141,"AAAAAH/f1Qk=")</f>
        <v>#VALUE!</v>
      </c>
      <c r="K178" t="e">
        <f>AND('UP133'!AB141,"AAAAAH/f1Qo=")</f>
        <v>#VALUE!</v>
      </c>
      <c r="L178" t="e">
        <f>AND('UP133'!AC141,"AAAAAH/f1Qs=")</f>
        <v>#VALUE!</v>
      </c>
      <c r="M178" t="e">
        <f>AND('UP133'!AD141,"AAAAAH/f1Qw=")</f>
        <v>#VALUE!</v>
      </c>
      <c r="N178" t="e">
        <f>AND('UP133'!AE141,"AAAAAH/f1Q0=")</f>
        <v>#VALUE!</v>
      </c>
      <c r="O178" t="e">
        <f>AND('UP133'!AF141,"AAAAAH/f1Q4=")</f>
        <v>#VALUE!</v>
      </c>
      <c r="P178" t="e">
        <f>AND('UP133'!AG141,"AAAAAH/f1Q8=")</f>
        <v>#VALUE!</v>
      </c>
      <c r="Q178" t="e">
        <f>AND('UP133'!AH141,"AAAAAH/f1RA=")</f>
        <v>#VALUE!</v>
      </c>
      <c r="R178" t="e">
        <f>AND('UP133'!AI141,"AAAAAH/f1RE=")</f>
        <v>#VALUE!</v>
      </c>
      <c r="S178" t="e">
        <f>AND('UP133'!AJ141,"AAAAAH/f1RI=")</f>
        <v>#VALUE!</v>
      </c>
      <c r="T178" t="e">
        <f>AND('UP133'!AK141,"AAAAAH/f1RM=")</f>
        <v>#VALUE!</v>
      </c>
      <c r="U178" t="e">
        <f>AND('UP133'!AL141,"AAAAAH/f1RQ=")</f>
        <v>#VALUE!</v>
      </c>
      <c r="V178" t="e">
        <f>AND('UP133'!AM141,"AAAAAH/f1RU=")</f>
        <v>#VALUE!</v>
      </c>
      <c r="W178" t="e">
        <f>AND('UP133'!AN141,"AAAAAH/f1RY=")</f>
        <v>#VALUE!</v>
      </c>
      <c r="X178" t="e">
        <f>AND('UP133'!AO141,"AAAAAH/f1Rc=")</f>
        <v>#VALUE!</v>
      </c>
      <c r="Y178" t="e">
        <f>AND('UP133'!AP141,"AAAAAH/f1Rg=")</f>
        <v>#VALUE!</v>
      </c>
      <c r="Z178" t="e">
        <f>AND('UP133'!AQ141,"AAAAAH/f1Rk=")</f>
        <v>#VALUE!</v>
      </c>
      <c r="AA178" t="e">
        <f>AND('UP133'!AR141,"AAAAAH/f1Ro=")</f>
        <v>#VALUE!</v>
      </c>
      <c r="AB178" t="e">
        <f>AND('UP133'!AS141,"AAAAAH/f1Rs=")</f>
        <v>#VALUE!</v>
      </c>
      <c r="AC178" t="e">
        <f>AND('UP133'!AT141,"AAAAAH/f1Rw=")</f>
        <v>#VALUE!</v>
      </c>
      <c r="AD178" t="e">
        <f>AND('UP133'!AU141,"AAAAAH/f1R0=")</f>
        <v>#VALUE!</v>
      </c>
      <c r="AE178" t="e">
        <f>AND('UP133'!AV141,"AAAAAH/f1R4=")</f>
        <v>#VALUE!</v>
      </c>
      <c r="AF178" t="e">
        <f>AND('UP133'!AW141,"AAAAAH/f1R8=")</f>
        <v>#VALUE!</v>
      </c>
      <c r="AG178" t="e">
        <f>AND('UP133'!AX141,"AAAAAH/f1SA=")</f>
        <v>#VALUE!</v>
      </c>
      <c r="AH178" t="e">
        <f>AND('UP133'!AY141,"AAAAAH/f1SE=")</f>
        <v>#VALUE!</v>
      </c>
      <c r="AI178" t="e">
        <f>AND('UP133'!AZ141,"AAAAAH/f1SI=")</f>
        <v>#VALUE!</v>
      </c>
      <c r="AJ178" t="e">
        <f>AND('UP133'!BA141,"AAAAAH/f1SM=")</f>
        <v>#VALUE!</v>
      </c>
      <c r="AK178" t="e">
        <f>AND('UP133'!BB141,"AAAAAH/f1SQ=")</f>
        <v>#VALUE!</v>
      </c>
      <c r="AL178" t="e">
        <f>AND('UP133'!BC141,"AAAAAH/f1SU=")</f>
        <v>#VALUE!</v>
      </c>
      <c r="AM178" t="e">
        <f>AND('UP133'!BD141,"AAAAAH/f1SY=")</f>
        <v>#VALUE!</v>
      </c>
      <c r="AN178" t="e">
        <f>AND('UP133'!BE141,"AAAAAH/f1Sc=")</f>
        <v>#VALUE!</v>
      </c>
      <c r="AO178" t="e">
        <f>AND('UP133'!BF141,"AAAAAH/f1Sg=")</f>
        <v>#VALUE!</v>
      </c>
      <c r="AP178" t="e">
        <f>AND('UP133'!BG141,"AAAAAH/f1Sk=")</f>
        <v>#VALUE!</v>
      </c>
      <c r="AQ178" t="e">
        <f>AND('UP133'!BH141,"AAAAAH/f1So=")</f>
        <v>#VALUE!</v>
      </c>
      <c r="AR178" t="e">
        <f>AND('UP133'!BI141,"AAAAAH/f1Ss=")</f>
        <v>#VALUE!</v>
      </c>
      <c r="AS178" t="e">
        <f>AND('UP133'!BJ141,"AAAAAH/f1Sw=")</f>
        <v>#VALUE!</v>
      </c>
      <c r="AT178" t="e">
        <f>AND('UP133'!BK141,"AAAAAH/f1S0=")</f>
        <v>#VALUE!</v>
      </c>
      <c r="AU178" t="e">
        <f>AND('UP133'!BL141,"AAAAAH/f1S4=")</f>
        <v>#VALUE!</v>
      </c>
      <c r="AV178" t="e">
        <f>AND('UP133'!BM141,"AAAAAH/f1S8=")</f>
        <v>#VALUE!</v>
      </c>
      <c r="AW178" t="e">
        <f>AND('UP133'!BN141,"AAAAAH/f1TA=")</f>
        <v>#VALUE!</v>
      </c>
      <c r="AX178" t="e">
        <f>AND('UP133'!BO141,"AAAAAH/f1TE=")</f>
        <v>#VALUE!</v>
      </c>
      <c r="AY178" t="e">
        <f>AND('UP133'!BP141,"AAAAAH/f1TI=")</f>
        <v>#VALUE!</v>
      </c>
      <c r="AZ178" t="e">
        <f>AND('UP133'!BQ141,"AAAAAH/f1TM=")</f>
        <v>#VALUE!</v>
      </c>
      <c r="BA178" t="e">
        <f>AND('UP133'!BR141,"AAAAAH/f1TQ=")</f>
        <v>#VALUE!</v>
      </c>
      <c r="BB178" t="e">
        <f>AND('UP133'!BS141,"AAAAAH/f1TU=")</f>
        <v>#VALUE!</v>
      </c>
      <c r="BC178" t="e">
        <f>AND('UP133'!BT141,"AAAAAH/f1TY=")</f>
        <v>#VALUE!</v>
      </c>
      <c r="BD178" t="e">
        <f>AND('UP133'!BU141,"AAAAAH/f1Tc=")</f>
        <v>#VALUE!</v>
      </c>
      <c r="BE178" t="e">
        <f>AND('UP133'!BV141,"AAAAAH/f1Tg=")</f>
        <v>#VALUE!</v>
      </c>
      <c r="BF178" t="e">
        <f>AND('UP133'!BW141,"AAAAAH/f1Tk=")</f>
        <v>#VALUE!</v>
      </c>
      <c r="BG178" t="e">
        <f>AND('UP133'!BX141,"AAAAAH/f1To=")</f>
        <v>#VALUE!</v>
      </c>
      <c r="BH178" t="e">
        <f>AND('UP133'!BY141,"AAAAAH/f1Ts=")</f>
        <v>#VALUE!</v>
      </c>
      <c r="BI178" t="e">
        <f>AND('UP133'!BZ141,"AAAAAH/f1Tw=")</f>
        <v>#VALUE!</v>
      </c>
      <c r="BJ178" t="e">
        <f>AND('UP133'!CA141,"AAAAAH/f1T0=")</f>
        <v>#VALUE!</v>
      </c>
      <c r="BK178" t="e">
        <f>AND('UP133'!CB141,"AAAAAH/f1T4=")</f>
        <v>#VALUE!</v>
      </c>
      <c r="BL178" t="e">
        <f>AND('UP133'!CC141,"AAAAAH/f1T8=")</f>
        <v>#VALUE!</v>
      </c>
      <c r="BM178" t="e">
        <f>AND('UP133'!CD141,"AAAAAH/f1UA=")</f>
        <v>#VALUE!</v>
      </c>
      <c r="BN178" t="e">
        <f>AND('UP133'!CE141,"AAAAAH/f1UE=")</f>
        <v>#VALUE!</v>
      </c>
      <c r="BO178" t="e">
        <f>AND('UP133'!CF141,"AAAAAH/f1UI=")</f>
        <v>#VALUE!</v>
      </c>
      <c r="BP178" t="e">
        <f>AND('UP133'!CG141,"AAAAAH/f1UM=")</f>
        <v>#VALUE!</v>
      </c>
      <c r="BQ178" t="e">
        <f>AND('UP133'!CH141,"AAAAAH/f1UQ=")</f>
        <v>#VALUE!</v>
      </c>
      <c r="BR178" t="e">
        <f>AND('UP133'!CI141,"AAAAAH/f1UU=")</f>
        <v>#VALUE!</v>
      </c>
      <c r="BS178" t="e">
        <f>AND('UP133'!CJ141,"AAAAAH/f1UY=")</f>
        <v>#VALUE!</v>
      </c>
      <c r="BT178" t="e">
        <f>AND('UP133'!CK141,"AAAAAH/f1Uc=")</f>
        <v>#VALUE!</v>
      </c>
      <c r="BU178" t="e">
        <f>AND('UP133'!CL141,"AAAAAH/f1Ug=")</f>
        <v>#VALUE!</v>
      </c>
      <c r="BV178" t="e">
        <f>AND('UP133'!CM141,"AAAAAH/f1Uk=")</f>
        <v>#VALUE!</v>
      </c>
      <c r="BW178" t="e">
        <f>AND('UP133'!CN141,"AAAAAH/f1Uo=")</f>
        <v>#VALUE!</v>
      </c>
      <c r="BX178" t="e">
        <f>AND('UP133'!CO141,"AAAAAH/f1Us=")</f>
        <v>#VALUE!</v>
      </c>
      <c r="BY178" t="e">
        <f>AND('UP133'!CP141,"AAAAAH/f1Uw=")</f>
        <v>#VALUE!</v>
      </c>
      <c r="BZ178" t="e">
        <f>AND('UP133'!CQ141,"AAAAAH/f1U0=")</f>
        <v>#VALUE!</v>
      </c>
      <c r="CA178" t="e">
        <f>AND('UP133'!CR141,"AAAAAH/f1U4=")</f>
        <v>#VALUE!</v>
      </c>
      <c r="CB178" t="e">
        <f>AND('UP133'!CS141,"AAAAAH/f1U8=")</f>
        <v>#VALUE!</v>
      </c>
      <c r="CC178" t="e">
        <f>AND('UP133'!CT141,"AAAAAH/f1VA=")</f>
        <v>#VALUE!</v>
      </c>
      <c r="CD178" t="e">
        <f>AND('UP133'!CU141,"AAAAAH/f1VE=")</f>
        <v>#VALUE!</v>
      </c>
      <c r="CE178" t="e">
        <f>AND('UP133'!CV141,"AAAAAH/f1VI=")</f>
        <v>#VALUE!</v>
      </c>
      <c r="CF178" t="e">
        <f>AND('UP133'!CW141,"AAAAAH/f1VM=")</f>
        <v>#VALUE!</v>
      </c>
      <c r="CG178" t="e">
        <f>AND('UP133'!CX141,"AAAAAH/f1VQ=")</f>
        <v>#VALUE!</v>
      </c>
      <c r="CH178" t="e">
        <f>AND('UP133'!CY141,"AAAAAH/f1VU=")</f>
        <v>#VALUE!</v>
      </c>
      <c r="CI178" t="e">
        <f>AND('UP133'!CZ141,"AAAAAH/f1VY=")</f>
        <v>#VALUE!</v>
      </c>
      <c r="CJ178" t="e">
        <f>AND('UP133'!DA141,"AAAAAH/f1Vc=")</f>
        <v>#VALUE!</v>
      </c>
      <c r="CK178" t="e">
        <f>AND('UP133'!DB141,"AAAAAH/f1Vg=")</f>
        <v>#VALUE!</v>
      </c>
      <c r="CL178" t="e">
        <f>AND('UP133'!DC141,"AAAAAH/f1Vk=")</f>
        <v>#VALUE!</v>
      </c>
      <c r="CM178" t="e">
        <f>AND('UP133'!DD141,"AAAAAH/f1Vo=")</f>
        <v>#VALUE!</v>
      </c>
      <c r="CN178" t="e">
        <f>AND('UP133'!DE141,"AAAAAH/f1Vs=")</f>
        <v>#VALUE!</v>
      </c>
      <c r="CO178" t="e">
        <f>AND('UP133'!DF141,"AAAAAH/f1Vw=")</f>
        <v>#VALUE!</v>
      </c>
      <c r="CP178" t="e">
        <f>AND('UP133'!DG141,"AAAAAH/f1V0=")</f>
        <v>#VALUE!</v>
      </c>
      <c r="CQ178" t="e">
        <f>AND('UP133'!DH141,"AAAAAH/f1V4=")</f>
        <v>#VALUE!</v>
      </c>
      <c r="CR178" t="e">
        <f>AND('UP133'!DI141,"AAAAAH/f1V8=")</f>
        <v>#VALUE!</v>
      </c>
      <c r="CS178" t="e">
        <f>AND('UP133'!DJ141,"AAAAAH/f1WA=")</f>
        <v>#VALUE!</v>
      </c>
      <c r="CT178" t="e">
        <f>AND('UP133'!DK141,"AAAAAH/f1WE=")</f>
        <v>#VALUE!</v>
      </c>
      <c r="CU178" t="e">
        <f>AND('UP133'!DL141,"AAAAAH/f1WI=")</f>
        <v>#VALUE!</v>
      </c>
      <c r="CV178" t="e">
        <f>AND('UP133'!DM141,"AAAAAH/f1WM=")</f>
        <v>#VALUE!</v>
      </c>
      <c r="CW178" t="e">
        <f>AND('UP133'!DN141,"AAAAAH/f1WQ=")</f>
        <v>#VALUE!</v>
      </c>
      <c r="CX178" t="e">
        <f>AND('UP133'!DO141,"AAAAAH/f1WU=")</f>
        <v>#VALUE!</v>
      </c>
      <c r="CY178" t="e">
        <f>AND('UP133'!DP141,"AAAAAH/f1WY=")</f>
        <v>#VALUE!</v>
      </c>
      <c r="CZ178" t="e">
        <f>AND('UP133'!DQ141,"AAAAAH/f1Wc=")</f>
        <v>#VALUE!</v>
      </c>
      <c r="DA178" t="e">
        <f>AND('UP133'!DR141,"AAAAAH/f1Wg=")</f>
        <v>#VALUE!</v>
      </c>
      <c r="DB178" t="e">
        <f>AND('UP133'!DS141,"AAAAAH/f1Wk=")</f>
        <v>#VALUE!</v>
      </c>
      <c r="DC178" t="e">
        <f>AND('UP133'!DT141,"AAAAAH/f1Wo=")</f>
        <v>#VALUE!</v>
      </c>
      <c r="DD178" t="e">
        <f>AND('UP133'!DU141,"AAAAAH/f1Ws=")</f>
        <v>#VALUE!</v>
      </c>
      <c r="DE178" t="e">
        <f>AND('UP133'!DV141,"AAAAAH/f1Ww=")</f>
        <v>#VALUE!</v>
      </c>
      <c r="DF178" t="e">
        <f>AND('UP133'!DW141,"AAAAAH/f1W0=")</f>
        <v>#VALUE!</v>
      </c>
      <c r="DG178" t="e">
        <f>AND('UP133'!DX141,"AAAAAH/f1W4=")</f>
        <v>#VALUE!</v>
      </c>
      <c r="DH178" t="e">
        <f>AND('UP133'!DY141,"AAAAAH/f1W8=")</f>
        <v>#VALUE!</v>
      </c>
      <c r="DI178" t="e">
        <f>AND('UP133'!DZ141,"AAAAAH/f1XA=")</f>
        <v>#VALUE!</v>
      </c>
      <c r="DJ178" t="e">
        <f>AND('UP133'!EA141,"AAAAAH/f1XE=")</f>
        <v>#VALUE!</v>
      </c>
      <c r="DK178" t="e">
        <f>AND('UP133'!EB141,"AAAAAH/f1XI=")</f>
        <v>#VALUE!</v>
      </c>
      <c r="DL178" t="e">
        <f>AND('UP133'!EC141,"AAAAAH/f1XM=")</f>
        <v>#VALUE!</v>
      </c>
      <c r="DM178" t="e">
        <f>AND('UP133'!ED141,"AAAAAH/f1XQ=")</f>
        <v>#VALUE!</v>
      </c>
      <c r="DN178" t="e">
        <f>AND('UP133'!EE141,"AAAAAH/f1XU=")</f>
        <v>#VALUE!</v>
      </c>
      <c r="DO178" t="e">
        <f>AND('UP133'!EF141,"AAAAAH/f1XY=")</f>
        <v>#VALUE!</v>
      </c>
      <c r="DP178" t="e">
        <f>AND('UP133'!EG141,"AAAAAH/f1Xc=")</f>
        <v>#VALUE!</v>
      </c>
      <c r="DQ178" t="e">
        <f>AND('UP133'!EH141,"AAAAAH/f1Xg=")</f>
        <v>#VALUE!</v>
      </c>
      <c r="DR178" t="e">
        <f>AND('UP133'!EI141,"AAAAAH/f1Xk=")</f>
        <v>#VALUE!</v>
      </c>
      <c r="DS178" t="e">
        <f>AND('UP133'!EJ141,"AAAAAH/f1Xo=")</f>
        <v>#VALUE!</v>
      </c>
      <c r="DT178" t="e">
        <f>AND('UP133'!EK141,"AAAAAH/f1Xs=")</f>
        <v>#VALUE!</v>
      </c>
      <c r="DU178" t="e">
        <f>AND('UP133'!EL141,"AAAAAH/f1Xw=")</f>
        <v>#VALUE!</v>
      </c>
      <c r="DV178" t="e">
        <f>AND('UP133'!EM141,"AAAAAH/f1X0=")</f>
        <v>#VALUE!</v>
      </c>
      <c r="DW178" t="e">
        <f>AND('UP133'!EN141,"AAAAAH/f1X4=")</f>
        <v>#VALUE!</v>
      </c>
      <c r="DX178" t="e">
        <f>AND('UP133'!EO141,"AAAAAH/f1X8=")</f>
        <v>#VALUE!</v>
      </c>
      <c r="DY178" t="e">
        <f>AND('UP133'!EP141,"AAAAAH/f1YA=")</f>
        <v>#VALUE!</v>
      </c>
      <c r="DZ178" t="e">
        <f>AND('UP133'!EQ141,"AAAAAH/f1YE=")</f>
        <v>#VALUE!</v>
      </c>
      <c r="EA178" t="e">
        <f>AND('UP133'!ER141,"AAAAAH/f1YI=")</f>
        <v>#VALUE!</v>
      </c>
      <c r="EB178" t="e">
        <f>AND('UP133'!ES141,"AAAAAH/f1YM=")</f>
        <v>#VALUE!</v>
      </c>
      <c r="EC178" t="e">
        <f>AND('UP133'!ET141,"AAAAAH/f1YQ=")</f>
        <v>#VALUE!</v>
      </c>
      <c r="ED178" t="e">
        <f>AND('UP133'!EU141,"AAAAAH/f1YU=")</f>
        <v>#VALUE!</v>
      </c>
      <c r="EE178" t="e">
        <f>AND('UP133'!EV141,"AAAAAH/f1YY=")</f>
        <v>#VALUE!</v>
      </c>
      <c r="EF178" t="e">
        <f>AND('UP133'!EW141,"AAAAAH/f1Yc=")</f>
        <v>#VALUE!</v>
      </c>
      <c r="EG178" t="e">
        <f>AND('UP133'!EX141,"AAAAAH/f1Yg=")</f>
        <v>#VALUE!</v>
      </c>
      <c r="EH178" t="e">
        <f>AND('UP133'!EY141,"AAAAAH/f1Yk=")</f>
        <v>#VALUE!</v>
      </c>
      <c r="EI178" t="e">
        <f>AND('UP133'!EZ141,"AAAAAH/f1Yo=")</f>
        <v>#VALUE!</v>
      </c>
      <c r="EJ178" t="e">
        <f>AND('UP133'!FA141,"AAAAAH/f1Ys=")</f>
        <v>#VALUE!</v>
      </c>
      <c r="EK178" t="e">
        <f>AND('UP133'!FB141,"AAAAAH/f1Yw=")</f>
        <v>#VALUE!</v>
      </c>
      <c r="EL178" t="e">
        <f>AND('UP133'!FC141,"AAAAAH/f1Y0=")</f>
        <v>#VALUE!</v>
      </c>
      <c r="EM178" t="e">
        <f>AND('UP133'!FD141,"AAAAAH/f1Y4=")</f>
        <v>#VALUE!</v>
      </c>
      <c r="EN178" t="e">
        <f>AND('UP133'!FE141,"AAAAAH/f1Y8=")</f>
        <v>#VALUE!</v>
      </c>
      <c r="EO178" t="e">
        <f>AND('UP133'!FF141,"AAAAAH/f1ZA=")</f>
        <v>#VALUE!</v>
      </c>
      <c r="EP178" t="e">
        <f>AND('UP133'!FG141,"AAAAAH/f1ZE=")</f>
        <v>#VALUE!</v>
      </c>
      <c r="EQ178" t="e">
        <f>AND('UP133'!FH141,"AAAAAH/f1ZI=")</f>
        <v>#VALUE!</v>
      </c>
      <c r="ER178" t="e">
        <f>AND('UP133'!FI141,"AAAAAH/f1ZM=")</f>
        <v>#VALUE!</v>
      </c>
      <c r="ES178" t="e">
        <f>AND('UP133'!FJ141,"AAAAAH/f1ZQ=")</f>
        <v>#VALUE!</v>
      </c>
      <c r="ET178" t="e">
        <f>AND('UP133'!FK141,"AAAAAH/f1ZU=")</f>
        <v>#VALUE!</v>
      </c>
      <c r="EU178" t="e">
        <f>AND('UP133'!FL141,"AAAAAH/f1ZY=")</f>
        <v>#VALUE!</v>
      </c>
      <c r="EV178" t="e">
        <f>AND('UP133'!FM141,"AAAAAH/f1Zc=")</f>
        <v>#VALUE!</v>
      </c>
      <c r="EW178" t="e">
        <f>AND('UP133'!FN141,"AAAAAH/f1Zg=")</f>
        <v>#VALUE!</v>
      </c>
      <c r="EX178" t="e">
        <f>AND('UP133'!FO141,"AAAAAH/f1Zk=")</f>
        <v>#VALUE!</v>
      </c>
      <c r="EY178" t="e">
        <f>AND('UP133'!FP141,"AAAAAH/f1Zo=")</f>
        <v>#VALUE!</v>
      </c>
      <c r="EZ178" t="e">
        <f>AND('UP133'!FQ141,"AAAAAH/f1Zs=")</f>
        <v>#VALUE!</v>
      </c>
      <c r="FA178" t="e">
        <f>AND('UP133'!FR141,"AAAAAH/f1Zw=")</f>
        <v>#VALUE!</v>
      </c>
      <c r="FB178" t="e">
        <f>AND('UP133'!FS141,"AAAAAH/f1Z0=")</f>
        <v>#VALUE!</v>
      </c>
      <c r="FC178" t="e">
        <f>AND('UP133'!FT141,"AAAAAH/f1Z4=")</f>
        <v>#VALUE!</v>
      </c>
      <c r="FD178" t="e">
        <f>AND('UP133'!FU141,"AAAAAH/f1Z8=")</f>
        <v>#VALUE!</v>
      </c>
      <c r="FE178" t="e">
        <f>AND('UP133'!FV141,"AAAAAH/f1aA=")</f>
        <v>#VALUE!</v>
      </c>
      <c r="FF178" t="e">
        <f>AND('UP133'!FW141,"AAAAAH/f1aE=")</f>
        <v>#VALUE!</v>
      </c>
      <c r="FG178" t="e">
        <f>AND('UP133'!FX141,"AAAAAH/f1aI=")</f>
        <v>#VALUE!</v>
      </c>
      <c r="FH178" t="e">
        <f>AND('UP133'!FY141,"AAAAAH/f1aM=")</f>
        <v>#VALUE!</v>
      </c>
      <c r="FI178" t="e">
        <f>AND('UP133'!FZ141,"AAAAAH/f1aQ=")</f>
        <v>#VALUE!</v>
      </c>
      <c r="FJ178" t="e">
        <f>AND('UP133'!GA141,"AAAAAH/f1aU=")</f>
        <v>#VALUE!</v>
      </c>
      <c r="FK178" t="e">
        <f>AND('UP133'!GB141,"AAAAAH/f1aY=")</f>
        <v>#VALUE!</v>
      </c>
      <c r="FL178" t="e">
        <f>AND('UP133'!GC141,"AAAAAH/f1ac=")</f>
        <v>#VALUE!</v>
      </c>
      <c r="FM178" t="e">
        <f>AND('UP133'!GD141,"AAAAAH/f1ag=")</f>
        <v>#VALUE!</v>
      </c>
      <c r="FN178" t="e">
        <f>AND('UP133'!GE141,"AAAAAH/f1ak=")</f>
        <v>#VALUE!</v>
      </c>
      <c r="FO178" t="e">
        <f>AND('UP133'!GF141,"AAAAAH/f1ao=")</f>
        <v>#VALUE!</v>
      </c>
      <c r="FP178" t="e">
        <f>AND('UP133'!GG141,"AAAAAH/f1as=")</f>
        <v>#VALUE!</v>
      </c>
      <c r="FQ178" t="e">
        <f>AND('UP133'!GH141,"AAAAAH/f1aw=")</f>
        <v>#VALUE!</v>
      </c>
      <c r="FR178" t="e">
        <f>AND('UP133'!GI141,"AAAAAH/f1a0=")</f>
        <v>#VALUE!</v>
      </c>
      <c r="FS178" t="e">
        <f>AND('UP133'!GJ141,"AAAAAH/f1a4=")</f>
        <v>#VALUE!</v>
      </c>
      <c r="FT178" t="e">
        <f>AND('UP133'!GK141,"AAAAAH/f1a8=")</f>
        <v>#VALUE!</v>
      </c>
      <c r="FU178" t="e">
        <f>AND('UP133'!GL141,"AAAAAH/f1bA=")</f>
        <v>#VALUE!</v>
      </c>
      <c r="FV178" t="e">
        <f>AND('UP133'!GM141,"AAAAAH/f1bE=")</f>
        <v>#VALUE!</v>
      </c>
      <c r="FW178" t="e">
        <f>AND('UP133'!GN141,"AAAAAH/f1bI=")</f>
        <v>#VALUE!</v>
      </c>
      <c r="FX178" t="e">
        <f>AND('UP133'!GO141,"AAAAAH/f1bM=")</f>
        <v>#VALUE!</v>
      </c>
      <c r="FY178" t="e">
        <f>AND('UP133'!GP141,"AAAAAH/f1bQ=")</f>
        <v>#VALUE!</v>
      </c>
      <c r="FZ178" t="e">
        <f>AND('UP133'!GQ141,"AAAAAH/f1bU=")</f>
        <v>#VALUE!</v>
      </c>
      <c r="GA178" t="e">
        <f>AND('UP133'!GR141,"AAAAAH/f1bY=")</f>
        <v>#VALUE!</v>
      </c>
      <c r="GB178" t="e">
        <f>AND('UP133'!GS141,"AAAAAH/f1bc=")</f>
        <v>#VALUE!</v>
      </c>
      <c r="GC178" t="e">
        <f>AND('UP133'!GT141,"AAAAAH/f1bg=")</f>
        <v>#VALUE!</v>
      </c>
      <c r="GD178" t="e">
        <f>AND('UP133'!GU141,"AAAAAH/f1bk=")</f>
        <v>#VALUE!</v>
      </c>
      <c r="GE178" t="e">
        <f>AND('UP133'!GV141,"AAAAAH/f1bo=")</f>
        <v>#VALUE!</v>
      </c>
      <c r="GF178" t="e">
        <f>AND('UP133'!GW141,"AAAAAH/f1bs=")</f>
        <v>#VALUE!</v>
      </c>
      <c r="GG178" t="e">
        <f>AND('UP133'!GX141,"AAAAAH/f1bw=")</f>
        <v>#VALUE!</v>
      </c>
      <c r="GH178" t="e">
        <f>AND('UP133'!GY141,"AAAAAH/f1b0=")</f>
        <v>#VALUE!</v>
      </c>
      <c r="GI178" t="e">
        <f>AND('UP133'!GZ141,"AAAAAH/f1b4=")</f>
        <v>#VALUE!</v>
      </c>
      <c r="GJ178" t="e">
        <f>AND('UP133'!HA141,"AAAAAH/f1b8=")</f>
        <v>#VALUE!</v>
      </c>
      <c r="GK178" t="e">
        <f>AND('UP133'!HB141,"AAAAAH/f1cA=")</f>
        <v>#VALUE!</v>
      </c>
      <c r="GL178" t="e">
        <f>AND('UP133'!HC141,"AAAAAH/f1cE=")</f>
        <v>#VALUE!</v>
      </c>
      <c r="GM178" t="e">
        <f>AND('UP133'!HD141,"AAAAAH/f1cI=")</f>
        <v>#VALUE!</v>
      </c>
      <c r="GN178" t="e">
        <f>AND('UP133'!HE141,"AAAAAH/f1cM=")</f>
        <v>#VALUE!</v>
      </c>
      <c r="GO178" t="e">
        <f>AND('UP133'!HF141,"AAAAAH/f1cQ=")</f>
        <v>#VALUE!</v>
      </c>
      <c r="GP178" t="e">
        <f>AND('UP133'!HG141,"AAAAAH/f1cU=")</f>
        <v>#VALUE!</v>
      </c>
      <c r="GQ178" t="e">
        <f>AND('UP133'!HH141,"AAAAAH/f1cY=")</f>
        <v>#VALUE!</v>
      </c>
      <c r="GR178" t="e">
        <f>AND('UP133'!HI141,"AAAAAH/f1cc=")</f>
        <v>#VALUE!</v>
      </c>
      <c r="GS178" t="e">
        <f>AND('UP133'!HJ141,"AAAAAH/f1cg=")</f>
        <v>#VALUE!</v>
      </c>
      <c r="GT178" t="e">
        <f>AND('UP133'!HK141,"AAAAAH/f1ck=")</f>
        <v>#VALUE!</v>
      </c>
      <c r="GU178" t="e">
        <f>AND('UP133'!HL141,"AAAAAH/f1co=")</f>
        <v>#VALUE!</v>
      </c>
      <c r="GV178" t="e">
        <f>AND('UP133'!HM141,"AAAAAH/f1cs=")</f>
        <v>#VALUE!</v>
      </c>
      <c r="GW178" t="e">
        <f>AND('UP133'!HN141,"AAAAAH/f1cw=")</f>
        <v>#VALUE!</v>
      </c>
      <c r="GX178" t="e">
        <f>AND('UP133'!HO141,"AAAAAH/f1c0=")</f>
        <v>#VALUE!</v>
      </c>
      <c r="GY178" t="e">
        <f>AND('UP133'!HP141,"AAAAAH/f1c4=")</f>
        <v>#VALUE!</v>
      </c>
      <c r="GZ178" t="e">
        <f>AND('UP133'!HQ141,"AAAAAH/f1c8=")</f>
        <v>#VALUE!</v>
      </c>
      <c r="HA178" t="e">
        <f>AND('UP133'!HR141,"AAAAAH/f1dA=")</f>
        <v>#VALUE!</v>
      </c>
      <c r="HB178" t="e">
        <f>AND('UP133'!HS141,"AAAAAH/f1dE=")</f>
        <v>#VALUE!</v>
      </c>
      <c r="HC178" t="e">
        <f>AND('UP133'!HT141,"AAAAAH/f1dI=")</f>
        <v>#VALUE!</v>
      </c>
      <c r="HD178" t="e">
        <f>AND('UP133'!HU141,"AAAAAH/f1dM=")</f>
        <v>#VALUE!</v>
      </c>
      <c r="HE178" t="e">
        <f>AND('UP133'!HV141,"AAAAAH/f1dQ=")</f>
        <v>#VALUE!</v>
      </c>
      <c r="HF178" t="e">
        <f>AND('UP133'!HW141,"AAAAAH/f1dU=")</f>
        <v>#VALUE!</v>
      </c>
      <c r="HG178" t="e">
        <f>AND('UP133'!HX141,"AAAAAH/f1dY=")</f>
        <v>#VALUE!</v>
      </c>
      <c r="HH178" t="e">
        <f>AND('UP133'!HY141,"AAAAAH/f1dc=")</f>
        <v>#VALUE!</v>
      </c>
      <c r="HI178" t="e">
        <f>AND('UP133'!HZ141,"AAAAAH/f1dg=")</f>
        <v>#VALUE!</v>
      </c>
      <c r="HJ178" t="e">
        <f>AND('UP133'!IA141,"AAAAAH/f1dk=")</f>
        <v>#VALUE!</v>
      </c>
      <c r="HK178" t="e">
        <f>AND('UP133'!IB141,"AAAAAH/f1do=")</f>
        <v>#VALUE!</v>
      </c>
      <c r="HL178" t="e">
        <f>AND('UP133'!IC141,"AAAAAH/f1ds=")</f>
        <v>#VALUE!</v>
      </c>
      <c r="HM178" t="e">
        <f>AND('UP133'!ID141,"AAAAAH/f1dw=")</f>
        <v>#VALUE!</v>
      </c>
      <c r="HN178" t="e">
        <f>AND('UP133'!IE141,"AAAAAH/f1d0=")</f>
        <v>#VALUE!</v>
      </c>
      <c r="HO178" t="e">
        <f>AND('UP133'!IF141,"AAAAAH/f1d4=")</f>
        <v>#VALUE!</v>
      </c>
      <c r="HP178" t="e">
        <f>AND('UP133'!IG141,"AAAAAH/f1d8=")</f>
        <v>#VALUE!</v>
      </c>
      <c r="HQ178" t="e">
        <f>AND('UP133'!IH141,"AAAAAH/f1eA=")</f>
        <v>#VALUE!</v>
      </c>
      <c r="HR178" t="e">
        <f>AND('UP133'!II141,"AAAAAH/f1eE=")</f>
        <v>#VALUE!</v>
      </c>
      <c r="HS178" t="e">
        <f>AND('UP133'!IJ141,"AAAAAH/f1eI=")</f>
        <v>#VALUE!</v>
      </c>
      <c r="HT178" t="e">
        <f>AND('UP133'!IK141,"AAAAAH/f1eM=")</f>
        <v>#VALUE!</v>
      </c>
      <c r="HU178" t="e">
        <f>AND('UP133'!IL141,"AAAAAH/f1eQ=")</f>
        <v>#VALUE!</v>
      </c>
      <c r="HV178" t="e">
        <f>AND('UP133'!IM141,"AAAAAH/f1eU=")</f>
        <v>#VALUE!</v>
      </c>
      <c r="HW178" t="e">
        <f>AND('UP133'!IN141,"AAAAAH/f1eY=")</f>
        <v>#VALUE!</v>
      </c>
      <c r="HX178" t="e">
        <f>AND('UP133'!IO141,"AAAAAH/f1ec=")</f>
        <v>#VALUE!</v>
      </c>
      <c r="HY178" t="e">
        <f>AND('UP133'!IP141,"AAAAAH/f1eg=")</f>
        <v>#VALUE!</v>
      </c>
      <c r="HZ178" t="e">
        <f>AND('UP133'!IQ141,"AAAAAH/f1ek=")</f>
        <v>#VALUE!</v>
      </c>
      <c r="IA178">
        <f>IF('UP133'!142:142,"AAAAAH/f1eo=",0)</f>
        <v>0</v>
      </c>
      <c r="IB178" t="e">
        <f>AND('UP133'!A142,"AAAAAH/f1es=")</f>
        <v>#VALUE!</v>
      </c>
      <c r="IC178" t="e">
        <f>AND('UP133'!B142,"AAAAAH/f1ew=")</f>
        <v>#VALUE!</v>
      </c>
      <c r="ID178" t="e">
        <f>AND('UP133'!C142,"AAAAAH/f1e0=")</f>
        <v>#VALUE!</v>
      </c>
      <c r="IE178" t="e">
        <f>AND('UP133'!D142,"AAAAAH/f1e4=")</f>
        <v>#VALUE!</v>
      </c>
      <c r="IF178" t="e">
        <f>AND('UP133'!E142,"AAAAAH/f1e8=")</f>
        <v>#VALUE!</v>
      </c>
      <c r="IG178" t="e">
        <f>AND('UP133'!F142,"AAAAAH/f1fA=")</f>
        <v>#VALUE!</v>
      </c>
      <c r="IH178" t="e">
        <f>AND('UP133'!G142,"AAAAAH/f1fE=")</f>
        <v>#VALUE!</v>
      </c>
      <c r="II178" t="e">
        <f>AND('UP133'!H142,"AAAAAH/f1fI=")</f>
        <v>#VALUE!</v>
      </c>
      <c r="IJ178" t="e">
        <f>AND('UP133'!I142,"AAAAAH/f1fM=")</f>
        <v>#VALUE!</v>
      </c>
      <c r="IK178" t="e">
        <f>AND('UP133'!J142,"AAAAAH/f1fQ=")</f>
        <v>#VALUE!</v>
      </c>
      <c r="IL178" t="e">
        <f>AND('UP133'!K142,"AAAAAH/f1fU=")</f>
        <v>#VALUE!</v>
      </c>
      <c r="IM178" t="e">
        <f>AND('UP133'!L142,"AAAAAH/f1fY=")</f>
        <v>#VALUE!</v>
      </c>
      <c r="IN178" t="e">
        <f>AND('UP133'!M142,"AAAAAH/f1fc=")</f>
        <v>#VALUE!</v>
      </c>
      <c r="IO178" t="e">
        <f>AND('UP133'!N142,"AAAAAH/f1fg=")</f>
        <v>#VALUE!</v>
      </c>
      <c r="IP178" t="e">
        <f>AND('UP133'!O142,"AAAAAH/f1fk=")</f>
        <v>#VALUE!</v>
      </c>
      <c r="IQ178" t="e">
        <f>AND('UP133'!P142,"AAAAAH/f1fo=")</f>
        <v>#VALUE!</v>
      </c>
      <c r="IR178" t="e">
        <f>AND('UP133'!Q142,"AAAAAH/f1fs=")</f>
        <v>#VALUE!</v>
      </c>
      <c r="IS178" t="e">
        <f>AND('UP133'!R142,"AAAAAH/f1fw=")</f>
        <v>#VALUE!</v>
      </c>
      <c r="IT178" t="e">
        <f>AND('UP133'!S142,"AAAAAH/f1f0=")</f>
        <v>#VALUE!</v>
      </c>
      <c r="IU178" t="e">
        <f>AND('UP133'!T142,"AAAAAH/f1f4=")</f>
        <v>#VALUE!</v>
      </c>
      <c r="IV178" t="e">
        <f>AND('UP133'!U142,"AAAAAH/f1f8=")</f>
        <v>#VALUE!</v>
      </c>
    </row>
    <row r="179" spans="1:256">
      <c r="A179" t="e">
        <f>AND('UP133'!V142,"AAAAAEc3/gA=")</f>
        <v>#VALUE!</v>
      </c>
      <c r="B179" t="e">
        <f>AND('UP133'!W142,"AAAAAEc3/gE=")</f>
        <v>#VALUE!</v>
      </c>
      <c r="C179" t="e">
        <f>AND('UP133'!X142,"AAAAAEc3/gI=")</f>
        <v>#VALUE!</v>
      </c>
      <c r="D179" t="e">
        <f>AND('UP133'!Y142,"AAAAAEc3/gM=")</f>
        <v>#VALUE!</v>
      </c>
      <c r="E179" t="e">
        <f>AND('UP133'!Z142,"AAAAAEc3/gQ=")</f>
        <v>#VALUE!</v>
      </c>
      <c r="F179" t="e">
        <f>AND('UP133'!AA142,"AAAAAEc3/gU=")</f>
        <v>#VALUE!</v>
      </c>
      <c r="G179" t="e">
        <f>AND('UP133'!AB142,"AAAAAEc3/gY=")</f>
        <v>#VALUE!</v>
      </c>
      <c r="H179" t="e">
        <f>AND('UP133'!AC142,"AAAAAEc3/gc=")</f>
        <v>#VALUE!</v>
      </c>
      <c r="I179" t="e">
        <f>AND('UP133'!AD142,"AAAAAEc3/gg=")</f>
        <v>#VALUE!</v>
      </c>
      <c r="J179" t="e">
        <f>AND('UP133'!AE142,"AAAAAEc3/gk=")</f>
        <v>#VALUE!</v>
      </c>
      <c r="K179" t="e">
        <f>AND('UP133'!AF142,"AAAAAEc3/go=")</f>
        <v>#VALUE!</v>
      </c>
      <c r="L179" t="e">
        <f>AND('UP133'!AG142,"AAAAAEc3/gs=")</f>
        <v>#VALUE!</v>
      </c>
      <c r="M179" t="e">
        <f>AND('UP133'!AH142,"AAAAAEc3/gw=")</f>
        <v>#VALUE!</v>
      </c>
      <c r="N179" t="e">
        <f>AND('UP133'!AI142,"AAAAAEc3/g0=")</f>
        <v>#VALUE!</v>
      </c>
      <c r="O179" t="e">
        <f>AND('UP133'!AJ142,"AAAAAEc3/g4=")</f>
        <v>#VALUE!</v>
      </c>
      <c r="P179" t="e">
        <f>AND('UP133'!AK142,"AAAAAEc3/g8=")</f>
        <v>#VALUE!</v>
      </c>
      <c r="Q179" t="e">
        <f>AND('UP133'!AL142,"AAAAAEc3/hA=")</f>
        <v>#VALUE!</v>
      </c>
      <c r="R179" t="e">
        <f>AND('UP133'!AM142,"AAAAAEc3/hE=")</f>
        <v>#VALUE!</v>
      </c>
      <c r="S179" t="e">
        <f>AND('UP133'!AN142,"AAAAAEc3/hI=")</f>
        <v>#VALUE!</v>
      </c>
      <c r="T179" t="e">
        <f>AND('UP133'!AO142,"AAAAAEc3/hM=")</f>
        <v>#VALUE!</v>
      </c>
      <c r="U179" t="e">
        <f>AND('UP133'!AP142,"AAAAAEc3/hQ=")</f>
        <v>#VALUE!</v>
      </c>
      <c r="V179" t="e">
        <f>AND('UP133'!AQ142,"AAAAAEc3/hU=")</f>
        <v>#VALUE!</v>
      </c>
      <c r="W179" t="e">
        <f>AND('UP133'!AR142,"AAAAAEc3/hY=")</f>
        <v>#VALUE!</v>
      </c>
      <c r="X179" t="e">
        <f>AND('UP133'!AS142,"AAAAAEc3/hc=")</f>
        <v>#VALUE!</v>
      </c>
      <c r="Y179" t="e">
        <f>AND('UP133'!AT142,"AAAAAEc3/hg=")</f>
        <v>#VALUE!</v>
      </c>
      <c r="Z179" t="e">
        <f>AND('UP133'!AU142,"AAAAAEc3/hk=")</f>
        <v>#VALUE!</v>
      </c>
      <c r="AA179" t="e">
        <f>AND('UP133'!AV142,"AAAAAEc3/ho=")</f>
        <v>#VALUE!</v>
      </c>
      <c r="AB179" t="e">
        <f>AND('UP133'!AW142,"AAAAAEc3/hs=")</f>
        <v>#VALUE!</v>
      </c>
      <c r="AC179" t="e">
        <f>AND('UP133'!AX142,"AAAAAEc3/hw=")</f>
        <v>#VALUE!</v>
      </c>
      <c r="AD179" t="e">
        <f>AND('UP133'!AY142,"AAAAAEc3/h0=")</f>
        <v>#VALUE!</v>
      </c>
      <c r="AE179" t="e">
        <f>AND('UP133'!AZ142,"AAAAAEc3/h4=")</f>
        <v>#VALUE!</v>
      </c>
      <c r="AF179" t="e">
        <f>AND('UP133'!BA142,"AAAAAEc3/h8=")</f>
        <v>#VALUE!</v>
      </c>
      <c r="AG179" t="e">
        <f>AND('UP133'!BB142,"AAAAAEc3/iA=")</f>
        <v>#VALUE!</v>
      </c>
      <c r="AH179" t="e">
        <f>AND('UP133'!BC142,"AAAAAEc3/iE=")</f>
        <v>#VALUE!</v>
      </c>
      <c r="AI179" t="e">
        <f>AND('UP133'!BD142,"AAAAAEc3/iI=")</f>
        <v>#VALUE!</v>
      </c>
      <c r="AJ179" t="e">
        <f>AND('UP133'!BE142,"AAAAAEc3/iM=")</f>
        <v>#VALUE!</v>
      </c>
      <c r="AK179" t="e">
        <f>AND('UP133'!BF142,"AAAAAEc3/iQ=")</f>
        <v>#VALUE!</v>
      </c>
      <c r="AL179" t="e">
        <f>AND('UP133'!BG142,"AAAAAEc3/iU=")</f>
        <v>#VALUE!</v>
      </c>
      <c r="AM179" t="e">
        <f>AND('UP133'!BH142,"AAAAAEc3/iY=")</f>
        <v>#VALUE!</v>
      </c>
      <c r="AN179" t="e">
        <f>AND('UP133'!BI142,"AAAAAEc3/ic=")</f>
        <v>#VALUE!</v>
      </c>
      <c r="AO179" t="e">
        <f>AND('UP133'!BJ142,"AAAAAEc3/ig=")</f>
        <v>#VALUE!</v>
      </c>
      <c r="AP179" t="e">
        <f>AND('UP133'!BK142,"AAAAAEc3/ik=")</f>
        <v>#VALUE!</v>
      </c>
      <c r="AQ179" t="e">
        <f>AND('UP133'!BL142,"AAAAAEc3/io=")</f>
        <v>#VALUE!</v>
      </c>
      <c r="AR179" t="e">
        <f>AND('UP133'!BM142,"AAAAAEc3/is=")</f>
        <v>#VALUE!</v>
      </c>
      <c r="AS179" t="e">
        <f>AND('UP133'!BN142,"AAAAAEc3/iw=")</f>
        <v>#VALUE!</v>
      </c>
      <c r="AT179" t="e">
        <f>AND('UP133'!BO142,"AAAAAEc3/i0=")</f>
        <v>#VALUE!</v>
      </c>
      <c r="AU179" t="e">
        <f>AND('UP133'!BP142,"AAAAAEc3/i4=")</f>
        <v>#VALUE!</v>
      </c>
      <c r="AV179" t="e">
        <f>AND('UP133'!BQ142,"AAAAAEc3/i8=")</f>
        <v>#VALUE!</v>
      </c>
      <c r="AW179" t="e">
        <f>AND('UP133'!BR142,"AAAAAEc3/jA=")</f>
        <v>#VALUE!</v>
      </c>
      <c r="AX179" t="e">
        <f>AND('UP133'!BS142,"AAAAAEc3/jE=")</f>
        <v>#VALUE!</v>
      </c>
      <c r="AY179" t="e">
        <f>AND('UP133'!BT142,"AAAAAEc3/jI=")</f>
        <v>#VALUE!</v>
      </c>
      <c r="AZ179" t="e">
        <f>AND('UP133'!BU142,"AAAAAEc3/jM=")</f>
        <v>#VALUE!</v>
      </c>
      <c r="BA179" t="e">
        <f>AND('UP133'!BV142,"AAAAAEc3/jQ=")</f>
        <v>#VALUE!</v>
      </c>
      <c r="BB179" t="e">
        <f>AND('UP133'!BW142,"AAAAAEc3/jU=")</f>
        <v>#VALUE!</v>
      </c>
      <c r="BC179" t="e">
        <f>AND('UP133'!BX142,"AAAAAEc3/jY=")</f>
        <v>#VALUE!</v>
      </c>
      <c r="BD179" t="e">
        <f>AND('UP133'!BY142,"AAAAAEc3/jc=")</f>
        <v>#VALUE!</v>
      </c>
      <c r="BE179" t="e">
        <f>AND('UP133'!BZ142,"AAAAAEc3/jg=")</f>
        <v>#VALUE!</v>
      </c>
      <c r="BF179" t="e">
        <f>AND('UP133'!CA142,"AAAAAEc3/jk=")</f>
        <v>#VALUE!</v>
      </c>
      <c r="BG179" t="e">
        <f>AND('UP133'!CB142,"AAAAAEc3/jo=")</f>
        <v>#VALUE!</v>
      </c>
      <c r="BH179" t="e">
        <f>AND('UP133'!CC142,"AAAAAEc3/js=")</f>
        <v>#VALUE!</v>
      </c>
      <c r="BI179" t="e">
        <f>AND('UP133'!CD142,"AAAAAEc3/jw=")</f>
        <v>#VALUE!</v>
      </c>
      <c r="BJ179" t="e">
        <f>AND('UP133'!CE142,"AAAAAEc3/j0=")</f>
        <v>#VALUE!</v>
      </c>
      <c r="BK179" t="e">
        <f>AND('UP133'!CF142,"AAAAAEc3/j4=")</f>
        <v>#VALUE!</v>
      </c>
      <c r="BL179" t="e">
        <f>AND('UP133'!CG142,"AAAAAEc3/j8=")</f>
        <v>#VALUE!</v>
      </c>
      <c r="BM179" t="e">
        <f>AND('UP133'!CH142,"AAAAAEc3/kA=")</f>
        <v>#VALUE!</v>
      </c>
      <c r="BN179" t="e">
        <f>AND('UP133'!CI142,"AAAAAEc3/kE=")</f>
        <v>#VALUE!</v>
      </c>
      <c r="BO179" t="e">
        <f>AND('UP133'!CJ142,"AAAAAEc3/kI=")</f>
        <v>#VALUE!</v>
      </c>
      <c r="BP179" t="e">
        <f>AND('UP133'!CK142,"AAAAAEc3/kM=")</f>
        <v>#VALUE!</v>
      </c>
      <c r="BQ179" t="e">
        <f>AND('UP133'!CL142,"AAAAAEc3/kQ=")</f>
        <v>#VALUE!</v>
      </c>
      <c r="BR179" t="e">
        <f>AND('UP133'!CM142,"AAAAAEc3/kU=")</f>
        <v>#VALUE!</v>
      </c>
      <c r="BS179" t="e">
        <f>AND('UP133'!CN142,"AAAAAEc3/kY=")</f>
        <v>#VALUE!</v>
      </c>
      <c r="BT179" t="e">
        <f>AND('UP133'!CO142,"AAAAAEc3/kc=")</f>
        <v>#VALUE!</v>
      </c>
      <c r="BU179" t="e">
        <f>AND('UP133'!CP142,"AAAAAEc3/kg=")</f>
        <v>#VALUE!</v>
      </c>
      <c r="BV179" t="e">
        <f>AND('UP133'!CQ142,"AAAAAEc3/kk=")</f>
        <v>#VALUE!</v>
      </c>
      <c r="BW179" t="e">
        <f>AND('UP133'!CR142,"AAAAAEc3/ko=")</f>
        <v>#VALUE!</v>
      </c>
      <c r="BX179" t="e">
        <f>AND('UP133'!CS142,"AAAAAEc3/ks=")</f>
        <v>#VALUE!</v>
      </c>
      <c r="BY179" t="e">
        <f>AND('UP133'!CT142,"AAAAAEc3/kw=")</f>
        <v>#VALUE!</v>
      </c>
      <c r="BZ179" t="e">
        <f>AND('UP133'!CU142,"AAAAAEc3/k0=")</f>
        <v>#VALUE!</v>
      </c>
      <c r="CA179" t="e">
        <f>AND('UP133'!CV142,"AAAAAEc3/k4=")</f>
        <v>#VALUE!</v>
      </c>
      <c r="CB179" t="e">
        <f>AND('UP133'!CW142,"AAAAAEc3/k8=")</f>
        <v>#VALUE!</v>
      </c>
      <c r="CC179" t="e">
        <f>AND('UP133'!CX142,"AAAAAEc3/lA=")</f>
        <v>#VALUE!</v>
      </c>
      <c r="CD179" t="e">
        <f>AND('UP133'!CY142,"AAAAAEc3/lE=")</f>
        <v>#VALUE!</v>
      </c>
      <c r="CE179" t="e">
        <f>AND('UP133'!CZ142,"AAAAAEc3/lI=")</f>
        <v>#VALUE!</v>
      </c>
      <c r="CF179" t="e">
        <f>AND('UP133'!DA142,"AAAAAEc3/lM=")</f>
        <v>#VALUE!</v>
      </c>
      <c r="CG179" t="e">
        <f>AND('UP133'!DB142,"AAAAAEc3/lQ=")</f>
        <v>#VALUE!</v>
      </c>
      <c r="CH179" t="e">
        <f>AND('UP133'!DC142,"AAAAAEc3/lU=")</f>
        <v>#VALUE!</v>
      </c>
      <c r="CI179" t="e">
        <f>AND('UP133'!DD142,"AAAAAEc3/lY=")</f>
        <v>#VALUE!</v>
      </c>
      <c r="CJ179" t="e">
        <f>AND('UP133'!DE142,"AAAAAEc3/lc=")</f>
        <v>#VALUE!</v>
      </c>
      <c r="CK179" t="e">
        <f>AND('UP133'!DF142,"AAAAAEc3/lg=")</f>
        <v>#VALUE!</v>
      </c>
      <c r="CL179" t="e">
        <f>AND('UP133'!DG142,"AAAAAEc3/lk=")</f>
        <v>#VALUE!</v>
      </c>
      <c r="CM179" t="e">
        <f>AND('UP133'!DH142,"AAAAAEc3/lo=")</f>
        <v>#VALUE!</v>
      </c>
      <c r="CN179" t="e">
        <f>AND('UP133'!DI142,"AAAAAEc3/ls=")</f>
        <v>#VALUE!</v>
      </c>
      <c r="CO179" t="e">
        <f>AND('UP133'!DJ142,"AAAAAEc3/lw=")</f>
        <v>#VALUE!</v>
      </c>
      <c r="CP179" t="e">
        <f>AND('UP133'!DK142,"AAAAAEc3/l0=")</f>
        <v>#VALUE!</v>
      </c>
      <c r="CQ179" t="e">
        <f>AND('UP133'!DL142,"AAAAAEc3/l4=")</f>
        <v>#VALUE!</v>
      </c>
      <c r="CR179" t="e">
        <f>AND('UP133'!DM142,"AAAAAEc3/l8=")</f>
        <v>#VALUE!</v>
      </c>
      <c r="CS179" t="e">
        <f>AND('UP133'!DN142,"AAAAAEc3/mA=")</f>
        <v>#VALUE!</v>
      </c>
      <c r="CT179" t="e">
        <f>AND('UP133'!DO142,"AAAAAEc3/mE=")</f>
        <v>#VALUE!</v>
      </c>
      <c r="CU179" t="e">
        <f>AND('UP133'!DP142,"AAAAAEc3/mI=")</f>
        <v>#VALUE!</v>
      </c>
      <c r="CV179" t="e">
        <f>AND('UP133'!DQ142,"AAAAAEc3/mM=")</f>
        <v>#VALUE!</v>
      </c>
      <c r="CW179" t="e">
        <f>AND('UP133'!DR142,"AAAAAEc3/mQ=")</f>
        <v>#VALUE!</v>
      </c>
      <c r="CX179" t="e">
        <f>AND('UP133'!DS142,"AAAAAEc3/mU=")</f>
        <v>#VALUE!</v>
      </c>
      <c r="CY179" t="e">
        <f>AND('UP133'!DT142,"AAAAAEc3/mY=")</f>
        <v>#VALUE!</v>
      </c>
      <c r="CZ179" t="e">
        <f>AND('UP133'!DU142,"AAAAAEc3/mc=")</f>
        <v>#VALUE!</v>
      </c>
      <c r="DA179" t="e">
        <f>AND('UP133'!DV142,"AAAAAEc3/mg=")</f>
        <v>#VALUE!</v>
      </c>
      <c r="DB179" t="e">
        <f>AND('UP133'!DW142,"AAAAAEc3/mk=")</f>
        <v>#VALUE!</v>
      </c>
      <c r="DC179" t="e">
        <f>AND('UP133'!DX142,"AAAAAEc3/mo=")</f>
        <v>#VALUE!</v>
      </c>
      <c r="DD179" t="e">
        <f>AND('UP133'!DY142,"AAAAAEc3/ms=")</f>
        <v>#VALUE!</v>
      </c>
      <c r="DE179" t="e">
        <f>AND('UP133'!DZ142,"AAAAAEc3/mw=")</f>
        <v>#VALUE!</v>
      </c>
      <c r="DF179" t="e">
        <f>AND('UP133'!EA142,"AAAAAEc3/m0=")</f>
        <v>#VALUE!</v>
      </c>
      <c r="DG179" t="e">
        <f>AND('UP133'!EB142,"AAAAAEc3/m4=")</f>
        <v>#VALUE!</v>
      </c>
      <c r="DH179" t="e">
        <f>AND('UP133'!EC142,"AAAAAEc3/m8=")</f>
        <v>#VALUE!</v>
      </c>
      <c r="DI179" t="e">
        <f>AND('UP133'!ED142,"AAAAAEc3/nA=")</f>
        <v>#VALUE!</v>
      </c>
      <c r="DJ179" t="e">
        <f>AND('UP133'!EE142,"AAAAAEc3/nE=")</f>
        <v>#VALUE!</v>
      </c>
      <c r="DK179" t="e">
        <f>AND('UP133'!EF142,"AAAAAEc3/nI=")</f>
        <v>#VALUE!</v>
      </c>
      <c r="DL179" t="e">
        <f>AND('UP133'!EG142,"AAAAAEc3/nM=")</f>
        <v>#VALUE!</v>
      </c>
      <c r="DM179" t="e">
        <f>AND('UP133'!EH142,"AAAAAEc3/nQ=")</f>
        <v>#VALUE!</v>
      </c>
      <c r="DN179" t="e">
        <f>AND('UP133'!EI142,"AAAAAEc3/nU=")</f>
        <v>#VALUE!</v>
      </c>
      <c r="DO179" t="e">
        <f>AND('UP133'!EJ142,"AAAAAEc3/nY=")</f>
        <v>#VALUE!</v>
      </c>
      <c r="DP179" t="e">
        <f>AND('UP133'!EK142,"AAAAAEc3/nc=")</f>
        <v>#VALUE!</v>
      </c>
      <c r="DQ179" t="e">
        <f>AND('UP133'!EL142,"AAAAAEc3/ng=")</f>
        <v>#VALUE!</v>
      </c>
      <c r="DR179" t="e">
        <f>AND('UP133'!EM142,"AAAAAEc3/nk=")</f>
        <v>#VALUE!</v>
      </c>
      <c r="DS179" t="e">
        <f>AND('UP133'!EN142,"AAAAAEc3/no=")</f>
        <v>#VALUE!</v>
      </c>
      <c r="DT179" t="e">
        <f>AND('UP133'!EO142,"AAAAAEc3/ns=")</f>
        <v>#VALUE!</v>
      </c>
      <c r="DU179" t="e">
        <f>AND('UP133'!EP142,"AAAAAEc3/nw=")</f>
        <v>#VALUE!</v>
      </c>
      <c r="DV179" t="e">
        <f>AND('UP133'!EQ142,"AAAAAEc3/n0=")</f>
        <v>#VALUE!</v>
      </c>
      <c r="DW179" t="e">
        <f>AND('UP133'!ER142,"AAAAAEc3/n4=")</f>
        <v>#VALUE!</v>
      </c>
      <c r="DX179" t="e">
        <f>AND('UP133'!ES142,"AAAAAEc3/n8=")</f>
        <v>#VALUE!</v>
      </c>
      <c r="DY179" t="e">
        <f>AND('UP133'!ET142,"AAAAAEc3/oA=")</f>
        <v>#VALUE!</v>
      </c>
      <c r="DZ179" t="e">
        <f>AND('UP133'!EU142,"AAAAAEc3/oE=")</f>
        <v>#VALUE!</v>
      </c>
      <c r="EA179" t="e">
        <f>AND('UP133'!EV142,"AAAAAEc3/oI=")</f>
        <v>#VALUE!</v>
      </c>
      <c r="EB179" t="e">
        <f>AND('UP133'!EW142,"AAAAAEc3/oM=")</f>
        <v>#VALUE!</v>
      </c>
      <c r="EC179" t="e">
        <f>AND('UP133'!EX142,"AAAAAEc3/oQ=")</f>
        <v>#VALUE!</v>
      </c>
      <c r="ED179" t="e">
        <f>AND('UP133'!EY142,"AAAAAEc3/oU=")</f>
        <v>#VALUE!</v>
      </c>
      <c r="EE179" t="e">
        <f>AND('UP133'!EZ142,"AAAAAEc3/oY=")</f>
        <v>#VALUE!</v>
      </c>
      <c r="EF179" t="e">
        <f>AND('UP133'!FA142,"AAAAAEc3/oc=")</f>
        <v>#VALUE!</v>
      </c>
      <c r="EG179" t="e">
        <f>AND('UP133'!FB142,"AAAAAEc3/og=")</f>
        <v>#VALUE!</v>
      </c>
      <c r="EH179" t="e">
        <f>AND('UP133'!FC142,"AAAAAEc3/ok=")</f>
        <v>#VALUE!</v>
      </c>
      <c r="EI179" t="e">
        <f>AND('UP133'!FD142,"AAAAAEc3/oo=")</f>
        <v>#VALUE!</v>
      </c>
      <c r="EJ179" t="e">
        <f>AND('UP133'!FE142,"AAAAAEc3/os=")</f>
        <v>#VALUE!</v>
      </c>
      <c r="EK179" t="e">
        <f>AND('UP133'!FF142,"AAAAAEc3/ow=")</f>
        <v>#VALUE!</v>
      </c>
      <c r="EL179" t="e">
        <f>AND('UP133'!FG142,"AAAAAEc3/o0=")</f>
        <v>#VALUE!</v>
      </c>
      <c r="EM179" t="e">
        <f>AND('UP133'!FH142,"AAAAAEc3/o4=")</f>
        <v>#VALUE!</v>
      </c>
      <c r="EN179" t="e">
        <f>AND('UP133'!FI142,"AAAAAEc3/o8=")</f>
        <v>#VALUE!</v>
      </c>
      <c r="EO179" t="e">
        <f>AND('UP133'!FJ142,"AAAAAEc3/pA=")</f>
        <v>#VALUE!</v>
      </c>
      <c r="EP179" t="e">
        <f>AND('UP133'!FK142,"AAAAAEc3/pE=")</f>
        <v>#VALUE!</v>
      </c>
      <c r="EQ179" t="e">
        <f>AND('UP133'!FL142,"AAAAAEc3/pI=")</f>
        <v>#VALUE!</v>
      </c>
      <c r="ER179" t="e">
        <f>AND('UP133'!FM142,"AAAAAEc3/pM=")</f>
        <v>#VALUE!</v>
      </c>
      <c r="ES179" t="e">
        <f>AND('UP133'!FN142,"AAAAAEc3/pQ=")</f>
        <v>#VALUE!</v>
      </c>
      <c r="ET179" t="e">
        <f>AND('UP133'!FO142,"AAAAAEc3/pU=")</f>
        <v>#VALUE!</v>
      </c>
      <c r="EU179" t="e">
        <f>AND('UP133'!FP142,"AAAAAEc3/pY=")</f>
        <v>#VALUE!</v>
      </c>
      <c r="EV179" t="e">
        <f>AND('UP133'!FQ142,"AAAAAEc3/pc=")</f>
        <v>#VALUE!</v>
      </c>
      <c r="EW179" t="e">
        <f>AND('UP133'!FR142,"AAAAAEc3/pg=")</f>
        <v>#VALUE!</v>
      </c>
      <c r="EX179" t="e">
        <f>AND('UP133'!FS142,"AAAAAEc3/pk=")</f>
        <v>#VALUE!</v>
      </c>
      <c r="EY179" t="e">
        <f>AND('UP133'!FT142,"AAAAAEc3/po=")</f>
        <v>#VALUE!</v>
      </c>
      <c r="EZ179" t="e">
        <f>AND('UP133'!FU142,"AAAAAEc3/ps=")</f>
        <v>#VALUE!</v>
      </c>
      <c r="FA179" t="e">
        <f>AND('UP133'!FV142,"AAAAAEc3/pw=")</f>
        <v>#VALUE!</v>
      </c>
      <c r="FB179" t="e">
        <f>AND('UP133'!FW142,"AAAAAEc3/p0=")</f>
        <v>#VALUE!</v>
      </c>
      <c r="FC179" t="e">
        <f>AND('UP133'!FX142,"AAAAAEc3/p4=")</f>
        <v>#VALUE!</v>
      </c>
      <c r="FD179" t="e">
        <f>AND('UP133'!FY142,"AAAAAEc3/p8=")</f>
        <v>#VALUE!</v>
      </c>
      <c r="FE179" t="e">
        <f>AND('UP133'!FZ142,"AAAAAEc3/qA=")</f>
        <v>#VALUE!</v>
      </c>
      <c r="FF179" t="e">
        <f>AND('UP133'!GA142,"AAAAAEc3/qE=")</f>
        <v>#VALUE!</v>
      </c>
      <c r="FG179" t="e">
        <f>AND('UP133'!GB142,"AAAAAEc3/qI=")</f>
        <v>#VALUE!</v>
      </c>
      <c r="FH179" t="e">
        <f>AND('UP133'!GC142,"AAAAAEc3/qM=")</f>
        <v>#VALUE!</v>
      </c>
      <c r="FI179" t="e">
        <f>AND('UP133'!GD142,"AAAAAEc3/qQ=")</f>
        <v>#VALUE!</v>
      </c>
      <c r="FJ179" t="e">
        <f>AND('UP133'!GE142,"AAAAAEc3/qU=")</f>
        <v>#VALUE!</v>
      </c>
      <c r="FK179" t="e">
        <f>AND('UP133'!GF142,"AAAAAEc3/qY=")</f>
        <v>#VALUE!</v>
      </c>
      <c r="FL179" t="e">
        <f>AND('UP133'!GG142,"AAAAAEc3/qc=")</f>
        <v>#VALUE!</v>
      </c>
      <c r="FM179" t="e">
        <f>AND('UP133'!GH142,"AAAAAEc3/qg=")</f>
        <v>#VALUE!</v>
      </c>
      <c r="FN179" t="e">
        <f>AND('UP133'!GI142,"AAAAAEc3/qk=")</f>
        <v>#VALUE!</v>
      </c>
      <c r="FO179" t="e">
        <f>AND('UP133'!GJ142,"AAAAAEc3/qo=")</f>
        <v>#VALUE!</v>
      </c>
      <c r="FP179" t="e">
        <f>AND('UP133'!GK142,"AAAAAEc3/qs=")</f>
        <v>#VALUE!</v>
      </c>
      <c r="FQ179" t="e">
        <f>AND('UP133'!GL142,"AAAAAEc3/qw=")</f>
        <v>#VALUE!</v>
      </c>
      <c r="FR179" t="e">
        <f>AND('UP133'!GM142,"AAAAAEc3/q0=")</f>
        <v>#VALUE!</v>
      </c>
      <c r="FS179" t="e">
        <f>AND('UP133'!GN142,"AAAAAEc3/q4=")</f>
        <v>#VALUE!</v>
      </c>
      <c r="FT179" t="e">
        <f>AND('UP133'!GO142,"AAAAAEc3/q8=")</f>
        <v>#VALUE!</v>
      </c>
      <c r="FU179" t="e">
        <f>AND('UP133'!GP142,"AAAAAEc3/rA=")</f>
        <v>#VALUE!</v>
      </c>
      <c r="FV179" t="e">
        <f>AND('UP133'!GQ142,"AAAAAEc3/rE=")</f>
        <v>#VALUE!</v>
      </c>
      <c r="FW179" t="e">
        <f>AND('UP133'!GR142,"AAAAAEc3/rI=")</f>
        <v>#VALUE!</v>
      </c>
      <c r="FX179" t="e">
        <f>AND('UP133'!GS142,"AAAAAEc3/rM=")</f>
        <v>#VALUE!</v>
      </c>
      <c r="FY179" t="e">
        <f>AND('UP133'!GT142,"AAAAAEc3/rQ=")</f>
        <v>#VALUE!</v>
      </c>
      <c r="FZ179" t="e">
        <f>AND('UP133'!GU142,"AAAAAEc3/rU=")</f>
        <v>#VALUE!</v>
      </c>
      <c r="GA179" t="e">
        <f>AND('UP133'!GV142,"AAAAAEc3/rY=")</f>
        <v>#VALUE!</v>
      </c>
      <c r="GB179" t="e">
        <f>AND('UP133'!GW142,"AAAAAEc3/rc=")</f>
        <v>#VALUE!</v>
      </c>
      <c r="GC179" t="e">
        <f>AND('UP133'!GX142,"AAAAAEc3/rg=")</f>
        <v>#VALUE!</v>
      </c>
      <c r="GD179" t="e">
        <f>AND('UP133'!GY142,"AAAAAEc3/rk=")</f>
        <v>#VALUE!</v>
      </c>
      <c r="GE179" t="e">
        <f>AND('UP133'!GZ142,"AAAAAEc3/ro=")</f>
        <v>#VALUE!</v>
      </c>
      <c r="GF179" t="e">
        <f>AND('UP133'!HA142,"AAAAAEc3/rs=")</f>
        <v>#VALUE!</v>
      </c>
      <c r="GG179" t="e">
        <f>AND('UP133'!HB142,"AAAAAEc3/rw=")</f>
        <v>#VALUE!</v>
      </c>
      <c r="GH179" t="e">
        <f>AND('UP133'!HC142,"AAAAAEc3/r0=")</f>
        <v>#VALUE!</v>
      </c>
      <c r="GI179" t="e">
        <f>AND('UP133'!HD142,"AAAAAEc3/r4=")</f>
        <v>#VALUE!</v>
      </c>
      <c r="GJ179" t="e">
        <f>AND('UP133'!HE142,"AAAAAEc3/r8=")</f>
        <v>#VALUE!</v>
      </c>
      <c r="GK179" t="e">
        <f>AND('UP133'!HF142,"AAAAAEc3/sA=")</f>
        <v>#VALUE!</v>
      </c>
      <c r="GL179" t="e">
        <f>AND('UP133'!HG142,"AAAAAEc3/sE=")</f>
        <v>#VALUE!</v>
      </c>
      <c r="GM179" t="e">
        <f>AND('UP133'!HH142,"AAAAAEc3/sI=")</f>
        <v>#VALUE!</v>
      </c>
      <c r="GN179" t="e">
        <f>AND('UP133'!HI142,"AAAAAEc3/sM=")</f>
        <v>#VALUE!</v>
      </c>
      <c r="GO179" t="e">
        <f>AND('UP133'!HJ142,"AAAAAEc3/sQ=")</f>
        <v>#VALUE!</v>
      </c>
      <c r="GP179" t="e">
        <f>AND('UP133'!HK142,"AAAAAEc3/sU=")</f>
        <v>#VALUE!</v>
      </c>
      <c r="GQ179" t="e">
        <f>AND('UP133'!HL142,"AAAAAEc3/sY=")</f>
        <v>#VALUE!</v>
      </c>
      <c r="GR179" t="e">
        <f>AND('UP133'!HM142,"AAAAAEc3/sc=")</f>
        <v>#VALUE!</v>
      </c>
      <c r="GS179" t="e">
        <f>AND('UP133'!HN142,"AAAAAEc3/sg=")</f>
        <v>#VALUE!</v>
      </c>
      <c r="GT179" t="e">
        <f>AND('UP133'!HO142,"AAAAAEc3/sk=")</f>
        <v>#VALUE!</v>
      </c>
      <c r="GU179" t="e">
        <f>AND('UP133'!HP142,"AAAAAEc3/so=")</f>
        <v>#VALUE!</v>
      </c>
      <c r="GV179" t="e">
        <f>AND('UP133'!HQ142,"AAAAAEc3/ss=")</f>
        <v>#VALUE!</v>
      </c>
      <c r="GW179" t="e">
        <f>AND('UP133'!HR142,"AAAAAEc3/sw=")</f>
        <v>#VALUE!</v>
      </c>
      <c r="GX179" t="e">
        <f>AND('UP133'!HS142,"AAAAAEc3/s0=")</f>
        <v>#VALUE!</v>
      </c>
      <c r="GY179" t="e">
        <f>AND('UP133'!HT142,"AAAAAEc3/s4=")</f>
        <v>#VALUE!</v>
      </c>
      <c r="GZ179" t="e">
        <f>AND('UP133'!HU142,"AAAAAEc3/s8=")</f>
        <v>#VALUE!</v>
      </c>
      <c r="HA179" t="e">
        <f>AND('UP133'!HV142,"AAAAAEc3/tA=")</f>
        <v>#VALUE!</v>
      </c>
      <c r="HB179" t="e">
        <f>AND('UP133'!HW142,"AAAAAEc3/tE=")</f>
        <v>#VALUE!</v>
      </c>
      <c r="HC179" t="e">
        <f>AND('UP133'!HX142,"AAAAAEc3/tI=")</f>
        <v>#VALUE!</v>
      </c>
      <c r="HD179" t="e">
        <f>AND('UP133'!HY142,"AAAAAEc3/tM=")</f>
        <v>#VALUE!</v>
      </c>
      <c r="HE179" t="e">
        <f>AND('UP133'!HZ142,"AAAAAEc3/tQ=")</f>
        <v>#VALUE!</v>
      </c>
      <c r="HF179" t="e">
        <f>AND('UP133'!IA142,"AAAAAEc3/tU=")</f>
        <v>#VALUE!</v>
      </c>
      <c r="HG179" t="e">
        <f>AND('UP133'!IB142,"AAAAAEc3/tY=")</f>
        <v>#VALUE!</v>
      </c>
      <c r="HH179" t="e">
        <f>AND('UP133'!IC142,"AAAAAEc3/tc=")</f>
        <v>#VALUE!</v>
      </c>
      <c r="HI179" t="e">
        <f>AND('UP133'!ID142,"AAAAAEc3/tg=")</f>
        <v>#VALUE!</v>
      </c>
      <c r="HJ179" t="e">
        <f>AND('UP133'!IE142,"AAAAAEc3/tk=")</f>
        <v>#VALUE!</v>
      </c>
      <c r="HK179" t="e">
        <f>AND('UP133'!IF142,"AAAAAEc3/to=")</f>
        <v>#VALUE!</v>
      </c>
      <c r="HL179" t="e">
        <f>AND('UP133'!IG142,"AAAAAEc3/ts=")</f>
        <v>#VALUE!</v>
      </c>
      <c r="HM179" t="e">
        <f>AND('UP133'!IH142,"AAAAAEc3/tw=")</f>
        <v>#VALUE!</v>
      </c>
      <c r="HN179" t="e">
        <f>AND('UP133'!II142,"AAAAAEc3/t0=")</f>
        <v>#VALUE!</v>
      </c>
      <c r="HO179" t="e">
        <f>AND('UP133'!IJ142,"AAAAAEc3/t4=")</f>
        <v>#VALUE!</v>
      </c>
      <c r="HP179" t="e">
        <f>AND('UP133'!IK142,"AAAAAEc3/t8=")</f>
        <v>#VALUE!</v>
      </c>
      <c r="HQ179" t="e">
        <f>AND('UP133'!IL142,"AAAAAEc3/uA=")</f>
        <v>#VALUE!</v>
      </c>
      <c r="HR179" t="e">
        <f>AND('UP133'!IM142,"AAAAAEc3/uE=")</f>
        <v>#VALUE!</v>
      </c>
      <c r="HS179" t="e">
        <f>AND('UP133'!IN142,"AAAAAEc3/uI=")</f>
        <v>#VALUE!</v>
      </c>
      <c r="HT179" t="e">
        <f>AND('UP133'!IO142,"AAAAAEc3/uM=")</f>
        <v>#VALUE!</v>
      </c>
      <c r="HU179" t="e">
        <f>AND('UP133'!IP142,"AAAAAEc3/uQ=")</f>
        <v>#VALUE!</v>
      </c>
      <c r="HV179" t="e">
        <f>AND('UP133'!IQ142,"AAAAAEc3/uU=")</f>
        <v>#VALUE!</v>
      </c>
      <c r="HW179">
        <f>IF('UP133'!143:143,"AAAAAEc3/uY=",0)</f>
        <v>0</v>
      </c>
      <c r="HX179" t="e">
        <f>AND('UP133'!A143,"AAAAAEc3/uc=")</f>
        <v>#VALUE!</v>
      </c>
      <c r="HY179" t="e">
        <f>AND('UP133'!B143,"AAAAAEc3/ug=")</f>
        <v>#VALUE!</v>
      </c>
      <c r="HZ179" t="e">
        <f>AND('UP133'!C143,"AAAAAEc3/uk=")</f>
        <v>#VALUE!</v>
      </c>
      <c r="IA179" t="e">
        <f>AND('UP133'!D143,"AAAAAEc3/uo=")</f>
        <v>#VALUE!</v>
      </c>
      <c r="IB179" t="e">
        <f>AND('UP133'!E143,"AAAAAEc3/us=")</f>
        <v>#VALUE!</v>
      </c>
      <c r="IC179" t="e">
        <f>AND('UP133'!F143,"AAAAAEc3/uw=")</f>
        <v>#VALUE!</v>
      </c>
      <c r="ID179" t="e">
        <f>AND('UP133'!G143,"AAAAAEc3/u0=")</f>
        <v>#VALUE!</v>
      </c>
      <c r="IE179" t="e">
        <f>AND('UP133'!H143,"AAAAAEc3/u4=")</f>
        <v>#VALUE!</v>
      </c>
      <c r="IF179" t="e">
        <f>AND('UP133'!I143,"AAAAAEc3/u8=")</f>
        <v>#VALUE!</v>
      </c>
      <c r="IG179" t="e">
        <f>AND('UP133'!J143,"AAAAAEc3/vA=")</f>
        <v>#VALUE!</v>
      </c>
      <c r="IH179" t="e">
        <f>AND('UP133'!K143,"AAAAAEc3/vE=")</f>
        <v>#VALUE!</v>
      </c>
      <c r="II179" t="e">
        <f>AND('UP133'!L143,"AAAAAEc3/vI=")</f>
        <v>#VALUE!</v>
      </c>
      <c r="IJ179" t="e">
        <f>AND('UP133'!M143,"AAAAAEc3/vM=")</f>
        <v>#VALUE!</v>
      </c>
      <c r="IK179" t="e">
        <f>AND('UP133'!N143,"AAAAAEc3/vQ=")</f>
        <v>#VALUE!</v>
      </c>
      <c r="IL179" t="e">
        <f>AND('UP133'!O143,"AAAAAEc3/vU=")</f>
        <v>#VALUE!</v>
      </c>
      <c r="IM179" t="e">
        <f>AND('UP133'!P143,"AAAAAEc3/vY=")</f>
        <v>#VALUE!</v>
      </c>
      <c r="IN179" t="e">
        <f>AND('UP133'!Q143,"AAAAAEc3/vc=")</f>
        <v>#VALUE!</v>
      </c>
      <c r="IO179" t="e">
        <f>AND('UP133'!R143,"AAAAAEc3/vg=")</f>
        <v>#VALUE!</v>
      </c>
      <c r="IP179" t="e">
        <f>AND('UP133'!S143,"AAAAAEc3/vk=")</f>
        <v>#VALUE!</v>
      </c>
      <c r="IQ179" t="e">
        <f>AND('UP133'!T143,"AAAAAEc3/vo=")</f>
        <v>#VALUE!</v>
      </c>
      <c r="IR179" t="e">
        <f>AND('UP133'!U143,"AAAAAEc3/vs=")</f>
        <v>#VALUE!</v>
      </c>
      <c r="IS179" t="e">
        <f>AND('UP133'!V143,"AAAAAEc3/vw=")</f>
        <v>#VALUE!</v>
      </c>
      <c r="IT179" t="e">
        <f>AND('UP133'!W143,"AAAAAEc3/v0=")</f>
        <v>#VALUE!</v>
      </c>
      <c r="IU179" t="e">
        <f>AND('UP133'!X143,"AAAAAEc3/v4=")</f>
        <v>#VALUE!</v>
      </c>
      <c r="IV179" t="e">
        <f>AND('UP133'!Y143,"AAAAAEc3/v8=")</f>
        <v>#VALUE!</v>
      </c>
    </row>
    <row r="180" spans="1:256">
      <c r="A180" t="e">
        <f>AND('UP133'!Z143,"AAAAAG7/4wA=")</f>
        <v>#VALUE!</v>
      </c>
      <c r="B180" t="e">
        <f>AND('UP133'!AA143,"AAAAAG7/4wE=")</f>
        <v>#VALUE!</v>
      </c>
      <c r="C180" t="e">
        <f>AND('UP133'!AB143,"AAAAAG7/4wI=")</f>
        <v>#VALUE!</v>
      </c>
      <c r="D180" t="e">
        <f>AND('UP133'!AC143,"AAAAAG7/4wM=")</f>
        <v>#VALUE!</v>
      </c>
      <c r="E180" t="e">
        <f>AND('UP133'!AD143,"AAAAAG7/4wQ=")</f>
        <v>#VALUE!</v>
      </c>
      <c r="F180" t="e">
        <f>AND('UP133'!AE143,"AAAAAG7/4wU=")</f>
        <v>#VALUE!</v>
      </c>
      <c r="G180" t="e">
        <f>AND('UP133'!AF143,"AAAAAG7/4wY=")</f>
        <v>#VALUE!</v>
      </c>
      <c r="H180" t="e">
        <f>AND('UP133'!AG143,"AAAAAG7/4wc=")</f>
        <v>#VALUE!</v>
      </c>
      <c r="I180" t="e">
        <f>AND('UP133'!AH143,"AAAAAG7/4wg=")</f>
        <v>#VALUE!</v>
      </c>
      <c r="J180" t="e">
        <f>AND('UP133'!AI143,"AAAAAG7/4wk=")</f>
        <v>#VALUE!</v>
      </c>
      <c r="K180" t="e">
        <f>AND('UP133'!AJ143,"AAAAAG7/4wo=")</f>
        <v>#VALUE!</v>
      </c>
      <c r="L180" t="e">
        <f>AND('UP133'!AK143,"AAAAAG7/4ws=")</f>
        <v>#VALUE!</v>
      </c>
      <c r="M180" t="e">
        <f>AND('UP133'!AL143,"AAAAAG7/4ww=")</f>
        <v>#VALUE!</v>
      </c>
      <c r="N180" t="e">
        <f>AND('UP133'!AM143,"AAAAAG7/4w0=")</f>
        <v>#VALUE!</v>
      </c>
      <c r="O180" t="e">
        <f>AND('UP133'!AN143,"AAAAAG7/4w4=")</f>
        <v>#VALUE!</v>
      </c>
      <c r="P180" t="e">
        <f>AND('UP133'!AO143,"AAAAAG7/4w8=")</f>
        <v>#VALUE!</v>
      </c>
      <c r="Q180" t="e">
        <f>AND('UP133'!AP143,"AAAAAG7/4xA=")</f>
        <v>#VALUE!</v>
      </c>
      <c r="R180" t="e">
        <f>AND('UP133'!AQ143,"AAAAAG7/4xE=")</f>
        <v>#VALUE!</v>
      </c>
      <c r="S180" t="e">
        <f>AND('UP133'!AR143,"AAAAAG7/4xI=")</f>
        <v>#VALUE!</v>
      </c>
      <c r="T180" t="e">
        <f>AND('UP133'!AS143,"AAAAAG7/4xM=")</f>
        <v>#VALUE!</v>
      </c>
      <c r="U180" t="e">
        <f>AND('UP133'!AT143,"AAAAAG7/4xQ=")</f>
        <v>#VALUE!</v>
      </c>
      <c r="V180" t="e">
        <f>AND('UP133'!AU143,"AAAAAG7/4xU=")</f>
        <v>#VALUE!</v>
      </c>
      <c r="W180" t="e">
        <f>AND('UP133'!AV143,"AAAAAG7/4xY=")</f>
        <v>#VALUE!</v>
      </c>
      <c r="X180" t="e">
        <f>AND('UP133'!AW143,"AAAAAG7/4xc=")</f>
        <v>#VALUE!</v>
      </c>
      <c r="Y180" t="e">
        <f>AND('UP133'!AX143,"AAAAAG7/4xg=")</f>
        <v>#VALUE!</v>
      </c>
      <c r="Z180" t="e">
        <f>AND('UP133'!AY143,"AAAAAG7/4xk=")</f>
        <v>#VALUE!</v>
      </c>
      <c r="AA180" t="e">
        <f>AND('UP133'!AZ143,"AAAAAG7/4xo=")</f>
        <v>#VALUE!</v>
      </c>
      <c r="AB180" t="e">
        <f>AND('UP133'!BA143,"AAAAAG7/4xs=")</f>
        <v>#VALUE!</v>
      </c>
      <c r="AC180" t="e">
        <f>AND('UP133'!BB143,"AAAAAG7/4xw=")</f>
        <v>#VALUE!</v>
      </c>
      <c r="AD180" t="e">
        <f>AND('UP133'!BC143,"AAAAAG7/4x0=")</f>
        <v>#VALUE!</v>
      </c>
      <c r="AE180" t="e">
        <f>AND('UP133'!BD143,"AAAAAG7/4x4=")</f>
        <v>#VALUE!</v>
      </c>
      <c r="AF180" t="e">
        <f>AND('UP133'!BE143,"AAAAAG7/4x8=")</f>
        <v>#VALUE!</v>
      </c>
      <c r="AG180" t="e">
        <f>AND('UP133'!BF143,"AAAAAG7/4yA=")</f>
        <v>#VALUE!</v>
      </c>
      <c r="AH180" t="e">
        <f>AND('UP133'!BG143,"AAAAAG7/4yE=")</f>
        <v>#VALUE!</v>
      </c>
      <c r="AI180" t="e">
        <f>AND('UP133'!BH143,"AAAAAG7/4yI=")</f>
        <v>#VALUE!</v>
      </c>
      <c r="AJ180" t="e">
        <f>AND('UP133'!BI143,"AAAAAG7/4yM=")</f>
        <v>#VALUE!</v>
      </c>
      <c r="AK180" t="e">
        <f>AND('UP133'!BJ143,"AAAAAG7/4yQ=")</f>
        <v>#VALUE!</v>
      </c>
      <c r="AL180" t="e">
        <f>AND('UP133'!BK143,"AAAAAG7/4yU=")</f>
        <v>#VALUE!</v>
      </c>
      <c r="AM180" t="e">
        <f>AND('UP133'!BL143,"AAAAAG7/4yY=")</f>
        <v>#VALUE!</v>
      </c>
      <c r="AN180" t="e">
        <f>AND('UP133'!BM143,"AAAAAG7/4yc=")</f>
        <v>#VALUE!</v>
      </c>
      <c r="AO180" t="e">
        <f>AND('UP133'!BN143,"AAAAAG7/4yg=")</f>
        <v>#VALUE!</v>
      </c>
      <c r="AP180" t="e">
        <f>AND('UP133'!BO143,"AAAAAG7/4yk=")</f>
        <v>#VALUE!</v>
      </c>
      <c r="AQ180" t="e">
        <f>AND('UP133'!BP143,"AAAAAG7/4yo=")</f>
        <v>#VALUE!</v>
      </c>
      <c r="AR180" t="e">
        <f>AND('UP133'!BQ143,"AAAAAG7/4ys=")</f>
        <v>#VALUE!</v>
      </c>
      <c r="AS180" t="e">
        <f>AND('UP133'!BR143,"AAAAAG7/4yw=")</f>
        <v>#VALUE!</v>
      </c>
      <c r="AT180" t="e">
        <f>AND('UP133'!BS143,"AAAAAG7/4y0=")</f>
        <v>#VALUE!</v>
      </c>
      <c r="AU180" t="e">
        <f>AND('UP133'!BT143,"AAAAAG7/4y4=")</f>
        <v>#VALUE!</v>
      </c>
      <c r="AV180" t="e">
        <f>AND('UP133'!BU143,"AAAAAG7/4y8=")</f>
        <v>#VALUE!</v>
      </c>
      <c r="AW180" t="e">
        <f>AND('UP133'!BV143,"AAAAAG7/4zA=")</f>
        <v>#VALUE!</v>
      </c>
      <c r="AX180" t="e">
        <f>AND('UP133'!BW143,"AAAAAG7/4zE=")</f>
        <v>#VALUE!</v>
      </c>
      <c r="AY180" t="e">
        <f>AND('UP133'!BX143,"AAAAAG7/4zI=")</f>
        <v>#VALUE!</v>
      </c>
      <c r="AZ180" t="e">
        <f>AND('UP133'!BY143,"AAAAAG7/4zM=")</f>
        <v>#VALUE!</v>
      </c>
      <c r="BA180" t="e">
        <f>AND('UP133'!BZ143,"AAAAAG7/4zQ=")</f>
        <v>#VALUE!</v>
      </c>
      <c r="BB180" t="e">
        <f>AND('UP133'!CA143,"AAAAAG7/4zU=")</f>
        <v>#VALUE!</v>
      </c>
      <c r="BC180" t="e">
        <f>AND('UP133'!CB143,"AAAAAG7/4zY=")</f>
        <v>#VALUE!</v>
      </c>
      <c r="BD180" t="e">
        <f>AND('UP133'!CC143,"AAAAAG7/4zc=")</f>
        <v>#VALUE!</v>
      </c>
      <c r="BE180" t="e">
        <f>AND('UP133'!CD143,"AAAAAG7/4zg=")</f>
        <v>#VALUE!</v>
      </c>
      <c r="BF180" t="e">
        <f>AND('UP133'!CE143,"AAAAAG7/4zk=")</f>
        <v>#VALUE!</v>
      </c>
      <c r="BG180" t="e">
        <f>AND('UP133'!CF143,"AAAAAG7/4zo=")</f>
        <v>#VALUE!</v>
      </c>
      <c r="BH180" t="e">
        <f>AND('UP133'!CG143,"AAAAAG7/4zs=")</f>
        <v>#VALUE!</v>
      </c>
      <c r="BI180" t="e">
        <f>AND('UP133'!CH143,"AAAAAG7/4zw=")</f>
        <v>#VALUE!</v>
      </c>
      <c r="BJ180" t="e">
        <f>AND('UP133'!CI143,"AAAAAG7/4z0=")</f>
        <v>#VALUE!</v>
      </c>
      <c r="BK180" t="e">
        <f>AND('UP133'!CJ143,"AAAAAG7/4z4=")</f>
        <v>#VALUE!</v>
      </c>
      <c r="BL180" t="e">
        <f>AND('UP133'!CK143,"AAAAAG7/4z8=")</f>
        <v>#VALUE!</v>
      </c>
      <c r="BM180" t="e">
        <f>AND('UP133'!CL143,"AAAAAG7/40A=")</f>
        <v>#VALUE!</v>
      </c>
      <c r="BN180" t="e">
        <f>AND('UP133'!CM143,"AAAAAG7/40E=")</f>
        <v>#VALUE!</v>
      </c>
      <c r="BO180" t="e">
        <f>AND('UP133'!CN143,"AAAAAG7/40I=")</f>
        <v>#VALUE!</v>
      </c>
      <c r="BP180" t="e">
        <f>AND('UP133'!CO143,"AAAAAG7/40M=")</f>
        <v>#VALUE!</v>
      </c>
      <c r="BQ180" t="e">
        <f>AND('UP133'!CP143,"AAAAAG7/40Q=")</f>
        <v>#VALUE!</v>
      </c>
      <c r="BR180" t="e">
        <f>AND('UP133'!CQ143,"AAAAAG7/40U=")</f>
        <v>#VALUE!</v>
      </c>
      <c r="BS180" t="e">
        <f>AND('UP133'!CR143,"AAAAAG7/40Y=")</f>
        <v>#VALUE!</v>
      </c>
      <c r="BT180" t="e">
        <f>AND('UP133'!CS143,"AAAAAG7/40c=")</f>
        <v>#VALUE!</v>
      </c>
      <c r="BU180" t="e">
        <f>AND('UP133'!CT143,"AAAAAG7/40g=")</f>
        <v>#VALUE!</v>
      </c>
      <c r="BV180" t="e">
        <f>AND('UP133'!CU143,"AAAAAG7/40k=")</f>
        <v>#VALUE!</v>
      </c>
      <c r="BW180" t="e">
        <f>AND('UP133'!CV143,"AAAAAG7/40o=")</f>
        <v>#VALUE!</v>
      </c>
      <c r="BX180" t="e">
        <f>AND('UP133'!CW143,"AAAAAG7/40s=")</f>
        <v>#VALUE!</v>
      </c>
      <c r="BY180" t="e">
        <f>AND('UP133'!CX143,"AAAAAG7/40w=")</f>
        <v>#VALUE!</v>
      </c>
      <c r="BZ180" t="e">
        <f>AND('UP133'!CY143,"AAAAAG7/400=")</f>
        <v>#VALUE!</v>
      </c>
      <c r="CA180" t="e">
        <f>AND('UP133'!CZ143,"AAAAAG7/404=")</f>
        <v>#VALUE!</v>
      </c>
      <c r="CB180" t="e">
        <f>AND('UP133'!DA143,"AAAAAG7/408=")</f>
        <v>#VALUE!</v>
      </c>
      <c r="CC180" t="e">
        <f>AND('UP133'!DB143,"AAAAAG7/41A=")</f>
        <v>#VALUE!</v>
      </c>
      <c r="CD180" t="e">
        <f>AND('UP133'!DC143,"AAAAAG7/41E=")</f>
        <v>#VALUE!</v>
      </c>
      <c r="CE180" t="e">
        <f>AND('UP133'!DD143,"AAAAAG7/41I=")</f>
        <v>#VALUE!</v>
      </c>
      <c r="CF180" t="e">
        <f>AND('UP133'!DE143,"AAAAAG7/41M=")</f>
        <v>#VALUE!</v>
      </c>
      <c r="CG180" t="e">
        <f>AND('UP133'!DF143,"AAAAAG7/41Q=")</f>
        <v>#VALUE!</v>
      </c>
      <c r="CH180" t="e">
        <f>AND('UP133'!DG143,"AAAAAG7/41U=")</f>
        <v>#VALUE!</v>
      </c>
      <c r="CI180" t="e">
        <f>AND('UP133'!DH143,"AAAAAG7/41Y=")</f>
        <v>#VALUE!</v>
      </c>
      <c r="CJ180" t="e">
        <f>AND('UP133'!DI143,"AAAAAG7/41c=")</f>
        <v>#VALUE!</v>
      </c>
      <c r="CK180" t="e">
        <f>AND('UP133'!DJ143,"AAAAAG7/41g=")</f>
        <v>#VALUE!</v>
      </c>
      <c r="CL180" t="e">
        <f>AND('UP133'!DK143,"AAAAAG7/41k=")</f>
        <v>#VALUE!</v>
      </c>
      <c r="CM180" t="e">
        <f>AND('UP133'!DL143,"AAAAAG7/41o=")</f>
        <v>#VALUE!</v>
      </c>
      <c r="CN180" t="e">
        <f>AND('UP133'!DM143,"AAAAAG7/41s=")</f>
        <v>#VALUE!</v>
      </c>
      <c r="CO180" t="e">
        <f>AND('UP133'!DN143,"AAAAAG7/41w=")</f>
        <v>#VALUE!</v>
      </c>
      <c r="CP180" t="e">
        <f>AND('UP133'!DO143,"AAAAAG7/410=")</f>
        <v>#VALUE!</v>
      </c>
      <c r="CQ180" t="e">
        <f>AND('UP133'!DP143,"AAAAAG7/414=")</f>
        <v>#VALUE!</v>
      </c>
      <c r="CR180" t="e">
        <f>AND('UP133'!DQ143,"AAAAAG7/418=")</f>
        <v>#VALUE!</v>
      </c>
      <c r="CS180" t="e">
        <f>AND('UP133'!DR143,"AAAAAG7/42A=")</f>
        <v>#VALUE!</v>
      </c>
      <c r="CT180" t="e">
        <f>AND('UP133'!DS143,"AAAAAG7/42E=")</f>
        <v>#VALUE!</v>
      </c>
      <c r="CU180" t="e">
        <f>AND('UP133'!DT143,"AAAAAG7/42I=")</f>
        <v>#VALUE!</v>
      </c>
      <c r="CV180" t="e">
        <f>AND('UP133'!DU143,"AAAAAG7/42M=")</f>
        <v>#VALUE!</v>
      </c>
      <c r="CW180" t="e">
        <f>AND('UP133'!DV143,"AAAAAG7/42Q=")</f>
        <v>#VALUE!</v>
      </c>
      <c r="CX180" t="e">
        <f>AND('UP133'!DW143,"AAAAAG7/42U=")</f>
        <v>#VALUE!</v>
      </c>
      <c r="CY180" t="e">
        <f>AND('UP133'!DX143,"AAAAAG7/42Y=")</f>
        <v>#VALUE!</v>
      </c>
      <c r="CZ180" t="e">
        <f>AND('UP133'!DY143,"AAAAAG7/42c=")</f>
        <v>#VALUE!</v>
      </c>
      <c r="DA180" t="e">
        <f>AND('UP133'!DZ143,"AAAAAG7/42g=")</f>
        <v>#VALUE!</v>
      </c>
      <c r="DB180" t="e">
        <f>AND('UP133'!EA143,"AAAAAG7/42k=")</f>
        <v>#VALUE!</v>
      </c>
      <c r="DC180" t="e">
        <f>AND('UP133'!EB143,"AAAAAG7/42o=")</f>
        <v>#VALUE!</v>
      </c>
      <c r="DD180" t="e">
        <f>AND('UP133'!EC143,"AAAAAG7/42s=")</f>
        <v>#VALUE!</v>
      </c>
      <c r="DE180" t="e">
        <f>AND('UP133'!ED143,"AAAAAG7/42w=")</f>
        <v>#VALUE!</v>
      </c>
      <c r="DF180" t="e">
        <f>AND('UP133'!EE143,"AAAAAG7/420=")</f>
        <v>#VALUE!</v>
      </c>
      <c r="DG180" t="e">
        <f>AND('UP133'!EF143,"AAAAAG7/424=")</f>
        <v>#VALUE!</v>
      </c>
      <c r="DH180" t="e">
        <f>AND('UP133'!EG143,"AAAAAG7/428=")</f>
        <v>#VALUE!</v>
      </c>
      <c r="DI180" t="e">
        <f>AND('UP133'!EH143,"AAAAAG7/43A=")</f>
        <v>#VALUE!</v>
      </c>
      <c r="DJ180" t="e">
        <f>AND('UP133'!EI143,"AAAAAG7/43E=")</f>
        <v>#VALUE!</v>
      </c>
      <c r="DK180" t="e">
        <f>AND('UP133'!EJ143,"AAAAAG7/43I=")</f>
        <v>#VALUE!</v>
      </c>
      <c r="DL180" t="e">
        <f>AND('UP133'!EK143,"AAAAAG7/43M=")</f>
        <v>#VALUE!</v>
      </c>
      <c r="DM180" t="e">
        <f>AND('UP133'!EL143,"AAAAAG7/43Q=")</f>
        <v>#VALUE!</v>
      </c>
      <c r="DN180" t="e">
        <f>AND('UP133'!EM143,"AAAAAG7/43U=")</f>
        <v>#VALUE!</v>
      </c>
      <c r="DO180" t="e">
        <f>AND('UP133'!EN143,"AAAAAG7/43Y=")</f>
        <v>#VALUE!</v>
      </c>
      <c r="DP180" t="e">
        <f>AND('UP133'!EO143,"AAAAAG7/43c=")</f>
        <v>#VALUE!</v>
      </c>
      <c r="DQ180" t="e">
        <f>AND('UP133'!EP143,"AAAAAG7/43g=")</f>
        <v>#VALUE!</v>
      </c>
      <c r="DR180" t="e">
        <f>AND('UP133'!EQ143,"AAAAAG7/43k=")</f>
        <v>#VALUE!</v>
      </c>
      <c r="DS180" t="e">
        <f>AND('UP133'!ER143,"AAAAAG7/43o=")</f>
        <v>#VALUE!</v>
      </c>
      <c r="DT180" t="e">
        <f>AND('UP133'!ES143,"AAAAAG7/43s=")</f>
        <v>#VALUE!</v>
      </c>
      <c r="DU180" t="e">
        <f>AND('UP133'!ET143,"AAAAAG7/43w=")</f>
        <v>#VALUE!</v>
      </c>
      <c r="DV180" t="e">
        <f>AND('UP133'!EU143,"AAAAAG7/430=")</f>
        <v>#VALUE!</v>
      </c>
      <c r="DW180" t="e">
        <f>AND('UP133'!EV143,"AAAAAG7/434=")</f>
        <v>#VALUE!</v>
      </c>
      <c r="DX180" t="e">
        <f>AND('UP133'!EW143,"AAAAAG7/438=")</f>
        <v>#VALUE!</v>
      </c>
      <c r="DY180" t="e">
        <f>AND('UP133'!EX143,"AAAAAG7/44A=")</f>
        <v>#VALUE!</v>
      </c>
      <c r="DZ180" t="e">
        <f>AND('UP133'!EY143,"AAAAAG7/44E=")</f>
        <v>#VALUE!</v>
      </c>
      <c r="EA180" t="e">
        <f>AND('UP133'!EZ143,"AAAAAG7/44I=")</f>
        <v>#VALUE!</v>
      </c>
      <c r="EB180" t="e">
        <f>AND('UP133'!FA143,"AAAAAG7/44M=")</f>
        <v>#VALUE!</v>
      </c>
      <c r="EC180" t="e">
        <f>AND('UP133'!FB143,"AAAAAG7/44Q=")</f>
        <v>#VALUE!</v>
      </c>
      <c r="ED180" t="e">
        <f>AND('UP133'!FC143,"AAAAAG7/44U=")</f>
        <v>#VALUE!</v>
      </c>
      <c r="EE180" t="e">
        <f>AND('UP133'!FD143,"AAAAAG7/44Y=")</f>
        <v>#VALUE!</v>
      </c>
      <c r="EF180" t="e">
        <f>AND('UP133'!FE143,"AAAAAG7/44c=")</f>
        <v>#VALUE!</v>
      </c>
      <c r="EG180" t="e">
        <f>AND('UP133'!FF143,"AAAAAG7/44g=")</f>
        <v>#VALUE!</v>
      </c>
      <c r="EH180" t="e">
        <f>AND('UP133'!FG143,"AAAAAG7/44k=")</f>
        <v>#VALUE!</v>
      </c>
      <c r="EI180" t="e">
        <f>AND('UP133'!FH143,"AAAAAG7/44o=")</f>
        <v>#VALUE!</v>
      </c>
      <c r="EJ180" t="e">
        <f>AND('UP133'!FI143,"AAAAAG7/44s=")</f>
        <v>#VALUE!</v>
      </c>
      <c r="EK180" t="e">
        <f>AND('UP133'!FJ143,"AAAAAG7/44w=")</f>
        <v>#VALUE!</v>
      </c>
      <c r="EL180" t="e">
        <f>AND('UP133'!FK143,"AAAAAG7/440=")</f>
        <v>#VALUE!</v>
      </c>
      <c r="EM180" t="e">
        <f>AND('UP133'!FL143,"AAAAAG7/444=")</f>
        <v>#VALUE!</v>
      </c>
      <c r="EN180" t="e">
        <f>AND('UP133'!FM143,"AAAAAG7/448=")</f>
        <v>#VALUE!</v>
      </c>
      <c r="EO180" t="e">
        <f>AND('UP133'!FN143,"AAAAAG7/45A=")</f>
        <v>#VALUE!</v>
      </c>
      <c r="EP180" t="e">
        <f>AND('UP133'!FO143,"AAAAAG7/45E=")</f>
        <v>#VALUE!</v>
      </c>
      <c r="EQ180" t="e">
        <f>AND('UP133'!FP143,"AAAAAG7/45I=")</f>
        <v>#VALUE!</v>
      </c>
      <c r="ER180" t="e">
        <f>AND('UP133'!FQ143,"AAAAAG7/45M=")</f>
        <v>#VALUE!</v>
      </c>
      <c r="ES180" t="e">
        <f>AND('UP133'!FR143,"AAAAAG7/45Q=")</f>
        <v>#VALUE!</v>
      </c>
      <c r="ET180" t="e">
        <f>AND('UP133'!FS143,"AAAAAG7/45U=")</f>
        <v>#VALUE!</v>
      </c>
      <c r="EU180" t="e">
        <f>AND('UP133'!FT143,"AAAAAG7/45Y=")</f>
        <v>#VALUE!</v>
      </c>
      <c r="EV180" t="e">
        <f>AND('UP133'!FU143,"AAAAAG7/45c=")</f>
        <v>#VALUE!</v>
      </c>
      <c r="EW180" t="e">
        <f>AND('UP133'!FV143,"AAAAAG7/45g=")</f>
        <v>#VALUE!</v>
      </c>
      <c r="EX180" t="e">
        <f>AND('UP133'!FW143,"AAAAAG7/45k=")</f>
        <v>#VALUE!</v>
      </c>
      <c r="EY180" t="e">
        <f>AND('UP133'!FX143,"AAAAAG7/45o=")</f>
        <v>#VALUE!</v>
      </c>
      <c r="EZ180" t="e">
        <f>AND('UP133'!FY143,"AAAAAG7/45s=")</f>
        <v>#VALUE!</v>
      </c>
      <c r="FA180" t="e">
        <f>AND('UP133'!FZ143,"AAAAAG7/45w=")</f>
        <v>#VALUE!</v>
      </c>
      <c r="FB180" t="e">
        <f>AND('UP133'!GA143,"AAAAAG7/450=")</f>
        <v>#VALUE!</v>
      </c>
      <c r="FC180" t="e">
        <f>AND('UP133'!GB143,"AAAAAG7/454=")</f>
        <v>#VALUE!</v>
      </c>
      <c r="FD180" t="e">
        <f>AND('UP133'!GC143,"AAAAAG7/458=")</f>
        <v>#VALUE!</v>
      </c>
      <c r="FE180" t="e">
        <f>AND('UP133'!GD143,"AAAAAG7/46A=")</f>
        <v>#VALUE!</v>
      </c>
      <c r="FF180" t="e">
        <f>AND('UP133'!GE143,"AAAAAG7/46E=")</f>
        <v>#VALUE!</v>
      </c>
      <c r="FG180" t="e">
        <f>AND('UP133'!GF143,"AAAAAG7/46I=")</f>
        <v>#VALUE!</v>
      </c>
      <c r="FH180" t="e">
        <f>AND('UP133'!GG143,"AAAAAG7/46M=")</f>
        <v>#VALUE!</v>
      </c>
      <c r="FI180" t="e">
        <f>AND('UP133'!GH143,"AAAAAG7/46Q=")</f>
        <v>#VALUE!</v>
      </c>
      <c r="FJ180" t="e">
        <f>AND('UP133'!GI143,"AAAAAG7/46U=")</f>
        <v>#VALUE!</v>
      </c>
      <c r="FK180" t="e">
        <f>AND('UP133'!GJ143,"AAAAAG7/46Y=")</f>
        <v>#VALUE!</v>
      </c>
      <c r="FL180" t="e">
        <f>AND('UP133'!GK143,"AAAAAG7/46c=")</f>
        <v>#VALUE!</v>
      </c>
      <c r="FM180" t="e">
        <f>AND('UP133'!GL143,"AAAAAG7/46g=")</f>
        <v>#VALUE!</v>
      </c>
      <c r="FN180" t="e">
        <f>AND('UP133'!GM143,"AAAAAG7/46k=")</f>
        <v>#VALUE!</v>
      </c>
      <c r="FO180" t="e">
        <f>AND('UP133'!GN143,"AAAAAG7/46o=")</f>
        <v>#VALUE!</v>
      </c>
      <c r="FP180" t="e">
        <f>AND('UP133'!GO143,"AAAAAG7/46s=")</f>
        <v>#VALUE!</v>
      </c>
      <c r="FQ180" t="e">
        <f>AND('UP133'!GP143,"AAAAAG7/46w=")</f>
        <v>#VALUE!</v>
      </c>
      <c r="FR180" t="e">
        <f>AND('UP133'!GQ143,"AAAAAG7/460=")</f>
        <v>#VALUE!</v>
      </c>
      <c r="FS180" t="e">
        <f>AND('UP133'!GR143,"AAAAAG7/464=")</f>
        <v>#VALUE!</v>
      </c>
      <c r="FT180" t="e">
        <f>AND('UP133'!GS143,"AAAAAG7/468=")</f>
        <v>#VALUE!</v>
      </c>
      <c r="FU180" t="e">
        <f>AND('UP133'!GT143,"AAAAAG7/47A=")</f>
        <v>#VALUE!</v>
      </c>
      <c r="FV180" t="e">
        <f>AND('UP133'!GU143,"AAAAAG7/47E=")</f>
        <v>#VALUE!</v>
      </c>
      <c r="FW180" t="e">
        <f>AND('UP133'!GV143,"AAAAAG7/47I=")</f>
        <v>#VALUE!</v>
      </c>
      <c r="FX180" t="e">
        <f>AND('UP133'!GW143,"AAAAAG7/47M=")</f>
        <v>#VALUE!</v>
      </c>
      <c r="FY180" t="e">
        <f>AND('UP133'!GX143,"AAAAAG7/47Q=")</f>
        <v>#VALUE!</v>
      </c>
      <c r="FZ180" t="e">
        <f>AND('UP133'!GY143,"AAAAAG7/47U=")</f>
        <v>#VALUE!</v>
      </c>
      <c r="GA180" t="e">
        <f>AND('UP133'!GZ143,"AAAAAG7/47Y=")</f>
        <v>#VALUE!</v>
      </c>
      <c r="GB180" t="e">
        <f>AND('UP133'!HA143,"AAAAAG7/47c=")</f>
        <v>#VALUE!</v>
      </c>
      <c r="GC180" t="e">
        <f>AND('UP133'!HB143,"AAAAAG7/47g=")</f>
        <v>#VALUE!</v>
      </c>
      <c r="GD180" t="e">
        <f>AND('UP133'!HC143,"AAAAAG7/47k=")</f>
        <v>#VALUE!</v>
      </c>
      <c r="GE180" t="e">
        <f>AND('UP133'!HD143,"AAAAAG7/47o=")</f>
        <v>#VALUE!</v>
      </c>
      <c r="GF180" t="e">
        <f>AND('UP133'!HE143,"AAAAAG7/47s=")</f>
        <v>#VALUE!</v>
      </c>
      <c r="GG180" t="e">
        <f>AND('UP133'!HF143,"AAAAAG7/47w=")</f>
        <v>#VALUE!</v>
      </c>
      <c r="GH180" t="e">
        <f>AND('UP133'!HG143,"AAAAAG7/470=")</f>
        <v>#VALUE!</v>
      </c>
      <c r="GI180" t="e">
        <f>AND('UP133'!HH143,"AAAAAG7/474=")</f>
        <v>#VALUE!</v>
      </c>
      <c r="GJ180" t="e">
        <f>AND('UP133'!HI143,"AAAAAG7/478=")</f>
        <v>#VALUE!</v>
      </c>
      <c r="GK180" t="e">
        <f>AND('UP133'!HJ143,"AAAAAG7/48A=")</f>
        <v>#VALUE!</v>
      </c>
      <c r="GL180" t="e">
        <f>AND('UP133'!HK143,"AAAAAG7/48E=")</f>
        <v>#VALUE!</v>
      </c>
      <c r="GM180" t="e">
        <f>AND('UP133'!HL143,"AAAAAG7/48I=")</f>
        <v>#VALUE!</v>
      </c>
      <c r="GN180" t="e">
        <f>AND('UP133'!HM143,"AAAAAG7/48M=")</f>
        <v>#VALUE!</v>
      </c>
      <c r="GO180" t="e">
        <f>AND('UP133'!HN143,"AAAAAG7/48Q=")</f>
        <v>#VALUE!</v>
      </c>
      <c r="GP180" t="e">
        <f>AND('UP133'!HO143,"AAAAAG7/48U=")</f>
        <v>#VALUE!</v>
      </c>
      <c r="GQ180" t="e">
        <f>AND('UP133'!HP143,"AAAAAG7/48Y=")</f>
        <v>#VALUE!</v>
      </c>
      <c r="GR180" t="e">
        <f>AND('UP133'!HQ143,"AAAAAG7/48c=")</f>
        <v>#VALUE!</v>
      </c>
      <c r="GS180" t="e">
        <f>AND('UP133'!HR143,"AAAAAG7/48g=")</f>
        <v>#VALUE!</v>
      </c>
      <c r="GT180" t="e">
        <f>AND('UP133'!HS143,"AAAAAG7/48k=")</f>
        <v>#VALUE!</v>
      </c>
      <c r="GU180" t="e">
        <f>AND('UP133'!HT143,"AAAAAG7/48o=")</f>
        <v>#VALUE!</v>
      </c>
      <c r="GV180" t="e">
        <f>AND('UP133'!HU143,"AAAAAG7/48s=")</f>
        <v>#VALUE!</v>
      </c>
      <c r="GW180" t="e">
        <f>AND('UP133'!HV143,"AAAAAG7/48w=")</f>
        <v>#VALUE!</v>
      </c>
      <c r="GX180" t="e">
        <f>AND('UP133'!HW143,"AAAAAG7/480=")</f>
        <v>#VALUE!</v>
      </c>
      <c r="GY180" t="e">
        <f>AND('UP133'!HX143,"AAAAAG7/484=")</f>
        <v>#VALUE!</v>
      </c>
      <c r="GZ180" t="e">
        <f>AND('UP133'!HY143,"AAAAAG7/488=")</f>
        <v>#VALUE!</v>
      </c>
      <c r="HA180" t="e">
        <f>AND('UP133'!HZ143,"AAAAAG7/49A=")</f>
        <v>#VALUE!</v>
      </c>
      <c r="HB180" t="e">
        <f>AND('UP133'!IA143,"AAAAAG7/49E=")</f>
        <v>#VALUE!</v>
      </c>
      <c r="HC180" t="e">
        <f>AND('UP133'!IB143,"AAAAAG7/49I=")</f>
        <v>#VALUE!</v>
      </c>
      <c r="HD180" t="e">
        <f>AND('UP133'!IC143,"AAAAAG7/49M=")</f>
        <v>#VALUE!</v>
      </c>
      <c r="HE180" t="e">
        <f>AND('UP133'!ID143,"AAAAAG7/49Q=")</f>
        <v>#VALUE!</v>
      </c>
      <c r="HF180" t="e">
        <f>AND('UP133'!IE143,"AAAAAG7/49U=")</f>
        <v>#VALUE!</v>
      </c>
      <c r="HG180" t="e">
        <f>AND('UP133'!IF143,"AAAAAG7/49Y=")</f>
        <v>#VALUE!</v>
      </c>
      <c r="HH180" t="e">
        <f>AND('UP133'!IG143,"AAAAAG7/49c=")</f>
        <v>#VALUE!</v>
      </c>
      <c r="HI180" t="e">
        <f>AND('UP133'!IH143,"AAAAAG7/49g=")</f>
        <v>#VALUE!</v>
      </c>
      <c r="HJ180" t="e">
        <f>AND('UP133'!II143,"AAAAAG7/49k=")</f>
        <v>#VALUE!</v>
      </c>
      <c r="HK180" t="e">
        <f>AND('UP133'!IJ143,"AAAAAG7/49o=")</f>
        <v>#VALUE!</v>
      </c>
      <c r="HL180" t="e">
        <f>AND('UP133'!IK143,"AAAAAG7/49s=")</f>
        <v>#VALUE!</v>
      </c>
      <c r="HM180" t="e">
        <f>AND('UP133'!IL143,"AAAAAG7/49w=")</f>
        <v>#VALUE!</v>
      </c>
      <c r="HN180" t="e">
        <f>AND('UP133'!IM143,"AAAAAG7/490=")</f>
        <v>#VALUE!</v>
      </c>
      <c r="HO180" t="e">
        <f>AND('UP133'!IN143,"AAAAAG7/494=")</f>
        <v>#VALUE!</v>
      </c>
      <c r="HP180" t="e">
        <f>AND('UP133'!IO143,"AAAAAG7/498=")</f>
        <v>#VALUE!</v>
      </c>
      <c r="HQ180" t="e">
        <f>AND('UP133'!IP143,"AAAAAG7/4+A=")</f>
        <v>#VALUE!</v>
      </c>
      <c r="HR180" t="e">
        <f>AND('UP133'!IQ143,"AAAAAG7/4+E=")</f>
        <v>#VALUE!</v>
      </c>
      <c r="HS180">
        <f>IF('UP133'!144:144,"AAAAAG7/4+I=",0)</f>
        <v>0</v>
      </c>
      <c r="HT180" t="e">
        <f>AND('UP133'!A144,"AAAAAG7/4+M=")</f>
        <v>#VALUE!</v>
      </c>
      <c r="HU180" t="e">
        <f>AND('UP133'!B144,"AAAAAG7/4+Q=")</f>
        <v>#VALUE!</v>
      </c>
      <c r="HV180" t="e">
        <f>AND('UP133'!C144,"AAAAAG7/4+U=")</f>
        <v>#VALUE!</v>
      </c>
      <c r="HW180" t="e">
        <f>AND('UP133'!D144,"AAAAAG7/4+Y=")</f>
        <v>#VALUE!</v>
      </c>
      <c r="HX180" t="e">
        <f>AND('UP133'!E144,"AAAAAG7/4+c=")</f>
        <v>#VALUE!</v>
      </c>
      <c r="HY180" t="e">
        <f>AND('UP133'!F144,"AAAAAG7/4+g=")</f>
        <v>#VALUE!</v>
      </c>
      <c r="HZ180" t="e">
        <f>AND('UP133'!G144,"AAAAAG7/4+k=")</f>
        <v>#VALUE!</v>
      </c>
      <c r="IA180" t="e">
        <f>AND('UP133'!H144,"AAAAAG7/4+o=")</f>
        <v>#VALUE!</v>
      </c>
      <c r="IB180" t="e">
        <f>AND('UP133'!I144,"AAAAAG7/4+s=")</f>
        <v>#VALUE!</v>
      </c>
      <c r="IC180" t="e">
        <f>AND('UP133'!J144,"AAAAAG7/4+w=")</f>
        <v>#VALUE!</v>
      </c>
      <c r="ID180" t="e">
        <f>AND('UP133'!K144,"AAAAAG7/4+0=")</f>
        <v>#VALUE!</v>
      </c>
      <c r="IE180" t="e">
        <f>AND('UP133'!L144,"AAAAAG7/4+4=")</f>
        <v>#VALUE!</v>
      </c>
      <c r="IF180" t="e">
        <f>AND('UP133'!M144,"AAAAAG7/4+8=")</f>
        <v>#VALUE!</v>
      </c>
      <c r="IG180" t="e">
        <f>AND('UP133'!N144,"AAAAAG7/4/A=")</f>
        <v>#VALUE!</v>
      </c>
      <c r="IH180" t="e">
        <f>AND('UP133'!O144,"AAAAAG7/4/E=")</f>
        <v>#VALUE!</v>
      </c>
      <c r="II180" t="e">
        <f>AND('UP133'!P144,"AAAAAG7/4/I=")</f>
        <v>#VALUE!</v>
      </c>
      <c r="IJ180" t="e">
        <f>AND('UP133'!Q144,"AAAAAG7/4/M=")</f>
        <v>#VALUE!</v>
      </c>
      <c r="IK180" t="e">
        <f>AND('UP133'!R144,"AAAAAG7/4/Q=")</f>
        <v>#VALUE!</v>
      </c>
      <c r="IL180" t="e">
        <f>AND('UP133'!S144,"AAAAAG7/4/U=")</f>
        <v>#VALUE!</v>
      </c>
      <c r="IM180" t="e">
        <f>AND('UP133'!T144,"AAAAAG7/4/Y=")</f>
        <v>#VALUE!</v>
      </c>
      <c r="IN180" t="e">
        <f>AND('UP133'!U144,"AAAAAG7/4/c=")</f>
        <v>#VALUE!</v>
      </c>
      <c r="IO180" t="e">
        <f>AND('UP133'!V144,"AAAAAG7/4/g=")</f>
        <v>#VALUE!</v>
      </c>
      <c r="IP180" t="e">
        <f>AND('UP133'!W144,"AAAAAG7/4/k=")</f>
        <v>#VALUE!</v>
      </c>
      <c r="IQ180" t="e">
        <f>AND('UP133'!X144,"AAAAAG7/4/o=")</f>
        <v>#VALUE!</v>
      </c>
      <c r="IR180" t="e">
        <f>AND('UP133'!Y144,"AAAAAG7/4/s=")</f>
        <v>#VALUE!</v>
      </c>
      <c r="IS180" t="e">
        <f>AND('UP133'!Z144,"AAAAAG7/4/w=")</f>
        <v>#VALUE!</v>
      </c>
      <c r="IT180" t="e">
        <f>AND('UP133'!AA144,"AAAAAG7/4/0=")</f>
        <v>#VALUE!</v>
      </c>
      <c r="IU180" t="e">
        <f>AND('UP133'!AB144,"AAAAAG7/4/4=")</f>
        <v>#VALUE!</v>
      </c>
      <c r="IV180" t="e">
        <f>AND('UP133'!AC144,"AAAAAG7/4/8=")</f>
        <v>#VALUE!</v>
      </c>
    </row>
    <row r="181" spans="1:256">
      <c r="A181" t="e">
        <f>AND('UP133'!AD144,"AAAAAGwb/wA=")</f>
        <v>#VALUE!</v>
      </c>
      <c r="B181" t="e">
        <f>AND('UP133'!AE144,"AAAAAGwb/wE=")</f>
        <v>#VALUE!</v>
      </c>
      <c r="C181" t="e">
        <f>AND('UP133'!AF144,"AAAAAGwb/wI=")</f>
        <v>#VALUE!</v>
      </c>
      <c r="D181" t="e">
        <f>AND('UP133'!AG144,"AAAAAGwb/wM=")</f>
        <v>#VALUE!</v>
      </c>
      <c r="E181" t="e">
        <f>AND('UP133'!AH144,"AAAAAGwb/wQ=")</f>
        <v>#VALUE!</v>
      </c>
      <c r="F181" t="e">
        <f>AND('UP133'!AI144,"AAAAAGwb/wU=")</f>
        <v>#VALUE!</v>
      </c>
      <c r="G181" t="e">
        <f>AND('UP133'!AJ144,"AAAAAGwb/wY=")</f>
        <v>#VALUE!</v>
      </c>
      <c r="H181" t="e">
        <f>AND('UP133'!AK144,"AAAAAGwb/wc=")</f>
        <v>#VALUE!</v>
      </c>
      <c r="I181" t="e">
        <f>AND('UP133'!AL144,"AAAAAGwb/wg=")</f>
        <v>#VALUE!</v>
      </c>
      <c r="J181" t="e">
        <f>AND('UP133'!AM144,"AAAAAGwb/wk=")</f>
        <v>#VALUE!</v>
      </c>
      <c r="K181" t="e">
        <f>AND('UP133'!AN144,"AAAAAGwb/wo=")</f>
        <v>#VALUE!</v>
      </c>
      <c r="L181" t="e">
        <f>AND('UP133'!AO144,"AAAAAGwb/ws=")</f>
        <v>#VALUE!</v>
      </c>
      <c r="M181" t="e">
        <f>AND('UP133'!AP144,"AAAAAGwb/ww=")</f>
        <v>#VALUE!</v>
      </c>
      <c r="N181" t="e">
        <f>AND('UP133'!AQ144,"AAAAAGwb/w0=")</f>
        <v>#VALUE!</v>
      </c>
      <c r="O181" t="e">
        <f>AND('UP133'!AR144,"AAAAAGwb/w4=")</f>
        <v>#VALUE!</v>
      </c>
      <c r="P181" t="e">
        <f>AND('UP133'!AS144,"AAAAAGwb/w8=")</f>
        <v>#VALUE!</v>
      </c>
      <c r="Q181" t="e">
        <f>AND('UP133'!AT144,"AAAAAGwb/xA=")</f>
        <v>#VALUE!</v>
      </c>
      <c r="R181" t="e">
        <f>AND('UP133'!AU144,"AAAAAGwb/xE=")</f>
        <v>#VALUE!</v>
      </c>
      <c r="S181" t="e">
        <f>AND('UP133'!AV144,"AAAAAGwb/xI=")</f>
        <v>#VALUE!</v>
      </c>
      <c r="T181" t="e">
        <f>AND('UP133'!AW144,"AAAAAGwb/xM=")</f>
        <v>#VALUE!</v>
      </c>
      <c r="U181" t="e">
        <f>AND('UP133'!AX144,"AAAAAGwb/xQ=")</f>
        <v>#VALUE!</v>
      </c>
      <c r="V181" t="e">
        <f>AND('UP133'!AY144,"AAAAAGwb/xU=")</f>
        <v>#VALUE!</v>
      </c>
      <c r="W181" t="e">
        <f>AND('UP133'!AZ144,"AAAAAGwb/xY=")</f>
        <v>#VALUE!</v>
      </c>
      <c r="X181" t="e">
        <f>AND('UP133'!BA144,"AAAAAGwb/xc=")</f>
        <v>#VALUE!</v>
      </c>
      <c r="Y181" t="e">
        <f>AND('UP133'!BB144,"AAAAAGwb/xg=")</f>
        <v>#VALUE!</v>
      </c>
      <c r="Z181" t="e">
        <f>AND('UP133'!BC144,"AAAAAGwb/xk=")</f>
        <v>#VALUE!</v>
      </c>
      <c r="AA181" t="e">
        <f>AND('UP133'!BD144,"AAAAAGwb/xo=")</f>
        <v>#VALUE!</v>
      </c>
      <c r="AB181" t="e">
        <f>AND('UP133'!BE144,"AAAAAGwb/xs=")</f>
        <v>#VALUE!</v>
      </c>
      <c r="AC181" t="e">
        <f>AND('UP133'!BF144,"AAAAAGwb/xw=")</f>
        <v>#VALUE!</v>
      </c>
      <c r="AD181" t="e">
        <f>AND('UP133'!BG144,"AAAAAGwb/x0=")</f>
        <v>#VALUE!</v>
      </c>
      <c r="AE181" t="e">
        <f>AND('UP133'!BH144,"AAAAAGwb/x4=")</f>
        <v>#VALUE!</v>
      </c>
      <c r="AF181" t="e">
        <f>AND('UP133'!BI144,"AAAAAGwb/x8=")</f>
        <v>#VALUE!</v>
      </c>
      <c r="AG181" t="e">
        <f>AND('UP133'!BJ144,"AAAAAGwb/yA=")</f>
        <v>#VALUE!</v>
      </c>
      <c r="AH181" t="e">
        <f>AND('UP133'!BK144,"AAAAAGwb/yE=")</f>
        <v>#VALUE!</v>
      </c>
      <c r="AI181" t="e">
        <f>AND('UP133'!BL144,"AAAAAGwb/yI=")</f>
        <v>#VALUE!</v>
      </c>
      <c r="AJ181" t="e">
        <f>AND('UP133'!BM144,"AAAAAGwb/yM=")</f>
        <v>#VALUE!</v>
      </c>
      <c r="AK181" t="e">
        <f>AND('UP133'!BN144,"AAAAAGwb/yQ=")</f>
        <v>#VALUE!</v>
      </c>
      <c r="AL181" t="e">
        <f>AND('UP133'!BO144,"AAAAAGwb/yU=")</f>
        <v>#VALUE!</v>
      </c>
      <c r="AM181" t="e">
        <f>AND('UP133'!BP144,"AAAAAGwb/yY=")</f>
        <v>#VALUE!</v>
      </c>
      <c r="AN181" t="e">
        <f>AND('UP133'!BQ144,"AAAAAGwb/yc=")</f>
        <v>#VALUE!</v>
      </c>
      <c r="AO181" t="e">
        <f>AND('UP133'!BR144,"AAAAAGwb/yg=")</f>
        <v>#VALUE!</v>
      </c>
      <c r="AP181" t="e">
        <f>AND('UP133'!BS144,"AAAAAGwb/yk=")</f>
        <v>#VALUE!</v>
      </c>
      <c r="AQ181" t="e">
        <f>AND('UP133'!BT144,"AAAAAGwb/yo=")</f>
        <v>#VALUE!</v>
      </c>
      <c r="AR181" t="e">
        <f>AND('UP133'!BU144,"AAAAAGwb/ys=")</f>
        <v>#VALUE!</v>
      </c>
      <c r="AS181" t="e">
        <f>AND('UP133'!BV144,"AAAAAGwb/yw=")</f>
        <v>#VALUE!</v>
      </c>
      <c r="AT181" t="e">
        <f>AND('UP133'!BW144,"AAAAAGwb/y0=")</f>
        <v>#VALUE!</v>
      </c>
      <c r="AU181" t="e">
        <f>AND('UP133'!BX144,"AAAAAGwb/y4=")</f>
        <v>#VALUE!</v>
      </c>
      <c r="AV181" t="e">
        <f>AND('UP133'!BY144,"AAAAAGwb/y8=")</f>
        <v>#VALUE!</v>
      </c>
      <c r="AW181" t="e">
        <f>AND('UP133'!BZ144,"AAAAAGwb/zA=")</f>
        <v>#VALUE!</v>
      </c>
      <c r="AX181" t="e">
        <f>AND('UP133'!CA144,"AAAAAGwb/zE=")</f>
        <v>#VALUE!</v>
      </c>
      <c r="AY181" t="e">
        <f>AND('UP133'!CB144,"AAAAAGwb/zI=")</f>
        <v>#VALUE!</v>
      </c>
      <c r="AZ181" t="e">
        <f>AND('UP133'!CC144,"AAAAAGwb/zM=")</f>
        <v>#VALUE!</v>
      </c>
      <c r="BA181" t="e">
        <f>AND('UP133'!CD144,"AAAAAGwb/zQ=")</f>
        <v>#VALUE!</v>
      </c>
      <c r="BB181" t="e">
        <f>AND('UP133'!CE144,"AAAAAGwb/zU=")</f>
        <v>#VALUE!</v>
      </c>
      <c r="BC181" t="e">
        <f>AND('UP133'!CF144,"AAAAAGwb/zY=")</f>
        <v>#VALUE!</v>
      </c>
      <c r="BD181" t="e">
        <f>AND('UP133'!CG144,"AAAAAGwb/zc=")</f>
        <v>#VALUE!</v>
      </c>
      <c r="BE181" t="e">
        <f>AND('UP133'!CH144,"AAAAAGwb/zg=")</f>
        <v>#VALUE!</v>
      </c>
      <c r="BF181" t="e">
        <f>AND('UP133'!CI144,"AAAAAGwb/zk=")</f>
        <v>#VALUE!</v>
      </c>
      <c r="BG181" t="e">
        <f>AND('UP133'!CJ144,"AAAAAGwb/zo=")</f>
        <v>#VALUE!</v>
      </c>
      <c r="BH181" t="e">
        <f>AND('UP133'!CK144,"AAAAAGwb/zs=")</f>
        <v>#VALUE!</v>
      </c>
      <c r="BI181" t="e">
        <f>AND('UP133'!CL144,"AAAAAGwb/zw=")</f>
        <v>#VALUE!</v>
      </c>
      <c r="BJ181" t="e">
        <f>AND('UP133'!CM144,"AAAAAGwb/z0=")</f>
        <v>#VALUE!</v>
      </c>
      <c r="BK181" t="e">
        <f>AND('UP133'!CN144,"AAAAAGwb/z4=")</f>
        <v>#VALUE!</v>
      </c>
      <c r="BL181" t="e">
        <f>AND('UP133'!CO144,"AAAAAGwb/z8=")</f>
        <v>#VALUE!</v>
      </c>
      <c r="BM181" t="e">
        <f>AND('UP133'!CP144,"AAAAAGwb/0A=")</f>
        <v>#VALUE!</v>
      </c>
      <c r="BN181" t="e">
        <f>AND('UP133'!CQ144,"AAAAAGwb/0E=")</f>
        <v>#VALUE!</v>
      </c>
      <c r="BO181" t="e">
        <f>AND('UP133'!CR144,"AAAAAGwb/0I=")</f>
        <v>#VALUE!</v>
      </c>
      <c r="BP181" t="e">
        <f>AND('UP133'!CS144,"AAAAAGwb/0M=")</f>
        <v>#VALUE!</v>
      </c>
      <c r="BQ181" t="e">
        <f>AND('UP133'!CT144,"AAAAAGwb/0Q=")</f>
        <v>#VALUE!</v>
      </c>
      <c r="BR181" t="e">
        <f>AND('UP133'!CU144,"AAAAAGwb/0U=")</f>
        <v>#VALUE!</v>
      </c>
      <c r="BS181" t="e">
        <f>AND('UP133'!CV144,"AAAAAGwb/0Y=")</f>
        <v>#VALUE!</v>
      </c>
      <c r="BT181" t="e">
        <f>AND('UP133'!CW144,"AAAAAGwb/0c=")</f>
        <v>#VALUE!</v>
      </c>
      <c r="BU181" t="e">
        <f>AND('UP133'!CX144,"AAAAAGwb/0g=")</f>
        <v>#VALUE!</v>
      </c>
      <c r="BV181" t="e">
        <f>AND('UP133'!CY144,"AAAAAGwb/0k=")</f>
        <v>#VALUE!</v>
      </c>
      <c r="BW181" t="e">
        <f>AND('UP133'!CZ144,"AAAAAGwb/0o=")</f>
        <v>#VALUE!</v>
      </c>
      <c r="BX181" t="e">
        <f>AND('UP133'!DA144,"AAAAAGwb/0s=")</f>
        <v>#VALUE!</v>
      </c>
      <c r="BY181" t="e">
        <f>AND('UP133'!DB144,"AAAAAGwb/0w=")</f>
        <v>#VALUE!</v>
      </c>
      <c r="BZ181" t="e">
        <f>AND('UP133'!DC144,"AAAAAGwb/00=")</f>
        <v>#VALUE!</v>
      </c>
      <c r="CA181" t="e">
        <f>AND('UP133'!DD144,"AAAAAGwb/04=")</f>
        <v>#VALUE!</v>
      </c>
      <c r="CB181" t="e">
        <f>AND('UP133'!DE144,"AAAAAGwb/08=")</f>
        <v>#VALUE!</v>
      </c>
      <c r="CC181" t="e">
        <f>AND('UP133'!DF144,"AAAAAGwb/1A=")</f>
        <v>#VALUE!</v>
      </c>
      <c r="CD181" t="e">
        <f>AND('UP133'!DG144,"AAAAAGwb/1E=")</f>
        <v>#VALUE!</v>
      </c>
      <c r="CE181" t="e">
        <f>AND('UP133'!DH144,"AAAAAGwb/1I=")</f>
        <v>#VALUE!</v>
      </c>
      <c r="CF181" t="e">
        <f>AND('UP133'!DI144,"AAAAAGwb/1M=")</f>
        <v>#VALUE!</v>
      </c>
      <c r="CG181" t="e">
        <f>AND('UP133'!DJ144,"AAAAAGwb/1Q=")</f>
        <v>#VALUE!</v>
      </c>
      <c r="CH181" t="e">
        <f>AND('UP133'!DK144,"AAAAAGwb/1U=")</f>
        <v>#VALUE!</v>
      </c>
      <c r="CI181" t="e">
        <f>AND('UP133'!DL144,"AAAAAGwb/1Y=")</f>
        <v>#VALUE!</v>
      </c>
      <c r="CJ181" t="e">
        <f>AND('UP133'!DM144,"AAAAAGwb/1c=")</f>
        <v>#VALUE!</v>
      </c>
      <c r="CK181" t="e">
        <f>AND('UP133'!DN144,"AAAAAGwb/1g=")</f>
        <v>#VALUE!</v>
      </c>
      <c r="CL181" t="e">
        <f>AND('UP133'!DO144,"AAAAAGwb/1k=")</f>
        <v>#VALUE!</v>
      </c>
      <c r="CM181" t="e">
        <f>AND('UP133'!DP144,"AAAAAGwb/1o=")</f>
        <v>#VALUE!</v>
      </c>
      <c r="CN181" t="e">
        <f>AND('UP133'!DQ144,"AAAAAGwb/1s=")</f>
        <v>#VALUE!</v>
      </c>
      <c r="CO181" t="e">
        <f>AND('UP133'!DR144,"AAAAAGwb/1w=")</f>
        <v>#VALUE!</v>
      </c>
      <c r="CP181" t="e">
        <f>AND('UP133'!DS144,"AAAAAGwb/10=")</f>
        <v>#VALUE!</v>
      </c>
      <c r="CQ181" t="e">
        <f>AND('UP133'!DT144,"AAAAAGwb/14=")</f>
        <v>#VALUE!</v>
      </c>
      <c r="CR181" t="e">
        <f>AND('UP133'!DU144,"AAAAAGwb/18=")</f>
        <v>#VALUE!</v>
      </c>
      <c r="CS181" t="e">
        <f>AND('UP133'!DV144,"AAAAAGwb/2A=")</f>
        <v>#VALUE!</v>
      </c>
      <c r="CT181" t="e">
        <f>AND('UP133'!DW144,"AAAAAGwb/2E=")</f>
        <v>#VALUE!</v>
      </c>
      <c r="CU181" t="e">
        <f>AND('UP133'!DX144,"AAAAAGwb/2I=")</f>
        <v>#VALUE!</v>
      </c>
      <c r="CV181" t="e">
        <f>AND('UP133'!DY144,"AAAAAGwb/2M=")</f>
        <v>#VALUE!</v>
      </c>
      <c r="CW181" t="e">
        <f>AND('UP133'!DZ144,"AAAAAGwb/2Q=")</f>
        <v>#VALUE!</v>
      </c>
      <c r="CX181" t="e">
        <f>AND('UP133'!EA144,"AAAAAGwb/2U=")</f>
        <v>#VALUE!</v>
      </c>
      <c r="CY181" t="e">
        <f>AND('UP133'!EB144,"AAAAAGwb/2Y=")</f>
        <v>#VALUE!</v>
      </c>
      <c r="CZ181" t="e">
        <f>AND('UP133'!EC144,"AAAAAGwb/2c=")</f>
        <v>#VALUE!</v>
      </c>
      <c r="DA181" t="e">
        <f>AND('UP133'!ED144,"AAAAAGwb/2g=")</f>
        <v>#VALUE!</v>
      </c>
      <c r="DB181" t="e">
        <f>AND('UP133'!EE144,"AAAAAGwb/2k=")</f>
        <v>#VALUE!</v>
      </c>
      <c r="DC181" t="e">
        <f>AND('UP133'!EF144,"AAAAAGwb/2o=")</f>
        <v>#VALUE!</v>
      </c>
      <c r="DD181" t="e">
        <f>AND('UP133'!EG144,"AAAAAGwb/2s=")</f>
        <v>#VALUE!</v>
      </c>
      <c r="DE181" t="e">
        <f>AND('UP133'!EH144,"AAAAAGwb/2w=")</f>
        <v>#VALUE!</v>
      </c>
      <c r="DF181" t="e">
        <f>AND('UP133'!EI144,"AAAAAGwb/20=")</f>
        <v>#VALUE!</v>
      </c>
      <c r="DG181" t="e">
        <f>AND('UP133'!EJ144,"AAAAAGwb/24=")</f>
        <v>#VALUE!</v>
      </c>
      <c r="DH181" t="e">
        <f>AND('UP133'!EK144,"AAAAAGwb/28=")</f>
        <v>#VALUE!</v>
      </c>
      <c r="DI181" t="e">
        <f>AND('UP133'!EL144,"AAAAAGwb/3A=")</f>
        <v>#VALUE!</v>
      </c>
      <c r="DJ181" t="e">
        <f>AND('UP133'!EM144,"AAAAAGwb/3E=")</f>
        <v>#VALUE!</v>
      </c>
      <c r="DK181" t="e">
        <f>AND('UP133'!EN144,"AAAAAGwb/3I=")</f>
        <v>#VALUE!</v>
      </c>
      <c r="DL181" t="e">
        <f>AND('UP133'!EO144,"AAAAAGwb/3M=")</f>
        <v>#VALUE!</v>
      </c>
      <c r="DM181" t="e">
        <f>AND('UP133'!EP144,"AAAAAGwb/3Q=")</f>
        <v>#VALUE!</v>
      </c>
      <c r="DN181" t="e">
        <f>AND('UP133'!EQ144,"AAAAAGwb/3U=")</f>
        <v>#VALUE!</v>
      </c>
      <c r="DO181" t="e">
        <f>AND('UP133'!ER144,"AAAAAGwb/3Y=")</f>
        <v>#VALUE!</v>
      </c>
      <c r="DP181" t="e">
        <f>AND('UP133'!ES144,"AAAAAGwb/3c=")</f>
        <v>#VALUE!</v>
      </c>
      <c r="DQ181" t="e">
        <f>AND('UP133'!ET144,"AAAAAGwb/3g=")</f>
        <v>#VALUE!</v>
      </c>
      <c r="DR181" t="e">
        <f>AND('UP133'!EU144,"AAAAAGwb/3k=")</f>
        <v>#VALUE!</v>
      </c>
      <c r="DS181" t="e">
        <f>AND('UP133'!EV144,"AAAAAGwb/3o=")</f>
        <v>#VALUE!</v>
      </c>
      <c r="DT181" t="e">
        <f>AND('UP133'!EW144,"AAAAAGwb/3s=")</f>
        <v>#VALUE!</v>
      </c>
      <c r="DU181" t="e">
        <f>AND('UP133'!EX144,"AAAAAGwb/3w=")</f>
        <v>#VALUE!</v>
      </c>
      <c r="DV181" t="e">
        <f>AND('UP133'!EY144,"AAAAAGwb/30=")</f>
        <v>#VALUE!</v>
      </c>
      <c r="DW181" t="e">
        <f>AND('UP133'!EZ144,"AAAAAGwb/34=")</f>
        <v>#VALUE!</v>
      </c>
      <c r="DX181" t="e">
        <f>AND('UP133'!FA144,"AAAAAGwb/38=")</f>
        <v>#VALUE!</v>
      </c>
      <c r="DY181" t="e">
        <f>AND('UP133'!FB144,"AAAAAGwb/4A=")</f>
        <v>#VALUE!</v>
      </c>
      <c r="DZ181" t="e">
        <f>AND('UP133'!FC144,"AAAAAGwb/4E=")</f>
        <v>#VALUE!</v>
      </c>
      <c r="EA181" t="e">
        <f>AND('UP133'!FD144,"AAAAAGwb/4I=")</f>
        <v>#VALUE!</v>
      </c>
      <c r="EB181" t="e">
        <f>AND('UP133'!FE144,"AAAAAGwb/4M=")</f>
        <v>#VALUE!</v>
      </c>
      <c r="EC181" t="e">
        <f>AND('UP133'!FF144,"AAAAAGwb/4Q=")</f>
        <v>#VALUE!</v>
      </c>
      <c r="ED181" t="e">
        <f>AND('UP133'!FG144,"AAAAAGwb/4U=")</f>
        <v>#VALUE!</v>
      </c>
      <c r="EE181" t="e">
        <f>AND('UP133'!FH144,"AAAAAGwb/4Y=")</f>
        <v>#VALUE!</v>
      </c>
      <c r="EF181" t="e">
        <f>AND('UP133'!FI144,"AAAAAGwb/4c=")</f>
        <v>#VALUE!</v>
      </c>
      <c r="EG181" t="e">
        <f>AND('UP133'!FJ144,"AAAAAGwb/4g=")</f>
        <v>#VALUE!</v>
      </c>
      <c r="EH181" t="e">
        <f>AND('UP133'!FK144,"AAAAAGwb/4k=")</f>
        <v>#VALUE!</v>
      </c>
      <c r="EI181" t="e">
        <f>AND('UP133'!FL144,"AAAAAGwb/4o=")</f>
        <v>#VALUE!</v>
      </c>
      <c r="EJ181" t="e">
        <f>AND('UP133'!FM144,"AAAAAGwb/4s=")</f>
        <v>#VALUE!</v>
      </c>
      <c r="EK181" t="e">
        <f>AND('UP133'!FN144,"AAAAAGwb/4w=")</f>
        <v>#VALUE!</v>
      </c>
      <c r="EL181" t="e">
        <f>AND('UP133'!FO144,"AAAAAGwb/40=")</f>
        <v>#VALUE!</v>
      </c>
      <c r="EM181" t="e">
        <f>AND('UP133'!FP144,"AAAAAGwb/44=")</f>
        <v>#VALUE!</v>
      </c>
      <c r="EN181" t="e">
        <f>AND('UP133'!FQ144,"AAAAAGwb/48=")</f>
        <v>#VALUE!</v>
      </c>
      <c r="EO181" t="e">
        <f>AND('UP133'!FR144,"AAAAAGwb/5A=")</f>
        <v>#VALUE!</v>
      </c>
      <c r="EP181" t="e">
        <f>AND('UP133'!FS144,"AAAAAGwb/5E=")</f>
        <v>#VALUE!</v>
      </c>
      <c r="EQ181" t="e">
        <f>AND('UP133'!FT144,"AAAAAGwb/5I=")</f>
        <v>#VALUE!</v>
      </c>
      <c r="ER181" t="e">
        <f>AND('UP133'!FU144,"AAAAAGwb/5M=")</f>
        <v>#VALUE!</v>
      </c>
      <c r="ES181" t="e">
        <f>AND('UP133'!FV144,"AAAAAGwb/5Q=")</f>
        <v>#VALUE!</v>
      </c>
      <c r="ET181" t="e">
        <f>AND('UP133'!FW144,"AAAAAGwb/5U=")</f>
        <v>#VALUE!</v>
      </c>
      <c r="EU181" t="e">
        <f>AND('UP133'!FX144,"AAAAAGwb/5Y=")</f>
        <v>#VALUE!</v>
      </c>
      <c r="EV181" t="e">
        <f>AND('UP133'!FY144,"AAAAAGwb/5c=")</f>
        <v>#VALUE!</v>
      </c>
      <c r="EW181" t="e">
        <f>AND('UP133'!FZ144,"AAAAAGwb/5g=")</f>
        <v>#VALUE!</v>
      </c>
      <c r="EX181" t="e">
        <f>AND('UP133'!GA144,"AAAAAGwb/5k=")</f>
        <v>#VALUE!</v>
      </c>
      <c r="EY181" t="e">
        <f>AND('UP133'!GB144,"AAAAAGwb/5o=")</f>
        <v>#VALUE!</v>
      </c>
      <c r="EZ181" t="e">
        <f>AND('UP133'!GC144,"AAAAAGwb/5s=")</f>
        <v>#VALUE!</v>
      </c>
      <c r="FA181" t="e">
        <f>AND('UP133'!GD144,"AAAAAGwb/5w=")</f>
        <v>#VALUE!</v>
      </c>
      <c r="FB181" t="e">
        <f>AND('UP133'!GE144,"AAAAAGwb/50=")</f>
        <v>#VALUE!</v>
      </c>
      <c r="FC181" t="e">
        <f>AND('UP133'!GF144,"AAAAAGwb/54=")</f>
        <v>#VALUE!</v>
      </c>
      <c r="FD181" t="e">
        <f>AND('UP133'!GG144,"AAAAAGwb/58=")</f>
        <v>#VALUE!</v>
      </c>
      <c r="FE181" t="e">
        <f>AND('UP133'!GH144,"AAAAAGwb/6A=")</f>
        <v>#VALUE!</v>
      </c>
      <c r="FF181" t="e">
        <f>AND('UP133'!GI144,"AAAAAGwb/6E=")</f>
        <v>#VALUE!</v>
      </c>
      <c r="FG181" t="e">
        <f>AND('UP133'!GJ144,"AAAAAGwb/6I=")</f>
        <v>#VALUE!</v>
      </c>
      <c r="FH181" t="e">
        <f>AND('UP133'!GK144,"AAAAAGwb/6M=")</f>
        <v>#VALUE!</v>
      </c>
      <c r="FI181" t="e">
        <f>AND('UP133'!GL144,"AAAAAGwb/6Q=")</f>
        <v>#VALUE!</v>
      </c>
      <c r="FJ181" t="e">
        <f>AND('UP133'!GM144,"AAAAAGwb/6U=")</f>
        <v>#VALUE!</v>
      </c>
      <c r="FK181" t="e">
        <f>AND('UP133'!GN144,"AAAAAGwb/6Y=")</f>
        <v>#VALUE!</v>
      </c>
      <c r="FL181" t="e">
        <f>AND('UP133'!GO144,"AAAAAGwb/6c=")</f>
        <v>#VALUE!</v>
      </c>
      <c r="FM181" t="e">
        <f>AND('UP133'!GP144,"AAAAAGwb/6g=")</f>
        <v>#VALUE!</v>
      </c>
      <c r="FN181" t="e">
        <f>AND('UP133'!GQ144,"AAAAAGwb/6k=")</f>
        <v>#VALUE!</v>
      </c>
      <c r="FO181" t="e">
        <f>AND('UP133'!GR144,"AAAAAGwb/6o=")</f>
        <v>#VALUE!</v>
      </c>
      <c r="FP181" t="e">
        <f>AND('UP133'!GS144,"AAAAAGwb/6s=")</f>
        <v>#VALUE!</v>
      </c>
      <c r="FQ181" t="e">
        <f>AND('UP133'!GT144,"AAAAAGwb/6w=")</f>
        <v>#VALUE!</v>
      </c>
      <c r="FR181" t="e">
        <f>AND('UP133'!GU144,"AAAAAGwb/60=")</f>
        <v>#VALUE!</v>
      </c>
      <c r="FS181" t="e">
        <f>AND('UP133'!GV144,"AAAAAGwb/64=")</f>
        <v>#VALUE!</v>
      </c>
      <c r="FT181" t="e">
        <f>AND('UP133'!GW144,"AAAAAGwb/68=")</f>
        <v>#VALUE!</v>
      </c>
      <c r="FU181" t="e">
        <f>AND('UP133'!GX144,"AAAAAGwb/7A=")</f>
        <v>#VALUE!</v>
      </c>
      <c r="FV181" t="e">
        <f>AND('UP133'!GY144,"AAAAAGwb/7E=")</f>
        <v>#VALUE!</v>
      </c>
      <c r="FW181" t="e">
        <f>AND('UP133'!GZ144,"AAAAAGwb/7I=")</f>
        <v>#VALUE!</v>
      </c>
      <c r="FX181" t="e">
        <f>AND('UP133'!HA144,"AAAAAGwb/7M=")</f>
        <v>#VALUE!</v>
      </c>
      <c r="FY181" t="e">
        <f>AND('UP133'!HB144,"AAAAAGwb/7Q=")</f>
        <v>#VALUE!</v>
      </c>
      <c r="FZ181" t="e">
        <f>AND('UP133'!HC144,"AAAAAGwb/7U=")</f>
        <v>#VALUE!</v>
      </c>
      <c r="GA181" t="e">
        <f>AND('UP133'!HD144,"AAAAAGwb/7Y=")</f>
        <v>#VALUE!</v>
      </c>
      <c r="GB181" t="e">
        <f>AND('UP133'!HE144,"AAAAAGwb/7c=")</f>
        <v>#VALUE!</v>
      </c>
      <c r="GC181" t="e">
        <f>AND('UP133'!HF144,"AAAAAGwb/7g=")</f>
        <v>#VALUE!</v>
      </c>
      <c r="GD181" t="e">
        <f>AND('UP133'!HG144,"AAAAAGwb/7k=")</f>
        <v>#VALUE!</v>
      </c>
      <c r="GE181" t="e">
        <f>AND('UP133'!HH144,"AAAAAGwb/7o=")</f>
        <v>#VALUE!</v>
      </c>
      <c r="GF181" t="e">
        <f>AND('UP133'!HI144,"AAAAAGwb/7s=")</f>
        <v>#VALUE!</v>
      </c>
      <c r="GG181" t="e">
        <f>AND('UP133'!HJ144,"AAAAAGwb/7w=")</f>
        <v>#VALUE!</v>
      </c>
      <c r="GH181" t="e">
        <f>AND('UP133'!HK144,"AAAAAGwb/70=")</f>
        <v>#VALUE!</v>
      </c>
      <c r="GI181" t="e">
        <f>AND('UP133'!HL144,"AAAAAGwb/74=")</f>
        <v>#VALUE!</v>
      </c>
      <c r="GJ181" t="e">
        <f>AND('UP133'!HM144,"AAAAAGwb/78=")</f>
        <v>#VALUE!</v>
      </c>
      <c r="GK181" t="e">
        <f>AND('UP133'!HN144,"AAAAAGwb/8A=")</f>
        <v>#VALUE!</v>
      </c>
      <c r="GL181" t="e">
        <f>AND('UP133'!HO144,"AAAAAGwb/8E=")</f>
        <v>#VALUE!</v>
      </c>
      <c r="GM181" t="e">
        <f>AND('UP133'!HP144,"AAAAAGwb/8I=")</f>
        <v>#VALUE!</v>
      </c>
      <c r="GN181" t="e">
        <f>AND('UP133'!HQ144,"AAAAAGwb/8M=")</f>
        <v>#VALUE!</v>
      </c>
      <c r="GO181" t="e">
        <f>AND('UP133'!HR144,"AAAAAGwb/8Q=")</f>
        <v>#VALUE!</v>
      </c>
      <c r="GP181" t="e">
        <f>AND('UP133'!HS144,"AAAAAGwb/8U=")</f>
        <v>#VALUE!</v>
      </c>
      <c r="GQ181" t="e">
        <f>AND('UP133'!HT144,"AAAAAGwb/8Y=")</f>
        <v>#VALUE!</v>
      </c>
      <c r="GR181" t="e">
        <f>AND('UP133'!HU144,"AAAAAGwb/8c=")</f>
        <v>#VALUE!</v>
      </c>
      <c r="GS181" t="e">
        <f>AND('UP133'!HV144,"AAAAAGwb/8g=")</f>
        <v>#VALUE!</v>
      </c>
      <c r="GT181" t="e">
        <f>AND('UP133'!HW144,"AAAAAGwb/8k=")</f>
        <v>#VALUE!</v>
      </c>
      <c r="GU181" t="e">
        <f>AND('UP133'!HX144,"AAAAAGwb/8o=")</f>
        <v>#VALUE!</v>
      </c>
      <c r="GV181" t="e">
        <f>AND('UP133'!HY144,"AAAAAGwb/8s=")</f>
        <v>#VALUE!</v>
      </c>
      <c r="GW181" t="e">
        <f>AND('UP133'!HZ144,"AAAAAGwb/8w=")</f>
        <v>#VALUE!</v>
      </c>
      <c r="GX181" t="e">
        <f>AND('UP133'!IA144,"AAAAAGwb/80=")</f>
        <v>#VALUE!</v>
      </c>
      <c r="GY181" t="e">
        <f>AND('UP133'!IB144,"AAAAAGwb/84=")</f>
        <v>#VALUE!</v>
      </c>
      <c r="GZ181" t="e">
        <f>AND('UP133'!IC144,"AAAAAGwb/88=")</f>
        <v>#VALUE!</v>
      </c>
      <c r="HA181" t="e">
        <f>AND('UP133'!ID144,"AAAAAGwb/9A=")</f>
        <v>#VALUE!</v>
      </c>
      <c r="HB181" t="e">
        <f>AND('UP133'!IE144,"AAAAAGwb/9E=")</f>
        <v>#VALUE!</v>
      </c>
      <c r="HC181" t="e">
        <f>AND('UP133'!IF144,"AAAAAGwb/9I=")</f>
        <v>#VALUE!</v>
      </c>
      <c r="HD181" t="e">
        <f>AND('UP133'!IG144,"AAAAAGwb/9M=")</f>
        <v>#VALUE!</v>
      </c>
      <c r="HE181" t="e">
        <f>AND('UP133'!IH144,"AAAAAGwb/9Q=")</f>
        <v>#VALUE!</v>
      </c>
      <c r="HF181" t="e">
        <f>AND('UP133'!II144,"AAAAAGwb/9U=")</f>
        <v>#VALUE!</v>
      </c>
      <c r="HG181" t="e">
        <f>AND('UP133'!IJ144,"AAAAAGwb/9Y=")</f>
        <v>#VALUE!</v>
      </c>
      <c r="HH181" t="e">
        <f>AND('UP133'!IK144,"AAAAAGwb/9c=")</f>
        <v>#VALUE!</v>
      </c>
      <c r="HI181" t="e">
        <f>AND('UP133'!IL144,"AAAAAGwb/9g=")</f>
        <v>#VALUE!</v>
      </c>
      <c r="HJ181" t="e">
        <f>AND('UP133'!IM144,"AAAAAGwb/9k=")</f>
        <v>#VALUE!</v>
      </c>
      <c r="HK181" t="e">
        <f>AND('UP133'!IN144,"AAAAAGwb/9o=")</f>
        <v>#VALUE!</v>
      </c>
      <c r="HL181" t="e">
        <f>AND('UP133'!IO144,"AAAAAGwb/9s=")</f>
        <v>#VALUE!</v>
      </c>
      <c r="HM181" t="e">
        <f>AND('UP133'!IP144,"AAAAAGwb/9w=")</f>
        <v>#VALUE!</v>
      </c>
      <c r="HN181" t="e">
        <f>AND('UP133'!IQ144,"AAAAAGwb/90=")</f>
        <v>#VALUE!</v>
      </c>
      <c r="HO181">
        <f>IF('UP133'!145:145,"AAAAAGwb/94=",0)</f>
        <v>0</v>
      </c>
      <c r="HP181" t="e">
        <f>AND('UP133'!A145,"AAAAAGwb/98=")</f>
        <v>#VALUE!</v>
      </c>
      <c r="HQ181" t="e">
        <f>AND('UP133'!B145,"AAAAAGwb/+A=")</f>
        <v>#VALUE!</v>
      </c>
      <c r="HR181" t="e">
        <f>AND('UP133'!C145,"AAAAAGwb/+E=")</f>
        <v>#VALUE!</v>
      </c>
      <c r="HS181" t="e">
        <f>AND('UP133'!D145,"AAAAAGwb/+I=")</f>
        <v>#VALUE!</v>
      </c>
      <c r="HT181">
        <f>IF('UP133'!146:146,"AAAAAGwb/+M=",0)</f>
        <v>0</v>
      </c>
      <c r="HU181" t="e">
        <f>AND('UP133'!A146,"AAAAAGwb/+Q=")</f>
        <v>#VALUE!</v>
      </c>
      <c r="HV181" t="e">
        <f>AND('UP133'!B146,"AAAAAGwb/+U=")</f>
        <v>#VALUE!</v>
      </c>
      <c r="HW181" t="e">
        <f>AND('UP133'!C146,"AAAAAGwb/+Y=")</f>
        <v>#VALUE!</v>
      </c>
      <c r="HX181" t="e">
        <f>AND('UP133'!D146,"AAAAAGwb/+c=")</f>
        <v>#VALUE!</v>
      </c>
      <c r="HY181">
        <f>IF('UP133'!147:147,"AAAAAGwb/+g=",0)</f>
        <v>0</v>
      </c>
      <c r="HZ181" t="e">
        <f>AND('UP133'!A147,"AAAAAGwb/+k=")</f>
        <v>#VALUE!</v>
      </c>
      <c r="IA181" t="e">
        <f>AND('UP133'!B147,"AAAAAGwb/+o=")</f>
        <v>#VALUE!</v>
      </c>
      <c r="IB181" t="e">
        <f>AND('UP133'!C147,"AAAAAGwb/+s=")</f>
        <v>#VALUE!</v>
      </c>
      <c r="IC181" t="e">
        <f>AND('UP133'!D147,"AAAAAGwb/+w=")</f>
        <v>#VALUE!</v>
      </c>
      <c r="ID181">
        <f>IF('UP133'!148:148,"AAAAAGwb/+0=",0)</f>
        <v>0</v>
      </c>
      <c r="IE181" t="e">
        <f>AND('UP133'!A148,"AAAAAGwb/+4=")</f>
        <v>#VALUE!</v>
      </c>
      <c r="IF181" t="e">
        <f>AND('UP133'!B148,"AAAAAGwb/+8=")</f>
        <v>#VALUE!</v>
      </c>
      <c r="IG181" t="e">
        <f>AND('UP133'!C148,"AAAAAGwb//A=")</f>
        <v>#VALUE!</v>
      </c>
      <c r="IH181" t="e">
        <f>AND('UP133'!D148,"AAAAAGwb//E=")</f>
        <v>#VALUE!</v>
      </c>
      <c r="II181">
        <f>IF('UP133'!149:149,"AAAAAGwb//I=",0)</f>
        <v>0</v>
      </c>
      <c r="IJ181" t="e">
        <f>AND('UP133'!A149,"AAAAAGwb//M=")</f>
        <v>#VALUE!</v>
      </c>
      <c r="IK181" t="e">
        <f>AND('UP133'!B149,"AAAAAGwb//Q=")</f>
        <v>#VALUE!</v>
      </c>
      <c r="IL181" t="e">
        <f>AND('UP133'!C149,"AAAAAGwb//U=")</f>
        <v>#VALUE!</v>
      </c>
      <c r="IM181" t="e">
        <f>AND('UP133'!D149,"AAAAAGwb//Y=")</f>
        <v>#VALUE!</v>
      </c>
      <c r="IN181">
        <f>IF('UP133'!150:150,"AAAAAGwb//c=",0)</f>
        <v>0</v>
      </c>
      <c r="IO181" t="e">
        <f>AND('UP133'!A150,"AAAAAGwb//g=")</f>
        <v>#VALUE!</v>
      </c>
      <c r="IP181" t="e">
        <f>AND('UP133'!B150,"AAAAAGwb//k=")</f>
        <v>#VALUE!</v>
      </c>
      <c r="IQ181" t="e">
        <f>AND('UP133'!C150,"AAAAAGwb//o=")</f>
        <v>#VALUE!</v>
      </c>
      <c r="IR181" t="e">
        <f>AND('UP133'!D150,"AAAAAGwb//s=")</f>
        <v>#VALUE!</v>
      </c>
      <c r="IS181">
        <f>IF('UP133'!151:151,"AAAAAGwb//w=",0)</f>
        <v>0</v>
      </c>
      <c r="IT181" t="e">
        <f>AND('UP133'!A151,"AAAAAGwb//0=")</f>
        <v>#VALUE!</v>
      </c>
      <c r="IU181" t="e">
        <f>AND('UP133'!B151,"AAAAAGwb//4=")</f>
        <v>#VALUE!</v>
      </c>
      <c r="IV181" t="e">
        <f>AND('UP133'!C151,"AAAAAGwb//8=")</f>
        <v>#VALUE!</v>
      </c>
    </row>
    <row r="182" spans="1:256">
      <c r="A182" t="e">
        <f>AND('UP133'!D151,"AAAAAD2/7wA=")</f>
        <v>#VALUE!</v>
      </c>
      <c r="B182" t="e">
        <f>IF('UP133'!152:152,"AAAAAD2/7wE=",0)</f>
        <v>#VALUE!</v>
      </c>
      <c r="C182" t="e">
        <f>AND('UP133'!A152,"AAAAAD2/7wI=")</f>
        <v>#VALUE!</v>
      </c>
      <c r="D182" t="e">
        <f>AND('UP133'!B152,"AAAAAD2/7wM=")</f>
        <v>#VALUE!</v>
      </c>
      <c r="E182" t="e">
        <f>AND('UP133'!C152,"AAAAAD2/7wQ=")</f>
        <v>#VALUE!</v>
      </c>
      <c r="F182" t="e">
        <f>AND('UP133'!D152,"AAAAAD2/7wU=")</f>
        <v>#VALUE!</v>
      </c>
      <c r="G182">
        <f>IF('UP133'!A:A,"AAAAAD2/7wY=",0)</f>
        <v>0</v>
      </c>
      <c r="H182">
        <f>IF('UP133'!B:B,"AAAAAD2/7wc=",0)</f>
        <v>0</v>
      </c>
      <c r="I182">
        <f>IF('UP133'!C:C,"AAAAAD2/7wg=",0)</f>
        <v>0</v>
      </c>
      <c r="J182">
        <f>IF('UP133'!D:D,"AAAAAD2/7wk=",0)</f>
        <v>0</v>
      </c>
      <c r="K182">
        <f>IF('UP133'!E:E,"AAAAAD2/7wo=",0)</f>
        <v>0</v>
      </c>
      <c r="L182">
        <f>IF('UP133'!F:F,"AAAAAD2/7ws=",0)</f>
        <v>0</v>
      </c>
      <c r="M182">
        <f>IF('UP133'!G:G,"AAAAAD2/7ww=",0)</f>
        <v>0</v>
      </c>
      <c r="N182">
        <f>IF('UP133'!H:H,"AAAAAD2/7w0=",0)</f>
        <v>0</v>
      </c>
      <c r="O182">
        <f>IF('UP133'!I:I,"AAAAAD2/7w4=",0)</f>
        <v>0</v>
      </c>
      <c r="P182">
        <f>IF('UP133'!J:J,"AAAAAD2/7w8=",0)</f>
        <v>0</v>
      </c>
      <c r="Q182">
        <f>IF('UP133'!K:K,"AAAAAD2/7xA=",0)</f>
        <v>0</v>
      </c>
      <c r="R182">
        <f>IF('UP133'!L:L,"AAAAAD2/7xE=",0)</f>
        <v>0</v>
      </c>
      <c r="S182">
        <f>IF('UP133'!M:M,"AAAAAD2/7xI=",0)</f>
        <v>0</v>
      </c>
      <c r="T182">
        <f>IF('UP133'!N:N,"AAAAAD2/7xM=",0)</f>
        <v>0</v>
      </c>
      <c r="U182">
        <f>IF('UP133'!O:O,"AAAAAD2/7xQ=",0)</f>
        <v>0</v>
      </c>
      <c r="V182">
        <f>IF('UP133'!P:P,"AAAAAD2/7xU=",0)</f>
        <v>0</v>
      </c>
      <c r="W182">
        <f>IF('UP133'!Q:Q,"AAAAAD2/7xY=",0)</f>
        <v>0</v>
      </c>
      <c r="X182">
        <f>IF('UP133'!R:R,"AAAAAD2/7xc=",0)</f>
        <v>0</v>
      </c>
      <c r="Y182">
        <f>IF('UP133'!S:S,"AAAAAD2/7xg=",0)</f>
        <v>0</v>
      </c>
      <c r="Z182">
        <f>IF('UP133'!T:T,"AAAAAD2/7xk=",0)</f>
        <v>0</v>
      </c>
      <c r="AA182">
        <f>IF('UP133'!U:U,"AAAAAD2/7xo=",0)</f>
        <v>0</v>
      </c>
      <c r="AB182">
        <f>IF('UP133'!V:V,"AAAAAD2/7xs=",0)</f>
        <v>0</v>
      </c>
      <c r="AC182">
        <f>IF('UP133'!W:W,"AAAAAD2/7xw=",0)</f>
        <v>0</v>
      </c>
      <c r="AD182">
        <f>IF('UP133'!X:X,"AAAAAD2/7x0=",0)</f>
        <v>0</v>
      </c>
      <c r="AE182">
        <f>IF('UP133'!Y:Y,"AAAAAD2/7x4=",0)</f>
        <v>0</v>
      </c>
      <c r="AF182">
        <f>IF('UP133'!Z:Z,"AAAAAD2/7x8=",0)</f>
        <v>0</v>
      </c>
      <c r="AG182">
        <f>IF('UP133'!AA:AA,"AAAAAD2/7yA=",0)</f>
        <v>0</v>
      </c>
      <c r="AH182">
        <f>IF('UP133'!AB:AB,"AAAAAD2/7yE=",0)</f>
        <v>0</v>
      </c>
      <c r="AI182">
        <f>IF('UP133'!AC:AC,"AAAAAD2/7yI=",0)</f>
        <v>0</v>
      </c>
      <c r="AJ182">
        <f>IF('UP133'!AD:AD,"AAAAAD2/7yM=",0)</f>
        <v>0</v>
      </c>
      <c r="AK182">
        <f>IF('UP133'!AE:AE,"AAAAAD2/7yQ=",0)</f>
        <v>0</v>
      </c>
      <c r="AL182">
        <f>IF('UP133'!AF:AF,"AAAAAD2/7yU=",0)</f>
        <v>0</v>
      </c>
      <c r="AM182">
        <f>IF('UP133'!AG:AG,"AAAAAD2/7yY=",0)</f>
        <v>0</v>
      </c>
      <c r="AN182">
        <f>IF('UP133'!AH:AH,"AAAAAD2/7yc=",0)</f>
        <v>0</v>
      </c>
      <c r="AO182">
        <f>IF('UP133'!AI:AI,"AAAAAD2/7yg=",0)</f>
        <v>0</v>
      </c>
      <c r="AP182">
        <f>IF('UP133'!AJ:AJ,"AAAAAD2/7yk=",0)</f>
        <v>0</v>
      </c>
      <c r="AQ182">
        <f>IF('UP133'!AK:AK,"AAAAAD2/7yo=",0)</f>
        <v>0</v>
      </c>
      <c r="AR182">
        <f>IF('UP133'!AL:AL,"AAAAAD2/7ys=",0)</f>
        <v>0</v>
      </c>
      <c r="AS182">
        <f>IF('UP133'!AM:AM,"AAAAAD2/7yw=",0)</f>
        <v>0</v>
      </c>
      <c r="AT182">
        <f>IF('UP133'!AN:AN,"AAAAAD2/7y0=",0)</f>
        <v>0</v>
      </c>
      <c r="AU182">
        <f>IF('UP133'!AO:AO,"AAAAAD2/7y4=",0)</f>
        <v>0</v>
      </c>
      <c r="AV182">
        <f>IF('UP133'!AP:AP,"AAAAAD2/7y8=",0)</f>
        <v>0</v>
      </c>
      <c r="AW182">
        <f>IF('UP133'!AQ:AQ,"AAAAAD2/7zA=",0)</f>
        <v>0</v>
      </c>
      <c r="AX182">
        <f>IF('UP133'!AR:AR,"AAAAAD2/7zE=",0)</f>
        <v>0</v>
      </c>
      <c r="AY182">
        <f>IF('UP133'!AS:AS,"AAAAAD2/7zI=",0)</f>
        <v>0</v>
      </c>
      <c r="AZ182">
        <f>IF('UP133'!AT:AT,"AAAAAD2/7zM=",0)</f>
        <v>0</v>
      </c>
      <c r="BA182">
        <f>IF('UP133'!AU:AU,"AAAAAD2/7zQ=",0)</f>
        <v>0</v>
      </c>
      <c r="BB182">
        <f>IF('UP133'!AV:AV,"AAAAAD2/7zU=",0)</f>
        <v>0</v>
      </c>
      <c r="BC182">
        <f>IF('UP133'!AW:AW,"AAAAAD2/7zY=",0)</f>
        <v>0</v>
      </c>
      <c r="BD182">
        <f>IF('UP133'!AX:AX,"AAAAAD2/7zc=",0)</f>
        <v>0</v>
      </c>
      <c r="BE182">
        <f>IF('UP133'!AY:AY,"AAAAAD2/7zg=",0)</f>
        <v>0</v>
      </c>
      <c r="BF182">
        <f>IF('UP133'!AZ:AZ,"AAAAAD2/7zk=",0)</f>
        <v>0</v>
      </c>
      <c r="BG182">
        <f>IF('UP133'!BA:BA,"AAAAAD2/7zo=",0)</f>
        <v>0</v>
      </c>
      <c r="BH182">
        <f>IF('UP133'!BB:BB,"AAAAAD2/7zs=",0)</f>
        <v>0</v>
      </c>
      <c r="BI182">
        <f>IF('UP133'!BC:BC,"AAAAAD2/7zw=",0)</f>
        <v>0</v>
      </c>
      <c r="BJ182">
        <f>IF('UP133'!BD:BD,"AAAAAD2/7z0=",0)</f>
        <v>0</v>
      </c>
      <c r="BK182">
        <f>IF('UP133'!BE:BE,"AAAAAD2/7z4=",0)</f>
        <v>0</v>
      </c>
      <c r="BL182">
        <f>IF('UP133'!BF:BF,"AAAAAD2/7z8=",0)</f>
        <v>0</v>
      </c>
      <c r="BM182">
        <f>IF('UP133'!BG:BG,"AAAAAD2/70A=",0)</f>
        <v>0</v>
      </c>
      <c r="BN182">
        <f>IF('UP133'!BH:BH,"AAAAAD2/70E=",0)</f>
        <v>0</v>
      </c>
      <c r="BO182">
        <f>IF('UP133'!BI:BI,"AAAAAD2/70I=",0)</f>
        <v>0</v>
      </c>
      <c r="BP182">
        <f>IF('UP133'!BJ:BJ,"AAAAAD2/70M=",0)</f>
        <v>0</v>
      </c>
      <c r="BQ182">
        <f>IF('UP133'!BK:BK,"AAAAAD2/70Q=",0)</f>
        <v>0</v>
      </c>
      <c r="BR182">
        <f>IF('UP133'!BL:BL,"AAAAAD2/70U=",0)</f>
        <v>0</v>
      </c>
      <c r="BS182">
        <f>IF('UP133'!BM:BM,"AAAAAD2/70Y=",0)</f>
        <v>0</v>
      </c>
      <c r="BT182">
        <f>IF('UP133'!BN:BN,"AAAAAD2/70c=",0)</f>
        <v>0</v>
      </c>
      <c r="BU182">
        <f>IF('UP133'!BO:BO,"AAAAAD2/70g=",0)</f>
        <v>0</v>
      </c>
      <c r="BV182">
        <f>IF('UP133'!BP:BP,"AAAAAD2/70k=",0)</f>
        <v>0</v>
      </c>
      <c r="BW182">
        <f>IF('UP133'!BQ:BQ,"AAAAAD2/70o=",0)</f>
        <v>0</v>
      </c>
      <c r="BX182">
        <f>IF('UP133'!BR:BR,"AAAAAD2/70s=",0)</f>
        <v>0</v>
      </c>
      <c r="BY182">
        <f>IF('UP133'!BS:BS,"AAAAAD2/70w=",0)</f>
        <v>0</v>
      </c>
      <c r="BZ182">
        <f>IF('UP133'!BT:BT,"AAAAAD2/700=",0)</f>
        <v>0</v>
      </c>
      <c r="CA182">
        <f>IF('UP133'!BU:BU,"AAAAAD2/704=",0)</f>
        <v>0</v>
      </c>
      <c r="CB182">
        <f>IF('UP133'!BV:BV,"AAAAAD2/708=",0)</f>
        <v>0</v>
      </c>
      <c r="CC182">
        <f>IF('UP133'!BW:BW,"AAAAAD2/71A=",0)</f>
        <v>0</v>
      </c>
      <c r="CD182">
        <f>IF('UP133'!BX:BX,"AAAAAD2/71E=",0)</f>
        <v>0</v>
      </c>
      <c r="CE182">
        <f>IF('UP133'!BY:BY,"AAAAAD2/71I=",0)</f>
        <v>0</v>
      </c>
      <c r="CF182">
        <f>IF('UP133'!BZ:BZ,"AAAAAD2/71M=",0)</f>
        <v>0</v>
      </c>
      <c r="CG182">
        <f>IF('UP133'!CA:CA,"AAAAAD2/71Q=",0)</f>
        <v>0</v>
      </c>
      <c r="CH182">
        <f>IF('UP133'!CB:CB,"AAAAAD2/71U=",0)</f>
        <v>0</v>
      </c>
      <c r="CI182">
        <f>IF('UP133'!CC:CC,"AAAAAD2/71Y=",0)</f>
        <v>0</v>
      </c>
      <c r="CJ182">
        <f>IF('UP133'!CD:CD,"AAAAAD2/71c=",0)</f>
        <v>0</v>
      </c>
      <c r="CK182">
        <f>IF('UP133'!CE:CE,"AAAAAD2/71g=",0)</f>
        <v>0</v>
      </c>
      <c r="CL182">
        <f>IF('UP133'!CF:CF,"AAAAAD2/71k=",0)</f>
        <v>0</v>
      </c>
      <c r="CM182">
        <f>IF('UP133'!CG:CG,"AAAAAD2/71o=",0)</f>
        <v>0</v>
      </c>
      <c r="CN182">
        <f>IF('UP133'!CH:CH,"AAAAAD2/71s=",0)</f>
        <v>0</v>
      </c>
      <c r="CO182">
        <f>IF('UP133'!CI:CI,"AAAAAD2/71w=",0)</f>
        <v>0</v>
      </c>
      <c r="CP182">
        <f>IF('UP133'!CJ:CJ,"AAAAAD2/710=",0)</f>
        <v>0</v>
      </c>
      <c r="CQ182">
        <f>IF('UP133'!CK:CK,"AAAAAD2/714=",0)</f>
        <v>0</v>
      </c>
      <c r="CR182">
        <f>IF('UP133'!CL:CL,"AAAAAD2/718=",0)</f>
        <v>0</v>
      </c>
      <c r="CS182">
        <f>IF('UP133'!CM:CM,"AAAAAD2/72A=",0)</f>
        <v>0</v>
      </c>
      <c r="CT182">
        <f>IF('UP133'!CN:CN,"AAAAAD2/72E=",0)</f>
        <v>0</v>
      </c>
      <c r="CU182">
        <f>IF('UP133'!CO:CO,"AAAAAD2/72I=",0)</f>
        <v>0</v>
      </c>
      <c r="CV182">
        <f>IF('UP133'!CP:CP,"AAAAAD2/72M=",0)</f>
        <v>0</v>
      </c>
      <c r="CW182">
        <f>IF('UP133'!CQ:CQ,"AAAAAD2/72Q=",0)</f>
        <v>0</v>
      </c>
      <c r="CX182">
        <f>IF('UP133'!CR:CR,"AAAAAD2/72U=",0)</f>
        <v>0</v>
      </c>
      <c r="CY182">
        <f>IF('UP133'!CS:CS,"AAAAAD2/72Y=",0)</f>
        <v>0</v>
      </c>
      <c r="CZ182">
        <f>IF('UP133'!CT:CT,"AAAAAD2/72c=",0)</f>
        <v>0</v>
      </c>
      <c r="DA182">
        <f>IF('UP133'!CU:CU,"AAAAAD2/72g=",0)</f>
        <v>0</v>
      </c>
      <c r="DB182">
        <f>IF('UP133'!CV:CV,"AAAAAD2/72k=",0)</f>
        <v>0</v>
      </c>
      <c r="DC182">
        <f>IF('UP133'!CW:CW,"AAAAAD2/72o=",0)</f>
        <v>0</v>
      </c>
      <c r="DD182">
        <f>IF('UP133'!CX:CX,"AAAAAD2/72s=",0)</f>
        <v>0</v>
      </c>
      <c r="DE182">
        <f>IF('UP133'!CY:CY,"AAAAAD2/72w=",0)</f>
        <v>0</v>
      </c>
      <c r="DF182">
        <f>IF('UP133'!CZ:CZ,"AAAAAD2/720=",0)</f>
        <v>0</v>
      </c>
      <c r="DG182">
        <f>IF('UP133'!DA:DA,"AAAAAD2/724=",0)</f>
        <v>0</v>
      </c>
      <c r="DH182">
        <f>IF('UP133'!DB:DB,"AAAAAD2/728=",0)</f>
        <v>0</v>
      </c>
      <c r="DI182">
        <f>IF('UP133'!DC:DC,"AAAAAD2/73A=",0)</f>
        <v>0</v>
      </c>
      <c r="DJ182">
        <f>IF('UP133'!DD:DD,"AAAAAD2/73E=",0)</f>
        <v>0</v>
      </c>
      <c r="DK182">
        <f>IF('UP133'!DE:DE,"AAAAAD2/73I=",0)</f>
        <v>0</v>
      </c>
      <c r="DL182">
        <f>IF('UP133'!DF:DF,"AAAAAD2/73M=",0)</f>
        <v>0</v>
      </c>
      <c r="DM182">
        <f>IF('UP133'!DG:DG,"AAAAAD2/73Q=",0)</f>
        <v>0</v>
      </c>
      <c r="DN182">
        <f>IF('UP133'!DH:DH,"AAAAAD2/73U=",0)</f>
        <v>0</v>
      </c>
      <c r="DO182">
        <f>IF('UP133'!DI:DI,"AAAAAD2/73Y=",0)</f>
        <v>0</v>
      </c>
      <c r="DP182">
        <f>IF('UP133'!DJ:DJ,"AAAAAD2/73c=",0)</f>
        <v>0</v>
      </c>
      <c r="DQ182">
        <f>IF('UP133'!DK:DK,"AAAAAD2/73g=",0)</f>
        <v>0</v>
      </c>
      <c r="DR182">
        <f>IF('UP133'!DL:DL,"AAAAAD2/73k=",0)</f>
        <v>0</v>
      </c>
      <c r="DS182">
        <f>IF('UP133'!DM:DM,"AAAAAD2/73o=",0)</f>
        <v>0</v>
      </c>
      <c r="DT182">
        <f>IF('UP133'!DN:DN,"AAAAAD2/73s=",0)</f>
        <v>0</v>
      </c>
      <c r="DU182">
        <f>IF('UP133'!DO:DO,"AAAAAD2/73w=",0)</f>
        <v>0</v>
      </c>
      <c r="DV182">
        <f>IF('UP133'!DP:DP,"AAAAAD2/730=",0)</f>
        <v>0</v>
      </c>
      <c r="DW182">
        <f>IF('UP133'!DQ:DQ,"AAAAAD2/734=",0)</f>
        <v>0</v>
      </c>
      <c r="DX182">
        <f>IF('UP133'!DR:DR,"AAAAAD2/738=",0)</f>
        <v>0</v>
      </c>
      <c r="DY182">
        <f>IF('UP133'!DS:DS,"AAAAAD2/74A=",0)</f>
        <v>0</v>
      </c>
      <c r="DZ182">
        <f>IF('UP133'!DT:DT,"AAAAAD2/74E=",0)</f>
        <v>0</v>
      </c>
      <c r="EA182">
        <f>IF('UP133'!DU:DU,"AAAAAD2/74I=",0)</f>
        <v>0</v>
      </c>
      <c r="EB182">
        <f>IF('UP133'!DV:DV,"AAAAAD2/74M=",0)</f>
        <v>0</v>
      </c>
      <c r="EC182">
        <f>IF('UP133'!DW:DW,"AAAAAD2/74Q=",0)</f>
        <v>0</v>
      </c>
      <c r="ED182">
        <f>IF('UP133'!DX:DX,"AAAAAD2/74U=",0)</f>
        <v>0</v>
      </c>
      <c r="EE182">
        <f>IF('UP133'!DY:DY,"AAAAAD2/74Y=",0)</f>
        <v>0</v>
      </c>
      <c r="EF182">
        <f>IF('UP133'!DZ:DZ,"AAAAAD2/74c=",0)</f>
        <v>0</v>
      </c>
      <c r="EG182">
        <f>IF('UP133'!EA:EA,"AAAAAD2/74g=",0)</f>
        <v>0</v>
      </c>
      <c r="EH182">
        <f>IF('UP133'!EB:EB,"AAAAAD2/74k=",0)</f>
        <v>0</v>
      </c>
      <c r="EI182">
        <f>IF('UP133'!EC:EC,"AAAAAD2/74o=",0)</f>
        <v>0</v>
      </c>
      <c r="EJ182">
        <f>IF('UP133'!ED:ED,"AAAAAD2/74s=",0)</f>
        <v>0</v>
      </c>
      <c r="EK182">
        <f>IF('UP133'!EE:EE,"AAAAAD2/74w=",0)</f>
        <v>0</v>
      </c>
      <c r="EL182">
        <f>IF('UP133'!EF:EF,"AAAAAD2/740=",0)</f>
        <v>0</v>
      </c>
      <c r="EM182">
        <f>IF('UP133'!EG:EG,"AAAAAD2/744=",0)</f>
        <v>0</v>
      </c>
      <c r="EN182">
        <f>IF('UP133'!EH:EH,"AAAAAD2/748=",0)</f>
        <v>0</v>
      </c>
      <c r="EO182">
        <f>IF('UP133'!EI:EI,"AAAAAD2/75A=",0)</f>
        <v>0</v>
      </c>
      <c r="EP182">
        <f>IF('UP133'!EJ:EJ,"AAAAAD2/75E=",0)</f>
        <v>0</v>
      </c>
      <c r="EQ182">
        <f>IF('UP133'!EK:EK,"AAAAAD2/75I=",0)</f>
        <v>0</v>
      </c>
      <c r="ER182">
        <f>IF('UP133'!EL:EL,"AAAAAD2/75M=",0)</f>
        <v>0</v>
      </c>
      <c r="ES182">
        <f>IF('UP133'!EM:EM,"AAAAAD2/75Q=",0)</f>
        <v>0</v>
      </c>
      <c r="ET182">
        <f>IF('UP133'!EN:EN,"AAAAAD2/75U=",0)</f>
        <v>0</v>
      </c>
      <c r="EU182">
        <f>IF('UP133'!EO:EO,"AAAAAD2/75Y=",0)</f>
        <v>0</v>
      </c>
      <c r="EV182">
        <f>IF('UP133'!EP:EP,"AAAAAD2/75c=",0)</f>
        <v>0</v>
      </c>
      <c r="EW182">
        <f>IF('UP133'!EQ:EQ,"AAAAAD2/75g=",0)</f>
        <v>0</v>
      </c>
      <c r="EX182">
        <f>IF('UP133'!ER:ER,"AAAAAD2/75k=",0)</f>
        <v>0</v>
      </c>
      <c r="EY182">
        <f>IF('UP133'!ES:ES,"AAAAAD2/75o=",0)</f>
        <v>0</v>
      </c>
      <c r="EZ182">
        <f>IF('UP133'!ET:ET,"AAAAAD2/75s=",0)</f>
        <v>0</v>
      </c>
      <c r="FA182">
        <f>IF('UP133'!EU:EU,"AAAAAD2/75w=",0)</f>
        <v>0</v>
      </c>
      <c r="FB182">
        <f>IF('UP133'!EV:EV,"AAAAAD2/750=",0)</f>
        <v>0</v>
      </c>
      <c r="FC182">
        <f>IF('UP133'!EW:EW,"AAAAAD2/754=",0)</f>
        <v>0</v>
      </c>
      <c r="FD182">
        <f>IF('UP133'!EX:EX,"AAAAAD2/758=",0)</f>
        <v>0</v>
      </c>
      <c r="FE182">
        <f>IF('UP133'!EY:EY,"AAAAAD2/76A=",0)</f>
        <v>0</v>
      </c>
      <c r="FF182">
        <f>IF('UP133'!EZ:EZ,"AAAAAD2/76E=",0)</f>
        <v>0</v>
      </c>
      <c r="FG182">
        <f>IF('UP133'!FA:FA,"AAAAAD2/76I=",0)</f>
        <v>0</v>
      </c>
      <c r="FH182">
        <f>IF('UP133'!FB:FB,"AAAAAD2/76M=",0)</f>
        <v>0</v>
      </c>
      <c r="FI182">
        <f>IF('UP133'!FC:FC,"AAAAAD2/76Q=",0)</f>
        <v>0</v>
      </c>
      <c r="FJ182">
        <f>IF('UP133'!FD:FD,"AAAAAD2/76U=",0)</f>
        <v>0</v>
      </c>
      <c r="FK182">
        <f>IF('UP133'!FE:FE,"AAAAAD2/76Y=",0)</f>
        <v>0</v>
      </c>
      <c r="FL182">
        <f>IF('UP133'!FF:FF,"AAAAAD2/76c=",0)</f>
        <v>0</v>
      </c>
      <c r="FM182">
        <f>IF('UP133'!FG:FG,"AAAAAD2/76g=",0)</f>
        <v>0</v>
      </c>
      <c r="FN182">
        <f>IF('UP133'!FH:FH,"AAAAAD2/76k=",0)</f>
        <v>0</v>
      </c>
      <c r="FO182">
        <f>IF('UP133'!FI:FI,"AAAAAD2/76o=",0)</f>
        <v>0</v>
      </c>
      <c r="FP182">
        <f>IF('UP133'!FJ:FJ,"AAAAAD2/76s=",0)</f>
        <v>0</v>
      </c>
      <c r="FQ182">
        <f>IF('UP133'!FK:FK,"AAAAAD2/76w=",0)</f>
        <v>0</v>
      </c>
      <c r="FR182">
        <f>IF('UP133'!FL:FL,"AAAAAD2/760=",0)</f>
        <v>0</v>
      </c>
      <c r="FS182">
        <f>IF('UP133'!FM:FM,"AAAAAD2/764=",0)</f>
        <v>0</v>
      </c>
      <c r="FT182">
        <f>IF('UP133'!FN:FN,"AAAAAD2/768=",0)</f>
        <v>0</v>
      </c>
      <c r="FU182">
        <f>IF('UP133'!FO:FO,"AAAAAD2/77A=",0)</f>
        <v>0</v>
      </c>
      <c r="FV182">
        <f>IF('UP133'!FP:FP,"AAAAAD2/77E=",0)</f>
        <v>0</v>
      </c>
      <c r="FW182">
        <f>IF('UP133'!FQ:FQ,"AAAAAD2/77I=",0)</f>
        <v>0</v>
      </c>
      <c r="FX182">
        <f>IF('UP133'!FR:FR,"AAAAAD2/77M=",0)</f>
        <v>0</v>
      </c>
      <c r="FY182">
        <f>IF('UP133'!FS:FS,"AAAAAD2/77Q=",0)</f>
        <v>0</v>
      </c>
      <c r="FZ182">
        <f>IF('UP133'!FT:FT,"AAAAAD2/77U=",0)</f>
        <v>0</v>
      </c>
      <c r="GA182">
        <f>IF('UP133'!FU:FU,"AAAAAD2/77Y=",0)</f>
        <v>0</v>
      </c>
      <c r="GB182">
        <f>IF('UP133'!FV:FV,"AAAAAD2/77c=",0)</f>
        <v>0</v>
      </c>
      <c r="GC182">
        <f>IF('UP133'!FW:FW,"AAAAAD2/77g=",0)</f>
        <v>0</v>
      </c>
      <c r="GD182">
        <f>IF('UP133'!FX:FX,"AAAAAD2/77k=",0)</f>
        <v>0</v>
      </c>
      <c r="GE182">
        <f>IF('UP133'!FY:FY,"AAAAAD2/77o=",0)</f>
        <v>0</v>
      </c>
      <c r="GF182">
        <f>IF('UP133'!FZ:FZ,"AAAAAD2/77s=",0)</f>
        <v>0</v>
      </c>
      <c r="GG182">
        <f>IF('UP133'!GA:GA,"AAAAAD2/77w=",0)</f>
        <v>0</v>
      </c>
      <c r="GH182">
        <f>IF('UP133'!GB:GB,"AAAAAD2/770=",0)</f>
        <v>0</v>
      </c>
      <c r="GI182">
        <f>IF('UP133'!GC:GC,"AAAAAD2/774=",0)</f>
        <v>0</v>
      </c>
      <c r="GJ182">
        <f>IF('UP133'!GD:GD,"AAAAAD2/778=",0)</f>
        <v>0</v>
      </c>
      <c r="GK182">
        <f>IF('UP133'!GE:GE,"AAAAAD2/78A=",0)</f>
        <v>0</v>
      </c>
      <c r="GL182">
        <f>IF('UP133'!GF:GF,"AAAAAD2/78E=",0)</f>
        <v>0</v>
      </c>
      <c r="GM182">
        <f>IF('UP133'!GG:GG,"AAAAAD2/78I=",0)</f>
        <v>0</v>
      </c>
      <c r="GN182">
        <f>IF('UP133'!GH:GH,"AAAAAD2/78M=",0)</f>
        <v>0</v>
      </c>
      <c r="GO182">
        <f>IF('UP133'!GI:GI,"AAAAAD2/78Q=",0)</f>
        <v>0</v>
      </c>
      <c r="GP182">
        <f>IF('UP133'!GJ:GJ,"AAAAAD2/78U=",0)</f>
        <v>0</v>
      </c>
      <c r="GQ182">
        <f>IF('UP133'!GK:GK,"AAAAAD2/78Y=",0)</f>
        <v>0</v>
      </c>
      <c r="GR182">
        <f>IF('UP133'!GL:GL,"AAAAAD2/78c=",0)</f>
        <v>0</v>
      </c>
      <c r="GS182">
        <f>IF('UP133'!GM:GM,"AAAAAD2/78g=",0)</f>
        <v>0</v>
      </c>
      <c r="GT182">
        <f>IF('UP133'!GN:GN,"AAAAAD2/78k=",0)</f>
        <v>0</v>
      </c>
      <c r="GU182">
        <f>IF('UP133'!GO:GO,"AAAAAD2/78o=",0)</f>
        <v>0</v>
      </c>
      <c r="GV182">
        <f>IF('UP133'!GP:GP,"AAAAAD2/78s=",0)</f>
        <v>0</v>
      </c>
      <c r="GW182">
        <f>IF('UP133'!GQ:GQ,"AAAAAD2/78w=",0)</f>
        <v>0</v>
      </c>
      <c r="GX182">
        <f>IF('UP133'!GR:GR,"AAAAAD2/780=",0)</f>
        <v>0</v>
      </c>
      <c r="GY182">
        <f>IF('UP133'!GS:GS,"AAAAAD2/784=",0)</f>
        <v>0</v>
      </c>
      <c r="GZ182">
        <f>IF('UP133'!GT:GT,"AAAAAD2/788=",0)</f>
        <v>0</v>
      </c>
      <c r="HA182">
        <f>IF('UP133'!GU:GU,"AAAAAD2/79A=",0)</f>
        <v>0</v>
      </c>
      <c r="HB182">
        <f>IF('UP133'!GV:GV,"AAAAAD2/79E=",0)</f>
        <v>0</v>
      </c>
      <c r="HC182">
        <f>IF('UP133'!GW:GW,"AAAAAD2/79I=",0)</f>
        <v>0</v>
      </c>
      <c r="HD182">
        <f>IF('UP133'!GX:GX,"AAAAAD2/79M=",0)</f>
        <v>0</v>
      </c>
      <c r="HE182">
        <f>IF('UP133'!GY:GY,"AAAAAD2/79Q=",0)</f>
        <v>0</v>
      </c>
      <c r="HF182">
        <f>IF('UP133'!GZ:GZ,"AAAAAD2/79U=",0)</f>
        <v>0</v>
      </c>
      <c r="HG182">
        <f>IF('UP133'!HA:HA,"AAAAAD2/79Y=",0)</f>
        <v>0</v>
      </c>
      <c r="HH182">
        <f>IF('UP133'!HB:HB,"AAAAAD2/79c=",0)</f>
        <v>0</v>
      </c>
      <c r="HI182">
        <f>IF('UP133'!HC:HC,"AAAAAD2/79g=",0)</f>
        <v>0</v>
      </c>
      <c r="HJ182">
        <f>IF('UP133'!HD:HD,"AAAAAD2/79k=",0)</f>
        <v>0</v>
      </c>
      <c r="HK182">
        <f>IF('UP133'!HE:HE,"AAAAAD2/79o=",0)</f>
        <v>0</v>
      </c>
      <c r="HL182">
        <f>IF('UP133'!HF:HF,"AAAAAD2/79s=",0)</f>
        <v>0</v>
      </c>
      <c r="HM182">
        <f>IF('UP133'!HG:HG,"AAAAAD2/79w=",0)</f>
        <v>0</v>
      </c>
      <c r="HN182">
        <f>IF('UP133'!HH:HH,"AAAAAD2/790=",0)</f>
        <v>0</v>
      </c>
      <c r="HO182">
        <f>IF('UP133'!HI:HI,"AAAAAD2/794=",0)</f>
        <v>0</v>
      </c>
      <c r="HP182">
        <f>IF('UP133'!HJ:HJ,"AAAAAD2/798=",0)</f>
        <v>0</v>
      </c>
      <c r="HQ182">
        <f>IF('UP133'!HK:HK,"AAAAAD2/7+A=",0)</f>
        <v>0</v>
      </c>
      <c r="HR182">
        <f>IF('UP133'!HL:HL,"AAAAAD2/7+E=",0)</f>
        <v>0</v>
      </c>
      <c r="HS182">
        <f>IF('UP133'!HM:HM,"AAAAAD2/7+I=",0)</f>
        <v>0</v>
      </c>
      <c r="HT182">
        <f>IF('UP133'!HN:HN,"AAAAAD2/7+M=",0)</f>
        <v>0</v>
      </c>
      <c r="HU182">
        <f>IF('UP133'!HO:HO,"AAAAAD2/7+Q=",0)</f>
        <v>0</v>
      </c>
      <c r="HV182">
        <f>IF('UP133'!HP:HP,"AAAAAD2/7+U=",0)</f>
        <v>0</v>
      </c>
      <c r="HW182">
        <f>IF('UP133'!HQ:HQ,"AAAAAD2/7+Y=",0)</f>
        <v>0</v>
      </c>
      <c r="HX182">
        <f>IF('UP133'!HR:HR,"AAAAAD2/7+c=",0)</f>
        <v>0</v>
      </c>
      <c r="HY182">
        <f>IF('UP133'!HS:HS,"AAAAAD2/7+g=",0)</f>
        <v>0</v>
      </c>
      <c r="HZ182">
        <f>IF('UP133'!HT:HT,"AAAAAD2/7+k=",0)</f>
        <v>0</v>
      </c>
      <c r="IA182">
        <f>IF('UP133'!HU:HU,"AAAAAD2/7+o=",0)</f>
        <v>0</v>
      </c>
      <c r="IB182">
        <f>IF('UP133'!HV:HV,"AAAAAD2/7+s=",0)</f>
        <v>0</v>
      </c>
      <c r="IC182">
        <f>IF('UP133'!HW:HW,"AAAAAD2/7+w=",0)</f>
        <v>0</v>
      </c>
      <c r="ID182">
        <f>IF('UP133'!HX:HX,"AAAAAD2/7+0=",0)</f>
        <v>0</v>
      </c>
      <c r="IE182">
        <f>IF('UP133'!HY:HY,"AAAAAD2/7+4=",0)</f>
        <v>0</v>
      </c>
      <c r="IF182">
        <f>IF('UP133'!HZ:HZ,"AAAAAD2/7+8=",0)</f>
        <v>0</v>
      </c>
      <c r="IG182">
        <f>IF('UP133'!IA:IA,"AAAAAD2/7/A=",0)</f>
        <v>0</v>
      </c>
      <c r="IH182">
        <f>IF('UP133'!IB:IB,"AAAAAD2/7/E=",0)</f>
        <v>0</v>
      </c>
      <c r="II182">
        <f>IF('UP133'!IC:IC,"AAAAAD2/7/I=",0)</f>
        <v>0</v>
      </c>
      <c r="IJ182">
        <f>IF('UP133'!ID:ID,"AAAAAD2/7/M=",0)</f>
        <v>0</v>
      </c>
      <c r="IK182">
        <f>IF('UP133'!IE:IE,"AAAAAD2/7/Q=",0)</f>
        <v>0</v>
      </c>
      <c r="IL182">
        <f>IF('UP133'!IF:IF,"AAAAAD2/7/U=",0)</f>
        <v>0</v>
      </c>
      <c r="IM182">
        <f>IF('UP133'!IG:IG,"AAAAAD2/7/Y=",0)</f>
        <v>0</v>
      </c>
      <c r="IN182">
        <f>IF('UP133'!IH:IH,"AAAAAD2/7/c=",0)</f>
        <v>0</v>
      </c>
      <c r="IO182">
        <f>IF('UP133'!II:II,"AAAAAD2/7/g=",0)</f>
        <v>0</v>
      </c>
      <c r="IP182">
        <f>IF('UP133'!IJ:IJ,"AAAAAD2/7/k=",0)</f>
        <v>0</v>
      </c>
      <c r="IQ182">
        <f>IF('UP133'!IK:IK,"AAAAAD2/7/o=",0)</f>
        <v>0</v>
      </c>
      <c r="IR182">
        <f>IF('UP133'!IL:IL,"AAAAAD2/7/s=",0)</f>
        <v>0</v>
      </c>
      <c r="IS182">
        <f>IF('UP133'!IM:IM,"AAAAAD2/7/w=",0)</f>
        <v>0</v>
      </c>
      <c r="IT182">
        <f>IF('UP133'!IN:IN,"AAAAAD2/7/0=",0)</f>
        <v>0</v>
      </c>
      <c r="IU182">
        <f>IF('UP133'!IO:IO,"AAAAAD2/7/4=",0)</f>
        <v>0</v>
      </c>
      <c r="IV182">
        <f>IF('UP133'!IP:IP,"AAAAAD2/7/8=",0)</f>
        <v>0</v>
      </c>
    </row>
    <row r="183" spans="1:256">
      <c r="A183">
        <f>IF('UP133'!IQ:IQ,"AAAAAD/+jgA=",0)</f>
        <v>0</v>
      </c>
      <c r="B183" t="e">
        <f>IF(ТитЛист!1:1,"AAAAAD/+jgE=",0)</f>
        <v>#VALUE!</v>
      </c>
      <c r="C183" t="e">
        <f>AND(ТитЛист!A1,"AAAAAD/+jgI=")</f>
        <v>#VALUE!</v>
      </c>
      <c r="D183" t="e">
        <f>AND(ТитЛист!B1,"AAAAAD/+jgM=")</f>
        <v>#VALUE!</v>
      </c>
      <c r="E183" t="e">
        <f>AND(ТитЛист!C1,"AAAAAD/+jgQ=")</f>
        <v>#VALUE!</v>
      </c>
      <c r="F183" t="e">
        <f>AND(ТитЛист!D1,"AAAAAD/+jgU=")</f>
        <v>#VALUE!</v>
      </c>
      <c r="G183" t="e">
        <f>AND(ТитЛист!E1,"AAAAAD/+jgY=")</f>
        <v>#VALUE!</v>
      </c>
      <c r="H183" t="e">
        <f>AND(ТитЛист!F1,"AAAAAD/+jgc=")</f>
        <v>#VALUE!</v>
      </c>
      <c r="I183" t="e">
        <f>AND(ТитЛист!G1,"AAAAAD/+jgg=")</f>
        <v>#VALUE!</v>
      </c>
      <c r="J183" t="e">
        <f>AND(ТитЛист!H1,"AAAAAD/+jgk=")</f>
        <v>#VALUE!</v>
      </c>
      <c r="K183" t="e">
        <f>AND(ТитЛист!I1,"AAAAAD/+jgo=")</f>
        <v>#VALUE!</v>
      </c>
      <c r="L183" t="e">
        <f>AND(ТитЛист!J1,"AAAAAD/+jgs=")</f>
        <v>#VALUE!</v>
      </c>
      <c r="M183" t="e">
        <f>AND(ТитЛист!K1,"AAAAAD/+jgw=")</f>
        <v>#VALUE!</v>
      </c>
      <c r="N183" t="e">
        <f>AND(ТитЛист!L1,"AAAAAD/+jg0=")</f>
        <v>#VALUE!</v>
      </c>
      <c r="O183" t="e">
        <f>AND(ТитЛист!M1,"AAAAAD/+jg4=")</f>
        <v>#VALUE!</v>
      </c>
      <c r="P183" t="e">
        <f>AND(ТитЛист!N1,"AAAAAD/+jg8=")</f>
        <v>#VALUE!</v>
      </c>
      <c r="Q183" t="e">
        <f>AND(ТитЛист!O1,"AAAAAD/+jhA=")</f>
        <v>#VALUE!</v>
      </c>
      <c r="R183" t="e">
        <f>AND(ТитЛист!P1,"AAAAAD/+jhE=")</f>
        <v>#VALUE!</v>
      </c>
      <c r="S183" t="e">
        <f>AND(ТитЛист!Q1,"AAAAAD/+jhI=")</f>
        <v>#VALUE!</v>
      </c>
      <c r="T183" t="e">
        <f>AND(ТитЛист!R1,"AAAAAD/+jhM=")</f>
        <v>#VALUE!</v>
      </c>
      <c r="U183" t="e">
        <f>AND(ТитЛист!S1,"AAAAAD/+jhQ=")</f>
        <v>#VALUE!</v>
      </c>
      <c r="V183" t="e">
        <f>AND(ТитЛист!T1,"AAAAAD/+jhU=")</f>
        <v>#VALUE!</v>
      </c>
      <c r="W183" t="e">
        <f>AND(ТитЛист!U1,"AAAAAD/+jhY=")</f>
        <v>#VALUE!</v>
      </c>
      <c r="X183" t="e">
        <f>AND(ТитЛист!V1,"AAAAAD/+jhc=")</f>
        <v>#VALUE!</v>
      </c>
      <c r="Y183" t="e">
        <f>AND(ТитЛист!W1,"AAAAAD/+jhg=")</f>
        <v>#VALUE!</v>
      </c>
      <c r="Z183" t="e">
        <f>AND(ТитЛист!X1,"AAAAAD/+jhk=")</f>
        <v>#VALUE!</v>
      </c>
      <c r="AA183" t="e">
        <f>AND(ТитЛист!Y1,"AAAAAD/+jho=")</f>
        <v>#VALUE!</v>
      </c>
      <c r="AB183" t="e">
        <f>AND(ТитЛист!Z1,"AAAAAD/+jhs=")</f>
        <v>#VALUE!</v>
      </c>
      <c r="AC183" t="e">
        <f>AND(ТитЛист!AA1,"AAAAAD/+jhw=")</f>
        <v>#VALUE!</v>
      </c>
      <c r="AD183" t="e">
        <f>AND(ТитЛист!AB1,"AAAAAD/+jh0=")</f>
        <v>#VALUE!</v>
      </c>
      <c r="AE183" t="e">
        <f>AND(ТитЛист!AC1,"AAAAAD/+jh4=")</f>
        <v>#VALUE!</v>
      </c>
      <c r="AF183" t="e">
        <f>AND(ТитЛист!AD1,"AAAAAD/+jh8=")</f>
        <v>#VALUE!</v>
      </c>
      <c r="AG183" t="e">
        <f>AND(ТитЛист!AE1,"AAAAAD/+jiA=")</f>
        <v>#VALUE!</v>
      </c>
      <c r="AH183" t="e">
        <f>AND(ТитЛист!AF1,"AAAAAD/+jiE=")</f>
        <v>#VALUE!</v>
      </c>
      <c r="AI183" t="e">
        <f>AND(ТитЛист!AG1,"AAAAAD/+jiI=")</f>
        <v>#VALUE!</v>
      </c>
      <c r="AJ183" t="e">
        <f>AND(ТитЛист!AH1,"AAAAAD/+jiM=")</f>
        <v>#VALUE!</v>
      </c>
      <c r="AK183" t="e">
        <f>AND(ТитЛист!AI1,"AAAAAD/+jiQ=")</f>
        <v>#VALUE!</v>
      </c>
      <c r="AL183" t="e">
        <f>AND(ТитЛист!AJ1,"AAAAAD/+jiU=")</f>
        <v>#VALUE!</v>
      </c>
      <c r="AM183" t="e">
        <f>AND(ТитЛист!AK1,"AAAAAD/+jiY=")</f>
        <v>#VALUE!</v>
      </c>
      <c r="AN183">
        <f>IF(ТитЛист!2:2,"AAAAAD/+jic=",0)</f>
        <v>0</v>
      </c>
      <c r="AO183" t="e">
        <f>AND(ТитЛист!A2,"AAAAAD/+jig=")</f>
        <v>#VALUE!</v>
      </c>
      <c r="AP183" t="e">
        <f>AND(ТитЛист!B2,"AAAAAD/+jik=")</f>
        <v>#VALUE!</v>
      </c>
      <c r="AQ183" t="e">
        <f>AND(ТитЛист!C2,"AAAAAD/+jio=")</f>
        <v>#VALUE!</v>
      </c>
      <c r="AR183" t="e">
        <f>AND(ТитЛист!D2,"AAAAAD/+jis=")</f>
        <v>#VALUE!</v>
      </c>
      <c r="AS183" t="e">
        <f>AND(ТитЛист!E2,"AAAAAD/+jiw=")</f>
        <v>#VALUE!</v>
      </c>
      <c r="AT183" t="e">
        <f>AND(ТитЛист!F2,"AAAAAD/+ji0=")</f>
        <v>#VALUE!</v>
      </c>
      <c r="AU183" t="e">
        <f>AND(ТитЛист!G2,"AAAAAD/+ji4=")</f>
        <v>#VALUE!</v>
      </c>
      <c r="AV183" t="e">
        <f>AND(ТитЛист!H2,"AAAAAD/+ji8=")</f>
        <v>#VALUE!</v>
      </c>
      <c r="AW183" t="e">
        <f>AND(ТитЛист!I2,"AAAAAD/+jjA=")</f>
        <v>#VALUE!</v>
      </c>
      <c r="AX183" t="e">
        <f>AND(ТитЛист!J2,"AAAAAD/+jjE=")</f>
        <v>#VALUE!</v>
      </c>
      <c r="AY183" t="e">
        <f>AND(ТитЛист!K2,"AAAAAD/+jjI=")</f>
        <v>#VALUE!</v>
      </c>
      <c r="AZ183" t="e">
        <f>AND(ТитЛист!L2,"AAAAAD/+jjM=")</f>
        <v>#VALUE!</v>
      </c>
      <c r="BA183" t="e">
        <f>AND(ТитЛист!M2,"AAAAAD/+jjQ=")</f>
        <v>#VALUE!</v>
      </c>
      <c r="BB183" t="e">
        <f>AND(ТитЛист!N2,"AAAAAD/+jjU=")</f>
        <v>#VALUE!</v>
      </c>
      <c r="BC183" t="e">
        <f>AND(ТитЛист!O2,"AAAAAD/+jjY=")</f>
        <v>#VALUE!</v>
      </c>
      <c r="BD183" t="e">
        <f>AND(ТитЛист!P2,"AAAAAD/+jjc=")</f>
        <v>#VALUE!</v>
      </c>
      <c r="BE183" t="e">
        <f>AND(ТитЛист!Q2,"AAAAAD/+jjg=")</f>
        <v>#VALUE!</v>
      </c>
      <c r="BF183" t="e">
        <f>AND(ТитЛист!R2,"AAAAAD/+jjk=")</f>
        <v>#VALUE!</v>
      </c>
      <c r="BG183" t="e">
        <f>AND(ТитЛист!S2,"AAAAAD/+jjo=")</f>
        <v>#VALUE!</v>
      </c>
      <c r="BH183" t="e">
        <f>AND(ТитЛист!T2,"AAAAAD/+jjs=")</f>
        <v>#VALUE!</v>
      </c>
      <c r="BI183" t="e">
        <f>AND(ТитЛист!U2,"AAAAAD/+jjw=")</f>
        <v>#VALUE!</v>
      </c>
      <c r="BJ183" t="e">
        <f>AND(ТитЛист!V2,"AAAAAD/+jj0=")</f>
        <v>#VALUE!</v>
      </c>
      <c r="BK183" t="e">
        <f>AND(ТитЛист!W2,"AAAAAD/+jj4=")</f>
        <v>#VALUE!</v>
      </c>
      <c r="BL183" t="e">
        <f>AND(ТитЛист!X2,"AAAAAD/+jj8=")</f>
        <v>#VALUE!</v>
      </c>
      <c r="BM183" t="e">
        <f>AND(ТитЛист!Y2,"AAAAAD/+jkA=")</f>
        <v>#VALUE!</v>
      </c>
      <c r="BN183" t="e">
        <f>AND(ТитЛист!Z2,"AAAAAD/+jkE=")</f>
        <v>#VALUE!</v>
      </c>
      <c r="BO183" t="e">
        <f>AND(ТитЛист!AA2,"AAAAAD/+jkI=")</f>
        <v>#VALUE!</v>
      </c>
      <c r="BP183" t="e">
        <f>AND(ТитЛист!AB2,"AAAAAD/+jkM=")</f>
        <v>#VALUE!</v>
      </c>
      <c r="BQ183" t="e">
        <f>AND(ТитЛист!AC2,"AAAAAD/+jkQ=")</f>
        <v>#VALUE!</v>
      </c>
      <c r="BR183" t="e">
        <f>AND(ТитЛист!AD2,"AAAAAD/+jkU=")</f>
        <v>#VALUE!</v>
      </c>
      <c r="BS183" t="e">
        <f>AND(ТитЛист!AE2,"AAAAAD/+jkY=")</f>
        <v>#VALUE!</v>
      </c>
      <c r="BT183" t="e">
        <f>AND(ТитЛист!AF2,"AAAAAD/+jkc=")</f>
        <v>#VALUE!</v>
      </c>
      <c r="BU183" t="e">
        <f>AND(ТитЛист!AG2,"AAAAAD/+jkg=")</f>
        <v>#VALUE!</v>
      </c>
      <c r="BV183" t="e">
        <f>AND(ТитЛист!AH2,"AAAAAD/+jkk=")</f>
        <v>#VALUE!</v>
      </c>
      <c r="BW183" t="e">
        <f>AND(ТитЛист!AI2,"AAAAAD/+jko=")</f>
        <v>#VALUE!</v>
      </c>
      <c r="BX183" t="e">
        <f>AND(ТитЛист!AJ2,"AAAAAD/+jks=")</f>
        <v>#VALUE!</v>
      </c>
      <c r="BY183" t="e">
        <f>AND(ТитЛист!AK2,"AAAAAD/+jkw=")</f>
        <v>#VALUE!</v>
      </c>
      <c r="BZ183">
        <f>IF(ТитЛист!3:3,"AAAAAD/+jk0=",0)</f>
        <v>0</v>
      </c>
      <c r="CA183" t="e">
        <f>AND(ТитЛист!A3,"AAAAAD/+jk4=")</f>
        <v>#VALUE!</v>
      </c>
      <c r="CB183" t="e">
        <f>AND(ТитЛист!B3,"AAAAAD/+jk8=")</f>
        <v>#VALUE!</v>
      </c>
      <c r="CC183" t="e">
        <f>AND(ТитЛист!C3,"AAAAAD/+jlA=")</f>
        <v>#VALUE!</v>
      </c>
      <c r="CD183" t="e">
        <f>AND(ТитЛист!D3,"AAAAAD/+jlE=")</f>
        <v>#VALUE!</v>
      </c>
      <c r="CE183" t="e">
        <f>AND(ТитЛист!E3,"AAAAAD/+jlI=")</f>
        <v>#VALUE!</v>
      </c>
      <c r="CF183" t="e">
        <f>AND(ТитЛист!F3,"AAAAAD/+jlM=")</f>
        <v>#VALUE!</v>
      </c>
      <c r="CG183" t="e">
        <f>AND(ТитЛист!G3,"AAAAAD/+jlQ=")</f>
        <v>#VALUE!</v>
      </c>
      <c r="CH183" t="e">
        <f>AND(ТитЛист!H3,"AAAAAD/+jlU=")</f>
        <v>#VALUE!</v>
      </c>
      <c r="CI183" t="e">
        <f>AND(ТитЛист!I3,"AAAAAD/+jlY=")</f>
        <v>#VALUE!</v>
      </c>
      <c r="CJ183" t="e">
        <f>AND(ТитЛист!J3,"AAAAAD/+jlc=")</f>
        <v>#VALUE!</v>
      </c>
      <c r="CK183" t="e">
        <f>AND(ТитЛист!K3,"AAAAAD/+jlg=")</f>
        <v>#VALUE!</v>
      </c>
      <c r="CL183" t="e">
        <f>AND(ТитЛист!L3,"AAAAAD/+jlk=")</f>
        <v>#VALUE!</v>
      </c>
      <c r="CM183" t="e">
        <f>AND(ТитЛист!M3,"AAAAAD/+jlo=")</f>
        <v>#VALUE!</v>
      </c>
      <c r="CN183" t="e">
        <f>AND(ТитЛист!N3,"AAAAAD/+jls=")</f>
        <v>#VALUE!</v>
      </c>
      <c r="CO183" t="e">
        <f>AND(ТитЛист!O3,"AAAAAD/+jlw=")</f>
        <v>#VALUE!</v>
      </c>
      <c r="CP183" t="e">
        <f>AND(ТитЛист!P3,"AAAAAD/+jl0=")</f>
        <v>#VALUE!</v>
      </c>
      <c r="CQ183" t="e">
        <f>AND(ТитЛист!Q3,"AAAAAD/+jl4=")</f>
        <v>#VALUE!</v>
      </c>
      <c r="CR183" t="e">
        <f>AND(ТитЛист!R3,"AAAAAD/+jl8=")</f>
        <v>#VALUE!</v>
      </c>
      <c r="CS183" t="e">
        <f>AND(ТитЛист!S3,"AAAAAD/+jmA=")</f>
        <v>#VALUE!</v>
      </c>
      <c r="CT183" t="e">
        <f>AND(ТитЛист!T3,"AAAAAD/+jmE=")</f>
        <v>#VALUE!</v>
      </c>
      <c r="CU183" t="e">
        <f>AND(ТитЛист!U3,"AAAAAD/+jmI=")</f>
        <v>#VALUE!</v>
      </c>
      <c r="CV183" t="e">
        <f>AND(ТитЛист!V3,"AAAAAD/+jmM=")</f>
        <v>#VALUE!</v>
      </c>
      <c r="CW183" t="e">
        <f>AND(ТитЛист!W3,"AAAAAD/+jmQ=")</f>
        <v>#VALUE!</v>
      </c>
      <c r="CX183" t="e">
        <f>AND(ТитЛист!X3,"AAAAAD/+jmU=")</f>
        <v>#VALUE!</v>
      </c>
      <c r="CY183" t="e">
        <f>AND(ТитЛист!Y3,"AAAAAD/+jmY=")</f>
        <v>#VALUE!</v>
      </c>
      <c r="CZ183" t="e">
        <f>AND(ТитЛист!Z3,"AAAAAD/+jmc=")</f>
        <v>#VALUE!</v>
      </c>
      <c r="DA183" t="e">
        <f>AND(ТитЛист!AA3,"AAAAAD/+jmg=")</f>
        <v>#VALUE!</v>
      </c>
      <c r="DB183" t="e">
        <f>AND(ТитЛист!AB3,"AAAAAD/+jmk=")</f>
        <v>#VALUE!</v>
      </c>
      <c r="DC183" t="e">
        <f>AND(ТитЛист!AC3,"AAAAAD/+jmo=")</f>
        <v>#VALUE!</v>
      </c>
      <c r="DD183" t="e">
        <f>AND(ТитЛист!AD3,"AAAAAD/+jms=")</f>
        <v>#VALUE!</v>
      </c>
      <c r="DE183" t="e">
        <f>AND(ТитЛист!AE3,"AAAAAD/+jmw=")</f>
        <v>#VALUE!</v>
      </c>
      <c r="DF183" t="e">
        <f>AND(ТитЛист!AF3,"AAAAAD/+jm0=")</f>
        <v>#VALUE!</v>
      </c>
      <c r="DG183" t="e">
        <f>AND(ТитЛист!AG3,"AAAAAD/+jm4=")</f>
        <v>#VALUE!</v>
      </c>
      <c r="DH183" t="e">
        <f>AND(ТитЛист!AH3,"AAAAAD/+jm8=")</f>
        <v>#VALUE!</v>
      </c>
      <c r="DI183" t="e">
        <f>AND(ТитЛист!AI3,"AAAAAD/+jnA=")</f>
        <v>#VALUE!</v>
      </c>
      <c r="DJ183" t="e">
        <f>AND(ТитЛист!AJ3,"AAAAAD/+jnE=")</f>
        <v>#VALUE!</v>
      </c>
      <c r="DK183" t="e">
        <f>AND(ТитЛист!AK3,"AAAAAD/+jnI=")</f>
        <v>#VALUE!</v>
      </c>
      <c r="DL183">
        <f>IF(ТитЛист!4:4,"AAAAAD/+jnM=",0)</f>
        <v>0</v>
      </c>
      <c r="DM183" t="e">
        <f>AND(ТитЛист!A4,"AAAAAD/+jnQ=")</f>
        <v>#VALUE!</v>
      </c>
      <c r="DN183" t="e">
        <f>AND(ТитЛист!B4,"AAAAAD/+jnU=")</f>
        <v>#VALUE!</v>
      </c>
      <c r="DO183" t="e">
        <f>AND(ТитЛист!C4,"AAAAAD/+jnY=")</f>
        <v>#VALUE!</v>
      </c>
      <c r="DP183" t="e">
        <f>AND(ТитЛист!D4,"AAAAAD/+jnc=")</f>
        <v>#VALUE!</v>
      </c>
      <c r="DQ183" t="e">
        <f>AND(ТитЛист!E4,"AAAAAD/+jng=")</f>
        <v>#VALUE!</v>
      </c>
      <c r="DR183" t="e">
        <f>AND(ТитЛист!F4,"AAAAAD/+jnk=")</f>
        <v>#VALUE!</v>
      </c>
      <c r="DS183" t="e">
        <f>AND(ТитЛист!G4,"AAAAAD/+jno=")</f>
        <v>#VALUE!</v>
      </c>
      <c r="DT183" t="e">
        <f>AND(ТитЛист!H4,"AAAAAD/+jns=")</f>
        <v>#VALUE!</v>
      </c>
      <c r="DU183" t="e">
        <f>AND(ТитЛист!I4,"AAAAAD/+jnw=")</f>
        <v>#VALUE!</v>
      </c>
      <c r="DV183" t="e">
        <f>AND(ТитЛист!J4,"AAAAAD/+jn0=")</f>
        <v>#VALUE!</v>
      </c>
      <c r="DW183" t="e">
        <f>AND(ТитЛист!K4,"AAAAAD/+jn4=")</f>
        <v>#VALUE!</v>
      </c>
      <c r="DX183" t="e">
        <f>AND(ТитЛист!L4,"AAAAAD/+jn8=")</f>
        <v>#VALUE!</v>
      </c>
      <c r="DY183" t="e">
        <f>AND(ТитЛист!M4,"AAAAAD/+joA=")</f>
        <v>#VALUE!</v>
      </c>
      <c r="DZ183" t="e">
        <f>AND(ТитЛист!N4,"AAAAAD/+joE=")</f>
        <v>#VALUE!</v>
      </c>
      <c r="EA183" t="e">
        <f>AND(ТитЛист!O4,"AAAAAD/+joI=")</f>
        <v>#VALUE!</v>
      </c>
      <c r="EB183" t="e">
        <f>AND(ТитЛист!P4,"AAAAAD/+joM=")</f>
        <v>#VALUE!</v>
      </c>
      <c r="EC183" t="e">
        <f>AND(ТитЛист!Q4,"AAAAAD/+joQ=")</f>
        <v>#VALUE!</v>
      </c>
      <c r="ED183" t="e">
        <f>AND(ТитЛист!R4,"AAAAAD/+joU=")</f>
        <v>#VALUE!</v>
      </c>
      <c r="EE183" t="e">
        <f>AND(ТитЛист!S4,"AAAAAD/+joY=")</f>
        <v>#VALUE!</v>
      </c>
      <c r="EF183" t="e">
        <f>AND(ТитЛист!T4,"AAAAAD/+joc=")</f>
        <v>#VALUE!</v>
      </c>
      <c r="EG183" t="e">
        <f>AND(ТитЛист!U4,"AAAAAD/+jog=")</f>
        <v>#VALUE!</v>
      </c>
      <c r="EH183" t="e">
        <f>AND(ТитЛист!V4,"AAAAAD/+jok=")</f>
        <v>#VALUE!</v>
      </c>
      <c r="EI183" t="e">
        <f>AND(ТитЛист!W4,"AAAAAD/+joo=")</f>
        <v>#VALUE!</v>
      </c>
      <c r="EJ183" t="e">
        <f>AND(ТитЛист!X4,"AAAAAD/+jos=")</f>
        <v>#VALUE!</v>
      </c>
      <c r="EK183" t="e">
        <f>AND(ТитЛист!Y4,"AAAAAD/+jow=")</f>
        <v>#VALUE!</v>
      </c>
      <c r="EL183" t="e">
        <f>AND(ТитЛист!Z4,"AAAAAD/+jo0=")</f>
        <v>#VALUE!</v>
      </c>
      <c r="EM183" t="e">
        <f>AND(ТитЛист!AA4,"AAAAAD/+jo4=")</f>
        <v>#VALUE!</v>
      </c>
      <c r="EN183" t="e">
        <f>AND(ТитЛист!AB4,"AAAAAD/+jo8=")</f>
        <v>#VALUE!</v>
      </c>
      <c r="EO183" t="e">
        <f>AND(ТитЛист!AC4,"AAAAAD/+jpA=")</f>
        <v>#VALUE!</v>
      </c>
      <c r="EP183" t="e">
        <f>AND(ТитЛист!AD4,"AAAAAD/+jpE=")</f>
        <v>#VALUE!</v>
      </c>
      <c r="EQ183" t="e">
        <f>AND(ТитЛист!AE4,"AAAAAD/+jpI=")</f>
        <v>#VALUE!</v>
      </c>
      <c r="ER183" t="e">
        <f>AND(ТитЛист!AF4,"AAAAAD/+jpM=")</f>
        <v>#VALUE!</v>
      </c>
      <c r="ES183" t="e">
        <f>AND(ТитЛист!AG4,"AAAAAD/+jpQ=")</f>
        <v>#VALUE!</v>
      </c>
      <c r="ET183" t="e">
        <f>AND(ТитЛист!AH4,"AAAAAD/+jpU=")</f>
        <v>#VALUE!</v>
      </c>
      <c r="EU183" t="e">
        <f>AND(ТитЛист!AI4,"AAAAAD/+jpY=")</f>
        <v>#VALUE!</v>
      </c>
      <c r="EV183" t="e">
        <f>AND(ТитЛист!AJ4,"AAAAAD/+jpc=")</f>
        <v>#VALUE!</v>
      </c>
      <c r="EW183" t="e">
        <f>AND(ТитЛист!AK4,"AAAAAD/+jpg=")</f>
        <v>#VALUE!</v>
      </c>
      <c r="EX183">
        <f>IF(ТитЛист!5:5,"AAAAAD/+jpk=",0)</f>
        <v>0</v>
      </c>
      <c r="EY183" t="e">
        <f>AND(ТитЛист!A5,"AAAAAD/+jpo=")</f>
        <v>#VALUE!</v>
      </c>
      <c r="EZ183" t="e">
        <f>AND(ТитЛист!B5,"AAAAAD/+jps=")</f>
        <v>#VALUE!</v>
      </c>
      <c r="FA183" t="e">
        <f>AND(ТитЛист!C5,"AAAAAD/+jpw=")</f>
        <v>#VALUE!</v>
      </c>
      <c r="FB183" t="e">
        <f>AND(ТитЛист!D5,"AAAAAD/+jp0=")</f>
        <v>#VALUE!</v>
      </c>
      <c r="FC183" t="e">
        <f>AND(ТитЛист!E5,"AAAAAD/+jp4=")</f>
        <v>#VALUE!</v>
      </c>
      <c r="FD183" t="e">
        <f>AND(ТитЛист!F5,"AAAAAD/+jp8=")</f>
        <v>#VALUE!</v>
      </c>
      <c r="FE183" t="e">
        <f>AND(ТитЛист!G5,"AAAAAD/+jqA=")</f>
        <v>#VALUE!</v>
      </c>
      <c r="FF183" t="e">
        <f>AND(ТитЛист!H5,"AAAAAD/+jqE=")</f>
        <v>#VALUE!</v>
      </c>
      <c r="FG183" t="e">
        <f>AND(ТитЛист!I5,"AAAAAD/+jqI=")</f>
        <v>#VALUE!</v>
      </c>
      <c r="FH183" t="e">
        <f>AND(ТитЛист!J5,"AAAAAD/+jqM=")</f>
        <v>#VALUE!</v>
      </c>
      <c r="FI183" t="e">
        <f>AND(ТитЛист!K5,"AAAAAD/+jqQ=")</f>
        <v>#VALUE!</v>
      </c>
      <c r="FJ183" t="e">
        <f>AND(ТитЛист!L5,"AAAAAD/+jqU=")</f>
        <v>#VALUE!</v>
      </c>
      <c r="FK183" t="e">
        <f>AND(ТитЛист!M5,"AAAAAD/+jqY=")</f>
        <v>#VALUE!</v>
      </c>
      <c r="FL183" t="e">
        <f>AND(ТитЛист!N5,"AAAAAD/+jqc=")</f>
        <v>#VALUE!</v>
      </c>
      <c r="FM183" t="e">
        <f>AND(ТитЛист!O5,"AAAAAD/+jqg=")</f>
        <v>#VALUE!</v>
      </c>
      <c r="FN183" t="e">
        <f>AND(ТитЛист!P5,"AAAAAD/+jqk=")</f>
        <v>#VALUE!</v>
      </c>
      <c r="FO183" t="e">
        <f>AND(ТитЛист!Q5,"AAAAAD/+jqo=")</f>
        <v>#VALUE!</v>
      </c>
      <c r="FP183" t="e">
        <f>AND(ТитЛист!R5,"AAAAAD/+jqs=")</f>
        <v>#VALUE!</v>
      </c>
      <c r="FQ183" t="e">
        <f>AND(ТитЛист!S5,"AAAAAD/+jqw=")</f>
        <v>#VALUE!</v>
      </c>
      <c r="FR183" t="e">
        <f>AND(ТитЛист!T5,"AAAAAD/+jq0=")</f>
        <v>#VALUE!</v>
      </c>
      <c r="FS183" t="e">
        <f>AND(ТитЛист!U5,"AAAAAD/+jq4=")</f>
        <v>#VALUE!</v>
      </c>
      <c r="FT183" t="e">
        <f>AND(ТитЛист!V5,"AAAAAD/+jq8=")</f>
        <v>#VALUE!</v>
      </c>
      <c r="FU183" t="e">
        <f>AND(ТитЛист!W5,"AAAAAD/+jrA=")</f>
        <v>#VALUE!</v>
      </c>
      <c r="FV183" t="e">
        <f>AND(ТитЛист!X5,"AAAAAD/+jrE=")</f>
        <v>#VALUE!</v>
      </c>
      <c r="FW183" t="e">
        <f>AND(ТитЛист!Y5,"AAAAAD/+jrI=")</f>
        <v>#VALUE!</v>
      </c>
      <c r="FX183" t="e">
        <f>AND(ТитЛист!Z5,"AAAAAD/+jrM=")</f>
        <v>#VALUE!</v>
      </c>
      <c r="FY183" t="e">
        <f>AND(ТитЛист!AA5,"AAAAAD/+jrQ=")</f>
        <v>#VALUE!</v>
      </c>
      <c r="FZ183" t="e">
        <f>AND(ТитЛист!AB5,"AAAAAD/+jrU=")</f>
        <v>#VALUE!</v>
      </c>
      <c r="GA183" t="e">
        <f>AND(ТитЛист!AC5,"AAAAAD/+jrY=")</f>
        <v>#VALUE!</v>
      </c>
      <c r="GB183" t="e">
        <f>AND(ТитЛист!AD5,"AAAAAD/+jrc=")</f>
        <v>#VALUE!</v>
      </c>
      <c r="GC183" t="e">
        <f>AND(ТитЛист!AE5,"AAAAAD/+jrg=")</f>
        <v>#VALUE!</v>
      </c>
      <c r="GD183" t="e">
        <f>AND(ТитЛист!AF5,"AAAAAD/+jrk=")</f>
        <v>#VALUE!</v>
      </c>
      <c r="GE183" t="e">
        <f>AND(ТитЛист!AG5,"AAAAAD/+jro=")</f>
        <v>#VALUE!</v>
      </c>
      <c r="GF183" t="e">
        <f>AND(ТитЛист!AH5,"AAAAAD/+jrs=")</f>
        <v>#VALUE!</v>
      </c>
      <c r="GG183" t="e">
        <f>AND(ТитЛист!AI5,"AAAAAD/+jrw=")</f>
        <v>#VALUE!</v>
      </c>
      <c r="GH183" t="e">
        <f>AND(ТитЛист!AJ5,"AAAAAD/+jr0=")</f>
        <v>#VALUE!</v>
      </c>
      <c r="GI183" t="e">
        <f>AND(ТитЛист!AK5,"AAAAAD/+jr4=")</f>
        <v>#VALUE!</v>
      </c>
      <c r="GJ183">
        <f>IF(ТитЛист!6:6,"AAAAAD/+jr8=",0)</f>
        <v>0</v>
      </c>
      <c r="GK183" t="e">
        <f>AND(ТитЛист!A6,"AAAAAD/+jsA=")</f>
        <v>#VALUE!</v>
      </c>
      <c r="GL183" t="e">
        <f>AND(ТитЛист!B6,"AAAAAD/+jsE=")</f>
        <v>#VALUE!</v>
      </c>
      <c r="GM183" t="e">
        <f>AND(ТитЛист!C6,"AAAAAD/+jsI=")</f>
        <v>#VALUE!</v>
      </c>
      <c r="GN183" t="e">
        <f>AND(ТитЛист!D6,"AAAAAD/+jsM=")</f>
        <v>#VALUE!</v>
      </c>
      <c r="GO183" t="e">
        <f>AND(ТитЛист!E6,"AAAAAD/+jsQ=")</f>
        <v>#VALUE!</v>
      </c>
      <c r="GP183" t="e">
        <f>AND(ТитЛист!F6,"AAAAAD/+jsU=")</f>
        <v>#VALUE!</v>
      </c>
      <c r="GQ183" t="e">
        <f>AND(ТитЛист!G6,"AAAAAD/+jsY=")</f>
        <v>#VALUE!</v>
      </c>
      <c r="GR183" t="e">
        <f>AND(ТитЛист!H6,"AAAAAD/+jsc=")</f>
        <v>#VALUE!</v>
      </c>
      <c r="GS183" t="e">
        <f>AND(ТитЛист!I6,"AAAAAD/+jsg=")</f>
        <v>#VALUE!</v>
      </c>
      <c r="GT183" t="e">
        <f>AND(ТитЛист!J6,"AAAAAD/+jsk=")</f>
        <v>#VALUE!</v>
      </c>
      <c r="GU183" t="e">
        <f>AND(ТитЛист!K6,"AAAAAD/+jso=")</f>
        <v>#VALUE!</v>
      </c>
      <c r="GV183" t="e">
        <f>AND(ТитЛист!L6,"AAAAAD/+jss=")</f>
        <v>#VALUE!</v>
      </c>
      <c r="GW183" t="e">
        <f>AND(ТитЛист!M6,"AAAAAD/+jsw=")</f>
        <v>#VALUE!</v>
      </c>
      <c r="GX183" t="e">
        <f>AND(ТитЛист!N6,"AAAAAD/+js0=")</f>
        <v>#VALUE!</v>
      </c>
      <c r="GY183" t="e">
        <f>AND(ТитЛист!O6,"AAAAAD/+js4=")</f>
        <v>#VALUE!</v>
      </c>
      <c r="GZ183" t="e">
        <f>AND(ТитЛист!P6,"AAAAAD/+js8=")</f>
        <v>#VALUE!</v>
      </c>
      <c r="HA183" t="e">
        <f>AND(ТитЛист!Q6,"AAAAAD/+jtA=")</f>
        <v>#VALUE!</v>
      </c>
      <c r="HB183" t="e">
        <f>AND(ТитЛист!R6,"AAAAAD/+jtE=")</f>
        <v>#VALUE!</v>
      </c>
      <c r="HC183" t="e">
        <f>AND(ТитЛист!S6,"AAAAAD/+jtI=")</f>
        <v>#VALUE!</v>
      </c>
      <c r="HD183" t="e">
        <f>AND(ТитЛист!T6,"AAAAAD/+jtM=")</f>
        <v>#VALUE!</v>
      </c>
      <c r="HE183" t="e">
        <f>AND(ТитЛист!U6,"AAAAAD/+jtQ=")</f>
        <v>#VALUE!</v>
      </c>
      <c r="HF183" t="e">
        <f>AND(ТитЛист!V6,"AAAAAD/+jtU=")</f>
        <v>#VALUE!</v>
      </c>
      <c r="HG183" t="e">
        <f>AND(ТитЛист!W6,"AAAAAD/+jtY=")</f>
        <v>#VALUE!</v>
      </c>
      <c r="HH183" t="e">
        <f>AND(ТитЛист!X6,"AAAAAD/+jtc=")</f>
        <v>#VALUE!</v>
      </c>
      <c r="HI183" t="e">
        <f>AND(ТитЛист!Y6,"AAAAAD/+jtg=")</f>
        <v>#VALUE!</v>
      </c>
      <c r="HJ183" t="e">
        <f>AND(ТитЛист!Z6,"AAAAAD/+jtk=")</f>
        <v>#VALUE!</v>
      </c>
      <c r="HK183" t="e">
        <f>AND(ТитЛист!AA6,"AAAAAD/+jto=")</f>
        <v>#VALUE!</v>
      </c>
      <c r="HL183" t="e">
        <f>AND(ТитЛист!AB6,"AAAAAD/+jts=")</f>
        <v>#VALUE!</v>
      </c>
      <c r="HM183" t="e">
        <f>AND(ТитЛист!AC6,"AAAAAD/+jtw=")</f>
        <v>#VALUE!</v>
      </c>
      <c r="HN183" t="e">
        <f>AND(ТитЛист!AD6,"AAAAAD/+jt0=")</f>
        <v>#VALUE!</v>
      </c>
      <c r="HO183" t="e">
        <f>AND(ТитЛист!AE6,"AAAAAD/+jt4=")</f>
        <v>#VALUE!</v>
      </c>
      <c r="HP183" t="e">
        <f>AND(ТитЛист!AF6,"AAAAAD/+jt8=")</f>
        <v>#VALUE!</v>
      </c>
      <c r="HQ183" t="e">
        <f>AND(ТитЛист!AG6,"AAAAAD/+juA=")</f>
        <v>#VALUE!</v>
      </c>
      <c r="HR183" t="e">
        <f>AND(ТитЛист!AH6,"AAAAAD/+juE=")</f>
        <v>#VALUE!</v>
      </c>
      <c r="HS183" t="e">
        <f>AND(ТитЛист!AI6,"AAAAAD/+juI=")</f>
        <v>#VALUE!</v>
      </c>
      <c r="HT183" t="e">
        <f>AND(ТитЛист!AJ6,"AAAAAD/+juM=")</f>
        <v>#VALUE!</v>
      </c>
      <c r="HU183" t="e">
        <f>AND(ТитЛист!AK6,"AAAAAD/+juQ=")</f>
        <v>#VALUE!</v>
      </c>
      <c r="HV183">
        <f>IF(ТитЛист!7:7,"AAAAAD/+juU=",0)</f>
        <v>0</v>
      </c>
      <c r="HW183" t="e">
        <f>AND(ТитЛист!A7,"AAAAAD/+juY=")</f>
        <v>#VALUE!</v>
      </c>
      <c r="HX183" t="e">
        <f>AND(ТитЛист!B7,"AAAAAD/+juc=")</f>
        <v>#VALUE!</v>
      </c>
      <c r="HY183" t="e">
        <f>AND(ТитЛист!C7,"AAAAAD/+jug=")</f>
        <v>#VALUE!</v>
      </c>
      <c r="HZ183" t="e">
        <f>AND(ТитЛист!D7,"AAAAAD/+juk=")</f>
        <v>#VALUE!</v>
      </c>
      <c r="IA183" t="e">
        <f>AND(ТитЛист!E7,"AAAAAD/+juo=")</f>
        <v>#VALUE!</v>
      </c>
      <c r="IB183" t="e">
        <f>AND(ТитЛист!F7,"AAAAAD/+jus=")</f>
        <v>#VALUE!</v>
      </c>
      <c r="IC183" t="e">
        <f>AND(ТитЛист!G7,"AAAAAD/+juw=")</f>
        <v>#VALUE!</v>
      </c>
      <c r="ID183" t="e">
        <f>AND(ТитЛист!H7,"AAAAAD/+ju0=")</f>
        <v>#VALUE!</v>
      </c>
      <c r="IE183" t="e">
        <f>AND(ТитЛист!I7,"AAAAAD/+ju4=")</f>
        <v>#VALUE!</v>
      </c>
      <c r="IF183" t="e">
        <f>AND(ТитЛист!J7,"AAAAAD/+ju8=")</f>
        <v>#VALUE!</v>
      </c>
      <c r="IG183" t="e">
        <f>AND(ТитЛист!K7,"AAAAAD/+jvA=")</f>
        <v>#VALUE!</v>
      </c>
      <c r="IH183" t="e">
        <f>AND(ТитЛист!L7,"AAAAAD/+jvE=")</f>
        <v>#VALUE!</v>
      </c>
      <c r="II183" t="e">
        <f>AND(ТитЛист!M7,"AAAAAD/+jvI=")</f>
        <v>#VALUE!</v>
      </c>
      <c r="IJ183" t="e">
        <f>AND(ТитЛист!N7,"AAAAAD/+jvM=")</f>
        <v>#VALUE!</v>
      </c>
      <c r="IK183" t="e">
        <f>AND(ТитЛист!O7,"AAAAAD/+jvQ=")</f>
        <v>#VALUE!</v>
      </c>
      <c r="IL183" t="e">
        <f>AND(ТитЛист!P7,"AAAAAD/+jvU=")</f>
        <v>#VALUE!</v>
      </c>
      <c r="IM183" t="e">
        <f>AND(ТитЛист!Q7,"AAAAAD/+jvY=")</f>
        <v>#VALUE!</v>
      </c>
      <c r="IN183" t="e">
        <f>AND(ТитЛист!R7,"AAAAAD/+jvc=")</f>
        <v>#VALUE!</v>
      </c>
      <c r="IO183" t="e">
        <f>AND(ТитЛист!S7,"AAAAAD/+jvg=")</f>
        <v>#VALUE!</v>
      </c>
      <c r="IP183" t="e">
        <f>AND(ТитЛист!T7,"AAAAAD/+jvk=")</f>
        <v>#VALUE!</v>
      </c>
      <c r="IQ183" t="e">
        <f>AND(ТитЛист!U7,"AAAAAD/+jvo=")</f>
        <v>#VALUE!</v>
      </c>
      <c r="IR183" t="e">
        <f>AND(ТитЛист!V7,"AAAAAD/+jvs=")</f>
        <v>#VALUE!</v>
      </c>
      <c r="IS183" t="e">
        <f>AND(ТитЛист!W7,"AAAAAD/+jvw=")</f>
        <v>#VALUE!</v>
      </c>
      <c r="IT183" t="e">
        <f>AND(ТитЛист!X7,"AAAAAD/+jv0=")</f>
        <v>#VALUE!</v>
      </c>
      <c r="IU183" t="e">
        <f>AND(ТитЛист!Y7,"AAAAAD/+jv4=")</f>
        <v>#VALUE!</v>
      </c>
      <c r="IV183" t="e">
        <f>AND(ТитЛист!Z7,"AAAAAD/+jv8=")</f>
        <v>#VALUE!</v>
      </c>
    </row>
    <row r="184" spans="1:256">
      <c r="A184" t="e">
        <f>AND(ТитЛист!AA7,"AAAAAGvs8wA=")</f>
        <v>#VALUE!</v>
      </c>
      <c r="B184" t="e">
        <f>AND(ТитЛист!AB7,"AAAAAGvs8wE=")</f>
        <v>#VALUE!</v>
      </c>
      <c r="C184" t="e">
        <f>AND(ТитЛист!AC7,"AAAAAGvs8wI=")</f>
        <v>#VALUE!</v>
      </c>
      <c r="D184" t="e">
        <f>AND(ТитЛист!AD7,"AAAAAGvs8wM=")</f>
        <v>#VALUE!</v>
      </c>
      <c r="E184" t="e">
        <f>AND(ТитЛист!AE7,"AAAAAGvs8wQ=")</f>
        <v>#VALUE!</v>
      </c>
      <c r="F184" t="e">
        <f>AND(ТитЛист!AF7,"AAAAAGvs8wU=")</f>
        <v>#VALUE!</v>
      </c>
      <c r="G184" t="e">
        <f>AND(ТитЛист!AG7,"AAAAAGvs8wY=")</f>
        <v>#VALUE!</v>
      </c>
      <c r="H184" t="e">
        <f>AND(ТитЛист!AH7,"AAAAAGvs8wc=")</f>
        <v>#VALUE!</v>
      </c>
      <c r="I184" t="e">
        <f>AND(ТитЛист!AI7,"AAAAAGvs8wg=")</f>
        <v>#VALUE!</v>
      </c>
      <c r="J184" t="e">
        <f>AND(ТитЛист!AJ7,"AAAAAGvs8wk=")</f>
        <v>#VALUE!</v>
      </c>
      <c r="K184" t="e">
        <f>AND(ТитЛист!AK7,"AAAAAGvs8wo=")</f>
        <v>#VALUE!</v>
      </c>
      <c r="L184">
        <f>IF(ТитЛист!8:8,"AAAAAGvs8ws=",0)</f>
        <v>0</v>
      </c>
      <c r="M184" t="e">
        <f>AND(ТитЛист!A8,"AAAAAGvs8ww=")</f>
        <v>#VALUE!</v>
      </c>
      <c r="N184" t="e">
        <f>AND(ТитЛист!B8,"AAAAAGvs8w0=")</f>
        <v>#VALUE!</v>
      </c>
      <c r="O184" t="e">
        <f>AND(ТитЛист!C8,"AAAAAGvs8w4=")</f>
        <v>#VALUE!</v>
      </c>
      <c r="P184" t="e">
        <f>AND(ТитЛист!D8,"AAAAAGvs8w8=")</f>
        <v>#VALUE!</v>
      </c>
      <c r="Q184" t="e">
        <f>AND(ТитЛист!E8,"AAAAAGvs8xA=")</f>
        <v>#VALUE!</v>
      </c>
      <c r="R184" t="e">
        <f>AND(ТитЛист!F8,"AAAAAGvs8xE=")</f>
        <v>#VALUE!</v>
      </c>
      <c r="S184" t="e">
        <f>AND(ТитЛист!G8,"AAAAAGvs8xI=")</f>
        <v>#VALUE!</v>
      </c>
      <c r="T184" t="e">
        <f>AND(ТитЛист!H8,"AAAAAGvs8xM=")</f>
        <v>#VALUE!</v>
      </c>
      <c r="U184" t="e">
        <f>AND(ТитЛист!I8,"AAAAAGvs8xQ=")</f>
        <v>#VALUE!</v>
      </c>
      <c r="V184" t="e">
        <f>AND(ТитЛист!J8,"AAAAAGvs8xU=")</f>
        <v>#VALUE!</v>
      </c>
      <c r="W184" t="e">
        <f>AND(ТитЛист!K8,"AAAAAGvs8xY=")</f>
        <v>#VALUE!</v>
      </c>
      <c r="X184" t="e">
        <f>AND(ТитЛист!L8,"AAAAAGvs8xc=")</f>
        <v>#VALUE!</v>
      </c>
      <c r="Y184" t="e">
        <f>AND(ТитЛист!M8,"AAAAAGvs8xg=")</f>
        <v>#VALUE!</v>
      </c>
      <c r="Z184" t="e">
        <f>AND(ТитЛист!N8,"AAAAAGvs8xk=")</f>
        <v>#VALUE!</v>
      </c>
      <c r="AA184" t="e">
        <f>AND(ТитЛист!O8,"AAAAAGvs8xo=")</f>
        <v>#VALUE!</v>
      </c>
      <c r="AB184" t="e">
        <f>AND(ТитЛист!P8,"AAAAAGvs8xs=")</f>
        <v>#VALUE!</v>
      </c>
      <c r="AC184" t="e">
        <f>AND(ТитЛист!Q8,"AAAAAGvs8xw=")</f>
        <v>#VALUE!</v>
      </c>
      <c r="AD184" t="e">
        <f>AND(ТитЛист!R8,"AAAAAGvs8x0=")</f>
        <v>#VALUE!</v>
      </c>
      <c r="AE184" t="e">
        <f>AND(ТитЛист!S8,"AAAAAGvs8x4=")</f>
        <v>#VALUE!</v>
      </c>
      <c r="AF184" t="e">
        <f>AND(ТитЛист!T8,"AAAAAGvs8x8=")</f>
        <v>#VALUE!</v>
      </c>
      <c r="AG184" t="e">
        <f>AND(ТитЛист!U8,"AAAAAGvs8yA=")</f>
        <v>#VALUE!</v>
      </c>
      <c r="AH184" t="e">
        <f>AND(ТитЛист!V8,"AAAAAGvs8yE=")</f>
        <v>#VALUE!</v>
      </c>
      <c r="AI184" t="e">
        <f>AND(ТитЛист!W8,"AAAAAGvs8yI=")</f>
        <v>#VALUE!</v>
      </c>
      <c r="AJ184" t="e">
        <f>AND(ТитЛист!X8,"AAAAAGvs8yM=")</f>
        <v>#VALUE!</v>
      </c>
      <c r="AK184" t="e">
        <f>AND(ТитЛист!Y8,"AAAAAGvs8yQ=")</f>
        <v>#VALUE!</v>
      </c>
      <c r="AL184" t="e">
        <f>AND(ТитЛист!Z8,"AAAAAGvs8yU=")</f>
        <v>#VALUE!</v>
      </c>
      <c r="AM184" t="e">
        <f>AND(ТитЛист!AA8,"AAAAAGvs8yY=")</f>
        <v>#VALUE!</v>
      </c>
      <c r="AN184" t="e">
        <f>AND(ТитЛист!AB8,"AAAAAGvs8yc=")</f>
        <v>#VALUE!</v>
      </c>
      <c r="AO184" t="e">
        <f>AND(ТитЛист!AC8,"AAAAAGvs8yg=")</f>
        <v>#VALUE!</v>
      </c>
      <c r="AP184" t="e">
        <f>AND(ТитЛист!AD8,"AAAAAGvs8yk=")</f>
        <v>#VALUE!</v>
      </c>
      <c r="AQ184" t="e">
        <f>AND(ТитЛист!AE8,"AAAAAGvs8yo=")</f>
        <v>#VALUE!</v>
      </c>
      <c r="AR184" t="e">
        <f>AND(ТитЛист!AF8,"AAAAAGvs8ys=")</f>
        <v>#VALUE!</v>
      </c>
      <c r="AS184" t="e">
        <f>AND(ТитЛист!AG8,"AAAAAGvs8yw=")</f>
        <v>#VALUE!</v>
      </c>
      <c r="AT184" t="e">
        <f>AND(ТитЛист!AH8,"AAAAAGvs8y0=")</f>
        <v>#VALUE!</v>
      </c>
      <c r="AU184" t="e">
        <f>AND(ТитЛист!AI8,"AAAAAGvs8y4=")</f>
        <v>#VALUE!</v>
      </c>
      <c r="AV184" t="e">
        <f>AND(ТитЛист!AJ8,"AAAAAGvs8y8=")</f>
        <v>#VALUE!</v>
      </c>
      <c r="AW184" t="e">
        <f>AND(ТитЛист!AK8,"AAAAAGvs8zA=")</f>
        <v>#VALUE!</v>
      </c>
      <c r="AX184">
        <f>IF(ТитЛист!9:9,"AAAAAGvs8zE=",0)</f>
        <v>0</v>
      </c>
      <c r="AY184" t="e">
        <f>AND(ТитЛист!A9,"AAAAAGvs8zI=")</f>
        <v>#VALUE!</v>
      </c>
      <c r="AZ184" t="e">
        <f>AND(ТитЛист!B9,"AAAAAGvs8zM=")</f>
        <v>#VALUE!</v>
      </c>
      <c r="BA184" t="e">
        <f>AND(ТитЛист!C9,"AAAAAGvs8zQ=")</f>
        <v>#VALUE!</v>
      </c>
      <c r="BB184" t="e">
        <f>AND(ТитЛист!D9,"AAAAAGvs8zU=")</f>
        <v>#VALUE!</v>
      </c>
      <c r="BC184" t="e">
        <f>AND(ТитЛист!E9,"AAAAAGvs8zY=")</f>
        <v>#VALUE!</v>
      </c>
      <c r="BD184" t="e">
        <f>AND(ТитЛист!F9,"AAAAAGvs8zc=")</f>
        <v>#VALUE!</v>
      </c>
      <c r="BE184" t="e">
        <f>AND(ТитЛист!G9,"AAAAAGvs8zg=")</f>
        <v>#VALUE!</v>
      </c>
      <c r="BF184" t="e">
        <f>AND(ТитЛист!H9,"AAAAAGvs8zk=")</f>
        <v>#VALUE!</v>
      </c>
      <c r="BG184" t="e">
        <f>AND(ТитЛист!I9,"AAAAAGvs8zo=")</f>
        <v>#VALUE!</v>
      </c>
      <c r="BH184" t="e">
        <f>AND(ТитЛист!J9,"AAAAAGvs8zs=")</f>
        <v>#VALUE!</v>
      </c>
      <c r="BI184" t="e">
        <f>AND(ТитЛист!K9,"AAAAAGvs8zw=")</f>
        <v>#VALUE!</v>
      </c>
      <c r="BJ184" t="e">
        <f>AND(ТитЛист!L9,"AAAAAGvs8z0=")</f>
        <v>#VALUE!</v>
      </c>
      <c r="BK184" t="e">
        <f>AND(ТитЛист!M9,"AAAAAGvs8z4=")</f>
        <v>#VALUE!</v>
      </c>
      <c r="BL184" t="e">
        <f>AND(ТитЛист!N9,"AAAAAGvs8z8=")</f>
        <v>#VALUE!</v>
      </c>
      <c r="BM184" t="e">
        <f>AND(ТитЛист!O9,"AAAAAGvs80A=")</f>
        <v>#VALUE!</v>
      </c>
      <c r="BN184" t="e">
        <f>AND(ТитЛист!P9,"AAAAAGvs80E=")</f>
        <v>#VALUE!</v>
      </c>
      <c r="BO184" t="e">
        <f>AND(ТитЛист!Q9,"AAAAAGvs80I=")</f>
        <v>#VALUE!</v>
      </c>
      <c r="BP184" t="e">
        <f>AND(ТитЛист!R9,"AAAAAGvs80M=")</f>
        <v>#VALUE!</v>
      </c>
      <c r="BQ184" t="e">
        <f>AND(ТитЛист!S9,"AAAAAGvs80Q=")</f>
        <v>#VALUE!</v>
      </c>
      <c r="BR184" t="e">
        <f>AND(ТитЛист!T9,"AAAAAGvs80U=")</f>
        <v>#VALUE!</v>
      </c>
      <c r="BS184" t="e">
        <f>AND(ТитЛист!U9,"AAAAAGvs80Y=")</f>
        <v>#VALUE!</v>
      </c>
      <c r="BT184" t="e">
        <f>AND(ТитЛист!V9,"AAAAAGvs80c=")</f>
        <v>#VALUE!</v>
      </c>
      <c r="BU184" t="e">
        <f>AND(ТитЛист!W9,"AAAAAGvs80g=")</f>
        <v>#VALUE!</v>
      </c>
      <c r="BV184" t="e">
        <f>AND(ТитЛист!X9,"AAAAAGvs80k=")</f>
        <v>#VALUE!</v>
      </c>
      <c r="BW184" t="e">
        <f>AND(ТитЛист!Y9,"AAAAAGvs80o=")</f>
        <v>#VALUE!</v>
      </c>
      <c r="BX184" t="e">
        <f>AND(ТитЛист!Z9,"AAAAAGvs80s=")</f>
        <v>#VALUE!</v>
      </c>
      <c r="BY184" t="e">
        <f>AND(ТитЛист!AA9,"AAAAAGvs80w=")</f>
        <v>#VALUE!</v>
      </c>
      <c r="BZ184" t="e">
        <f>AND(ТитЛист!AB9,"AAAAAGvs800=")</f>
        <v>#VALUE!</v>
      </c>
      <c r="CA184" t="e">
        <f>AND(ТитЛист!AC9,"AAAAAGvs804=")</f>
        <v>#VALUE!</v>
      </c>
      <c r="CB184" t="e">
        <f>AND(ТитЛист!AD9,"AAAAAGvs808=")</f>
        <v>#VALUE!</v>
      </c>
      <c r="CC184" t="e">
        <f>AND(ТитЛист!AE9,"AAAAAGvs81A=")</f>
        <v>#VALUE!</v>
      </c>
      <c r="CD184" t="e">
        <f>AND(ТитЛист!AF9,"AAAAAGvs81E=")</f>
        <v>#VALUE!</v>
      </c>
      <c r="CE184" t="e">
        <f>AND(ТитЛист!AG9,"AAAAAGvs81I=")</f>
        <v>#VALUE!</v>
      </c>
      <c r="CF184" t="e">
        <f>AND(ТитЛист!AH9,"AAAAAGvs81M=")</f>
        <v>#VALUE!</v>
      </c>
      <c r="CG184" t="e">
        <f>AND(ТитЛист!AI9,"AAAAAGvs81Q=")</f>
        <v>#VALUE!</v>
      </c>
      <c r="CH184" t="e">
        <f>AND(ТитЛист!AJ9,"AAAAAGvs81U=")</f>
        <v>#VALUE!</v>
      </c>
      <c r="CI184" t="e">
        <f>AND(ТитЛист!AK9,"AAAAAGvs81Y=")</f>
        <v>#VALUE!</v>
      </c>
      <c r="CJ184">
        <f>IF(ТитЛист!10:10,"AAAAAGvs81c=",0)</f>
        <v>0</v>
      </c>
      <c r="CK184" t="e">
        <f>AND(ТитЛист!A10,"AAAAAGvs81g=")</f>
        <v>#VALUE!</v>
      </c>
      <c r="CL184" t="e">
        <f>AND(ТитЛист!B10,"AAAAAGvs81k=")</f>
        <v>#VALUE!</v>
      </c>
      <c r="CM184" t="e">
        <f>AND(ТитЛист!C10,"AAAAAGvs81o=")</f>
        <v>#VALUE!</v>
      </c>
      <c r="CN184" t="e">
        <f>AND(ТитЛист!D10,"AAAAAGvs81s=")</f>
        <v>#VALUE!</v>
      </c>
      <c r="CO184" t="e">
        <f>AND(ТитЛист!E10,"AAAAAGvs81w=")</f>
        <v>#VALUE!</v>
      </c>
      <c r="CP184" t="e">
        <f>AND(ТитЛист!F10,"AAAAAGvs810=")</f>
        <v>#VALUE!</v>
      </c>
      <c r="CQ184" t="e">
        <f>AND(ТитЛист!G10,"AAAAAGvs814=")</f>
        <v>#VALUE!</v>
      </c>
      <c r="CR184" t="e">
        <f>AND(ТитЛист!H10,"AAAAAGvs818=")</f>
        <v>#VALUE!</v>
      </c>
      <c r="CS184" t="e">
        <f>AND(ТитЛист!I10,"AAAAAGvs82A=")</f>
        <v>#VALUE!</v>
      </c>
      <c r="CT184" t="e">
        <f>AND(ТитЛист!J10,"AAAAAGvs82E=")</f>
        <v>#VALUE!</v>
      </c>
      <c r="CU184" t="e">
        <f>AND(ТитЛист!K10,"AAAAAGvs82I=")</f>
        <v>#VALUE!</v>
      </c>
      <c r="CV184" t="e">
        <f>AND(ТитЛист!L10,"AAAAAGvs82M=")</f>
        <v>#VALUE!</v>
      </c>
      <c r="CW184" t="e">
        <f>AND(ТитЛист!M10,"AAAAAGvs82Q=")</f>
        <v>#VALUE!</v>
      </c>
      <c r="CX184" t="e">
        <f>AND(ТитЛист!N10,"AAAAAGvs82U=")</f>
        <v>#VALUE!</v>
      </c>
      <c r="CY184" t="e">
        <f>AND(ТитЛист!O10,"AAAAAGvs82Y=")</f>
        <v>#VALUE!</v>
      </c>
      <c r="CZ184" t="e">
        <f>AND(ТитЛист!P10,"AAAAAGvs82c=")</f>
        <v>#VALUE!</v>
      </c>
      <c r="DA184" t="e">
        <f>AND(ТитЛист!Q10,"AAAAAGvs82g=")</f>
        <v>#VALUE!</v>
      </c>
      <c r="DB184" t="e">
        <f>AND(ТитЛист!R10,"AAAAAGvs82k=")</f>
        <v>#VALUE!</v>
      </c>
      <c r="DC184" t="e">
        <f>AND(ТитЛист!S10,"AAAAAGvs82o=")</f>
        <v>#VALUE!</v>
      </c>
      <c r="DD184" t="e">
        <f>AND(ТитЛист!T10,"AAAAAGvs82s=")</f>
        <v>#VALUE!</v>
      </c>
      <c r="DE184" t="e">
        <f>AND(ТитЛист!U10,"AAAAAGvs82w=")</f>
        <v>#VALUE!</v>
      </c>
      <c r="DF184" t="e">
        <f>AND(ТитЛист!V10,"AAAAAGvs820=")</f>
        <v>#VALUE!</v>
      </c>
      <c r="DG184" t="e">
        <f>AND(ТитЛист!W10,"AAAAAGvs824=")</f>
        <v>#VALUE!</v>
      </c>
      <c r="DH184" t="e">
        <f>AND(ТитЛист!X10,"AAAAAGvs828=")</f>
        <v>#VALUE!</v>
      </c>
      <c r="DI184" t="e">
        <f>AND(ТитЛист!Y10,"AAAAAGvs83A=")</f>
        <v>#VALUE!</v>
      </c>
      <c r="DJ184" t="e">
        <f>AND(ТитЛист!Z10,"AAAAAGvs83E=")</f>
        <v>#VALUE!</v>
      </c>
      <c r="DK184" t="e">
        <f>AND(ТитЛист!AA10,"AAAAAGvs83I=")</f>
        <v>#VALUE!</v>
      </c>
      <c r="DL184" t="e">
        <f>AND(ТитЛист!AB10,"AAAAAGvs83M=")</f>
        <v>#VALUE!</v>
      </c>
      <c r="DM184" t="e">
        <f>AND(ТитЛист!AC10,"AAAAAGvs83Q=")</f>
        <v>#VALUE!</v>
      </c>
      <c r="DN184" t="e">
        <f>AND(ТитЛист!AD10,"AAAAAGvs83U=")</f>
        <v>#VALUE!</v>
      </c>
      <c r="DO184" t="e">
        <f>AND(ТитЛист!AE10,"AAAAAGvs83Y=")</f>
        <v>#VALUE!</v>
      </c>
      <c r="DP184" t="e">
        <f>AND(ТитЛист!AF10,"AAAAAGvs83c=")</f>
        <v>#VALUE!</v>
      </c>
      <c r="DQ184" t="e">
        <f>AND(ТитЛист!AG10,"AAAAAGvs83g=")</f>
        <v>#VALUE!</v>
      </c>
      <c r="DR184" t="e">
        <f>AND(ТитЛист!AH10,"AAAAAGvs83k=")</f>
        <v>#VALUE!</v>
      </c>
      <c r="DS184" t="e">
        <f>AND(ТитЛист!AI10,"AAAAAGvs83o=")</f>
        <v>#VALUE!</v>
      </c>
      <c r="DT184" t="e">
        <f>AND(ТитЛист!AJ10,"AAAAAGvs83s=")</f>
        <v>#VALUE!</v>
      </c>
      <c r="DU184" t="e">
        <f>AND(ТитЛист!AK10,"AAAAAGvs83w=")</f>
        <v>#VALUE!</v>
      </c>
      <c r="DV184">
        <f>IF(ТитЛист!11:11,"AAAAAGvs830=",0)</f>
        <v>0</v>
      </c>
      <c r="DW184" t="e">
        <f>AND(ТитЛист!A11,"AAAAAGvs834=")</f>
        <v>#VALUE!</v>
      </c>
      <c r="DX184" t="e">
        <f>AND(ТитЛист!B11,"AAAAAGvs838=")</f>
        <v>#VALUE!</v>
      </c>
      <c r="DY184" t="e">
        <f>AND(ТитЛист!C11,"AAAAAGvs84A=")</f>
        <v>#VALUE!</v>
      </c>
      <c r="DZ184" t="e">
        <f>AND(ТитЛист!D11,"AAAAAGvs84E=")</f>
        <v>#VALUE!</v>
      </c>
      <c r="EA184" t="e">
        <f>AND(ТитЛист!E11,"AAAAAGvs84I=")</f>
        <v>#VALUE!</v>
      </c>
      <c r="EB184" t="e">
        <f>AND(ТитЛист!F11,"AAAAAGvs84M=")</f>
        <v>#VALUE!</v>
      </c>
      <c r="EC184" t="e">
        <f>AND(ТитЛист!G11,"AAAAAGvs84Q=")</f>
        <v>#VALUE!</v>
      </c>
      <c r="ED184" t="e">
        <f>AND(ТитЛист!H11,"AAAAAGvs84U=")</f>
        <v>#VALUE!</v>
      </c>
      <c r="EE184" t="e">
        <f>AND(ТитЛист!I11,"AAAAAGvs84Y=")</f>
        <v>#VALUE!</v>
      </c>
      <c r="EF184" t="e">
        <f>AND(ТитЛист!J11,"AAAAAGvs84c=")</f>
        <v>#VALUE!</v>
      </c>
      <c r="EG184" t="e">
        <f>AND(ТитЛист!K11,"AAAAAGvs84g=")</f>
        <v>#VALUE!</v>
      </c>
      <c r="EH184" t="e">
        <f>AND(ТитЛист!L11,"AAAAAGvs84k=")</f>
        <v>#VALUE!</v>
      </c>
      <c r="EI184" t="e">
        <f>AND(ТитЛист!M11,"AAAAAGvs84o=")</f>
        <v>#VALUE!</v>
      </c>
      <c r="EJ184" t="e">
        <f>AND(ТитЛист!N11,"AAAAAGvs84s=")</f>
        <v>#VALUE!</v>
      </c>
      <c r="EK184" t="e">
        <f>AND(ТитЛист!O11,"AAAAAGvs84w=")</f>
        <v>#VALUE!</v>
      </c>
      <c r="EL184" t="e">
        <f>AND(ТитЛист!P11,"AAAAAGvs840=")</f>
        <v>#VALUE!</v>
      </c>
      <c r="EM184" t="e">
        <f>AND(ТитЛист!Q11,"AAAAAGvs844=")</f>
        <v>#VALUE!</v>
      </c>
      <c r="EN184" t="e">
        <f>AND(ТитЛист!R11,"AAAAAGvs848=")</f>
        <v>#VALUE!</v>
      </c>
      <c r="EO184" t="e">
        <f>AND(ТитЛист!S11,"AAAAAGvs85A=")</f>
        <v>#VALUE!</v>
      </c>
      <c r="EP184" t="e">
        <f>AND(ТитЛист!T11,"AAAAAGvs85E=")</f>
        <v>#VALUE!</v>
      </c>
      <c r="EQ184" t="e">
        <f>AND(ТитЛист!U11,"AAAAAGvs85I=")</f>
        <v>#VALUE!</v>
      </c>
      <c r="ER184" t="e">
        <f>AND(ТитЛист!V11,"AAAAAGvs85M=")</f>
        <v>#VALUE!</v>
      </c>
      <c r="ES184" t="e">
        <f>AND(ТитЛист!W11,"AAAAAGvs85Q=")</f>
        <v>#VALUE!</v>
      </c>
      <c r="ET184" t="e">
        <f>AND(ТитЛист!X11,"AAAAAGvs85U=")</f>
        <v>#VALUE!</v>
      </c>
      <c r="EU184" t="e">
        <f>AND(ТитЛист!Y11,"AAAAAGvs85Y=")</f>
        <v>#VALUE!</v>
      </c>
      <c r="EV184" t="e">
        <f>AND(ТитЛист!Z11,"AAAAAGvs85c=")</f>
        <v>#VALUE!</v>
      </c>
      <c r="EW184" t="e">
        <f>AND(ТитЛист!AA11,"AAAAAGvs85g=")</f>
        <v>#VALUE!</v>
      </c>
      <c r="EX184" t="e">
        <f>AND(ТитЛист!AB11,"AAAAAGvs85k=")</f>
        <v>#VALUE!</v>
      </c>
      <c r="EY184" t="e">
        <f>AND(ТитЛист!AC11,"AAAAAGvs85o=")</f>
        <v>#VALUE!</v>
      </c>
      <c r="EZ184" t="e">
        <f>AND(ТитЛист!AD11,"AAAAAGvs85s=")</f>
        <v>#VALUE!</v>
      </c>
      <c r="FA184" t="e">
        <f>AND(ТитЛист!AE11,"AAAAAGvs85w=")</f>
        <v>#VALUE!</v>
      </c>
      <c r="FB184" t="e">
        <f>AND(ТитЛист!AF11,"AAAAAGvs850=")</f>
        <v>#VALUE!</v>
      </c>
      <c r="FC184" t="e">
        <f>AND(ТитЛист!AG11,"AAAAAGvs854=")</f>
        <v>#VALUE!</v>
      </c>
      <c r="FD184" t="e">
        <f>AND(ТитЛист!AH11,"AAAAAGvs858=")</f>
        <v>#VALUE!</v>
      </c>
      <c r="FE184" t="e">
        <f>AND(ТитЛист!AI11,"AAAAAGvs86A=")</f>
        <v>#VALUE!</v>
      </c>
      <c r="FF184" t="e">
        <f>AND(ТитЛист!AJ11,"AAAAAGvs86E=")</f>
        <v>#VALUE!</v>
      </c>
      <c r="FG184" t="e">
        <f>AND(ТитЛист!AK11,"AAAAAGvs86I=")</f>
        <v>#VALUE!</v>
      </c>
      <c r="FH184">
        <f>IF(ТитЛист!12:12,"AAAAAGvs86M=",0)</f>
        <v>0</v>
      </c>
      <c r="FI184" t="e">
        <f>AND(ТитЛист!A12,"AAAAAGvs86Q=")</f>
        <v>#VALUE!</v>
      </c>
      <c r="FJ184" t="e">
        <f>AND(ТитЛист!B12,"AAAAAGvs86U=")</f>
        <v>#VALUE!</v>
      </c>
      <c r="FK184" t="e">
        <f>AND(ТитЛист!C12,"AAAAAGvs86Y=")</f>
        <v>#VALUE!</v>
      </c>
      <c r="FL184" t="e">
        <f>AND(ТитЛист!D12,"AAAAAGvs86c=")</f>
        <v>#VALUE!</v>
      </c>
      <c r="FM184" t="e">
        <f>AND(ТитЛист!E12,"AAAAAGvs86g=")</f>
        <v>#VALUE!</v>
      </c>
      <c r="FN184" t="e">
        <f>AND(ТитЛист!F12,"AAAAAGvs86k=")</f>
        <v>#VALUE!</v>
      </c>
      <c r="FO184" t="e">
        <f>AND(ТитЛист!G12,"AAAAAGvs86o=")</f>
        <v>#VALUE!</v>
      </c>
      <c r="FP184" t="e">
        <f>AND(ТитЛист!H12,"AAAAAGvs86s=")</f>
        <v>#VALUE!</v>
      </c>
      <c r="FQ184" t="e">
        <f>AND(ТитЛист!I12,"AAAAAGvs86w=")</f>
        <v>#VALUE!</v>
      </c>
      <c r="FR184" t="e">
        <f>AND(ТитЛист!J12,"AAAAAGvs860=")</f>
        <v>#VALUE!</v>
      </c>
      <c r="FS184" t="e">
        <f>AND(ТитЛист!K12,"AAAAAGvs864=")</f>
        <v>#VALUE!</v>
      </c>
      <c r="FT184" t="e">
        <f>AND(ТитЛист!L12,"AAAAAGvs868=")</f>
        <v>#VALUE!</v>
      </c>
      <c r="FU184" t="e">
        <f>AND(ТитЛист!M12,"AAAAAGvs87A=")</f>
        <v>#VALUE!</v>
      </c>
      <c r="FV184" t="e">
        <f>AND(ТитЛист!N12,"AAAAAGvs87E=")</f>
        <v>#VALUE!</v>
      </c>
      <c r="FW184" t="e">
        <f>AND(ТитЛист!O12,"AAAAAGvs87I=")</f>
        <v>#VALUE!</v>
      </c>
      <c r="FX184" t="e">
        <f>AND(ТитЛист!P12,"AAAAAGvs87M=")</f>
        <v>#VALUE!</v>
      </c>
      <c r="FY184" t="e">
        <f>AND(ТитЛист!Q12,"AAAAAGvs87Q=")</f>
        <v>#VALUE!</v>
      </c>
      <c r="FZ184" t="e">
        <f>AND(ТитЛист!R12,"AAAAAGvs87U=")</f>
        <v>#VALUE!</v>
      </c>
      <c r="GA184" t="e">
        <f>AND(ТитЛист!S12,"AAAAAGvs87Y=")</f>
        <v>#VALUE!</v>
      </c>
      <c r="GB184" t="e">
        <f>AND(ТитЛист!T12,"AAAAAGvs87c=")</f>
        <v>#VALUE!</v>
      </c>
      <c r="GC184" t="e">
        <f>AND(ТитЛист!U12,"AAAAAGvs87g=")</f>
        <v>#VALUE!</v>
      </c>
      <c r="GD184" t="e">
        <f>AND(ТитЛист!V12,"AAAAAGvs87k=")</f>
        <v>#VALUE!</v>
      </c>
      <c r="GE184" t="e">
        <f>AND(ТитЛист!W12,"AAAAAGvs87o=")</f>
        <v>#VALUE!</v>
      </c>
      <c r="GF184" t="e">
        <f>AND(ТитЛист!X12,"AAAAAGvs87s=")</f>
        <v>#VALUE!</v>
      </c>
      <c r="GG184" t="e">
        <f>AND(ТитЛист!Y12,"AAAAAGvs87w=")</f>
        <v>#VALUE!</v>
      </c>
      <c r="GH184" t="e">
        <f>AND(ТитЛист!Z12,"AAAAAGvs870=")</f>
        <v>#VALUE!</v>
      </c>
      <c r="GI184" t="e">
        <f>AND(ТитЛист!AA12,"AAAAAGvs874=")</f>
        <v>#VALUE!</v>
      </c>
      <c r="GJ184" t="e">
        <f>AND(ТитЛист!AB12,"AAAAAGvs878=")</f>
        <v>#VALUE!</v>
      </c>
      <c r="GK184" t="e">
        <f>AND(ТитЛист!AC12,"AAAAAGvs88A=")</f>
        <v>#VALUE!</v>
      </c>
      <c r="GL184" t="e">
        <f>AND(ТитЛист!AD12,"AAAAAGvs88E=")</f>
        <v>#VALUE!</v>
      </c>
      <c r="GM184" t="e">
        <f>AND(ТитЛист!AE12,"AAAAAGvs88I=")</f>
        <v>#VALUE!</v>
      </c>
      <c r="GN184" t="e">
        <f>AND(ТитЛист!AF12,"AAAAAGvs88M=")</f>
        <v>#VALUE!</v>
      </c>
      <c r="GO184" t="e">
        <f>AND(ТитЛист!AG12,"AAAAAGvs88Q=")</f>
        <v>#VALUE!</v>
      </c>
      <c r="GP184" t="e">
        <f>AND(ТитЛист!AH12,"AAAAAGvs88U=")</f>
        <v>#VALUE!</v>
      </c>
      <c r="GQ184" t="e">
        <f>AND(ТитЛист!AI12,"AAAAAGvs88Y=")</f>
        <v>#VALUE!</v>
      </c>
      <c r="GR184" t="e">
        <f>AND(ТитЛист!AJ12,"AAAAAGvs88c=")</f>
        <v>#VALUE!</v>
      </c>
      <c r="GS184" t="e">
        <f>AND(ТитЛист!AK12,"AAAAAGvs88g=")</f>
        <v>#VALUE!</v>
      </c>
      <c r="GT184">
        <f>IF(ТитЛист!13:13,"AAAAAGvs88k=",0)</f>
        <v>0</v>
      </c>
      <c r="GU184" t="e">
        <f>AND(ТитЛист!A13,"AAAAAGvs88o=")</f>
        <v>#VALUE!</v>
      </c>
      <c r="GV184" t="e">
        <f>AND(ТитЛист!B13,"AAAAAGvs88s=")</f>
        <v>#VALUE!</v>
      </c>
      <c r="GW184" t="e">
        <f>AND(ТитЛист!C13,"AAAAAGvs88w=")</f>
        <v>#VALUE!</v>
      </c>
      <c r="GX184" t="e">
        <f>AND(ТитЛист!D13,"AAAAAGvs880=")</f>
        <v>#VALUE!</v>
      </c>
      <c r="GY184" t="e">
        <f>AND(ТитЛист!E13,"AAAAAGvs884=")</f>
        <v>#VALUE!</v>
      </c>
      <c r="GZ184" t="e">
        <f>AND(ТитЛист!F13,"AAAAAGvs888=")</f>
        <v>#VALUE!</v>
      </c>
      <c r="HA184" t="e">
        <f>AND(ТитЛист!G13,"AAAAAGvs89A=")</f>
        <v>#VALUE!</v>
      </c>
      <c r="HB184" t="e">
        <f>AND(ТитЛист!H13,"AAAAAGvs89E=")</f>
        <v>#VALUE!</v>
      </c>
      <c r="HC184" t="e">
        <f>AND(ТитЛист!I13,"AAAAAGvs89I=")</f>
        <v>#VALUE!</v>
      </c>
      <c r="HD184" t="e">
        <f>AND(ТитЛист!J13,"AAAAAGvs89M=")</f>
        <v>#VALUE!</v>
      </c>
      <c r="HE184" t="e">
        <f>AND(ТитЛист!K13,"AAAAAGvs89Q=")</f>
        <v>#VALUE!</v>
      </c>
      <c r="HF184" t="e">
        <f>AND(ТитЛист!L13,"AAAAAGvs89U=")</f>
        <v>#VALUE!</v>
      </c>
      <c r="HG184" t="e">
        <f>AND(ТитЛист!M13,"AAAAAGvs89Y=")</f>
        <v>#VALUE!</v>
      </c>
      <c r="HH184" t="e">
        <f>AND(ТитЛист!N13,"AAAAAGvs89c=")</f>
        <v>#VALUE!</v>
      </c>
      <c r="HI184" t="e">
        <f>AND(ТитЛист!O13,"AAAAAGvs89g=")</f>
        <v>#VALUE!</v>
      </c>
      <c r="HJ184" t="e">
        <f>AND(ТитЛист!P13,"AAAAAGvs89k=")</f>
        <v>#VALUE!</v>
      </c>
      <c r="HK184" t="e">
        <f>AND(ТитЛист!Q13,"AAAAAGvs89o=")</f>
        <v>#VALUE!</v>
      </c>
      <c r="HL184" t="e">
        <f>AND(ТитЛист!R13,"AAAAAGvs89s=")</f>
        <v>#VALUE!</v>
      </c>
      <c r="HM184" t="e">
        <f>AND(ТитЛист!S13,"AAAAAGvs89w=")</f>
        <v>#VALUE!</v>
      </c>
      <c r="HN184" t="e">
        <f>AND(ТитЛист!T13,"AAAAAGvs890=")</f>
        <v>#VALUE!</v>
      </c>
      <c r="HO184" t="e">
        <f>AND(ТитЛист!U13,"AAAAAGvs894=")</f>
        <v>#VALUE!</v>
      </c>
      <c r="HP184" t="e">
        <f>AND(ТитЛист!V13,"AAAAAGvs898=")</f>
        <v>#VALUE!</v>
      </c>
      <c r="HQ184" t="e">
        <f>AND(ТитЛист!W13,"AAAAAGvs8+A=")</f>
        <v>#VALUE!</v>
      </c>
      <c r="HR184" t="e">
        <f>AND(ТитЛист!X13,"AAAAAGvs8+E=")</f>
        <v>#VALUE!</v>
      </c>
      <c r="HS184" t="e">
        <f>AND(ТитЛист!Y13,"AAAAAGvs8+I=")</f>
        <v>#VALUE!</v>
      </c>
      <c r="HT184" t="e">
        <f>AND(ТитЛист!Z13,"AAAAAGvs8+M=")</f>
        <v>#VALUE!</v>
      </c>
      <c r="HU184" t="e">
        <f>AND(ТитЛист!AA13,"AAAAAGvs8+Q=")</f>
        <v>#VALUE!</v>
      </c>
      <c r="HV184" t="e">
        <f>AND(ТитЛист!AB13,"AAAAAGvs8+U=")</f>
        <v>#VALUE!</v>
      </c>
      <c r="HW184" t="e">
        <f>AND(ТитЛист!AC13,"AAAAAGvs8+Y=")</f>
        <v>#VALUE!</v>
      </c>
      <c r="HX184" t="e">
        <f>AND(ТитЛист!AD13,"AAAAAGvs8+c=")</f>
        <v>#VALUE!</v>
      </c>
      <c r="HY184" t="e">
        <f>AND(ТитЛист!AE13,"AAAAAGvs8+g=")</f>
        <v>#VALUE!</v>
      </c>
      <c r="HZ184" t="e">
        <f>AND(ТитЛист!AF13,"AAAAAGvs8+k=")</f>
        <v>#VALUE!</v>
      </c>
      <c r="IA184" t="e">
        <f>AND(ТитЛист!AG13,"AAAAAGvs8+o=")</f>
        <v>#VALUE!</v>
      </c>
      <c r="IB184" t="e">
        <f>AND(ТитЛист!AH13,"AAAAAGvs8+s=")</f>
        <v>#VALUE!</v>
      </c>
      <c r="IC184" t="e">
        <f>AND(ТитЛист!AI13,"AAAAAGvs8+w=")</f>
        <v>#VALUE!</v>
      </c>
      <c r="ID184" t="e">
        <f>AND(ТитЛист!AJ13,"AAAAAGvs8+0=")</f>
        <v>#VALUE!</v>
      </c>
      <c r="IE184" t="e">
        <f>AND(ТитЛист!AK13,"AAAAAGvs8+4=")</f>
        <v>#VALUE!</v>
      </c>
      <c r="IF184">
        <f>IF(ТитЛист!14:14,"AAAAAGvs8+8=",0)</f>
        <v>0</v>
      </c>
      <c r="IG184" t="e">
        <f>AND(ТитЛист!A14,"AAAAAGvs8/A=")</f>
        <v>#VALUE!</v>
      </c>
      <c r="IH184" t="e">
        <f>AND(ТитЛист!B14,"AAAAAGvs8/E=")</f>
        <v>#VALUE!</v>
      </c>
      <c r="II184" t="e">
        <f>AND(ТитЛист!C14,"AAAAAGvs8/I=")</f>
        <v>#VALUE!</v>
      </c>
      <c r="IJ184" t="e">
        <f>AND(ТитЛист!D14,"AAAAAGvs8/M=")</f>
        <v>#VALUE!</v>
      </c>
      <c r="IK184" t="e">
        <f>AND(ТитЛист!E14,"AAAAAGvs8/Q=")</f>
        <v>#VALUE!</v>
      </c>
      <c r="IL184" t="e">
        <f>AND(ТитЛист!F14,"AAAAAGvs8/U=")</f>
        <v>#VALUE!</v>
      </c>
      <c r="IM184" t="e">
        <f>AND(ТитЛист!G14,"AAAAAGvs8/Y=")</f>
        <v>#VALUE!</v>
      </c>
      <c r="IN184" t="e">
        <f>AND(ТитЛист!H14,"AAAAAGvs8/c=")</f>
        <v>#VALUE!</v>
      </c>
      <c r="IO184" t="e">
        <f>AND(ТитЛист!I14,"AAAAAGvs8/g=")</f>
        <v>#VALUE!</v>
      </c>
      <c r="IP184" t="e">
        <f>AND(ТитЛист!J14,"AAAAAGvs8/k=")</f>
        <v>#VALUE!</v>
      </c>
      <c r="IQ184" t="e">
        <f>AND(ТитЛист!K14,"AAAAAGvs8/o=")</f>
        <v>#VALUE!</v>
      </c>
      <c r="IR184" t="e">
        <f>AND(ТитЛист!L14,"AAAAAGvs8/s=")</f>
        <v>#VALUE!</v>
      </c>
      <c r="IS184" t="e">
        <f>AND(ТитЛист!M14,"AAAAAGvs8/w=")</f>
        <v>#VALUE!</v>
      </c>
      <c r="IT184" t="e">
        <f>AND(ТитЛист!N14,"AAAAAGvs8/0=")</f>
        <v>#VALUE!</v>
      </c>
      <c r="IU184" t="e">
        <f>AND(ТитЛист!O14,"AAAAAGvs8/4=")</f>
        <v>#VALUE!</v>
      </c>
      <c r="IV184" t="e">
        <f>AND(ТитЛист!P14,"AAAAAGvs8/8=")</f>
        <v>#VALUE!</v>
      </c>
    </row>
    <row r="185" spans="1:256">
      <c r="A185" t="e">
        <f>AND(ТитЛист!Q14,"AAAAAH++MQA=")</f>
        <v>#VALUE!</v>
      </c>
      <c r="B185" t="e">
        <f>AND(ТитЛист!R14,"AAAAAH++MQE=")</f>
        <v>#VALUE!</v>
      </c>
      <c r="C185" t="e">
        <f>AND(ТитЛист!S14,"AAAAAH++MQI=")</f>
        <v>#VALUE!</v>
      </c>
      <c r="D185" t="e">
        <f>AND(ТитЛист!T14,"AAAAAH++MQM=")</f>
        <v>#VALUE!</v>
      </c>
      <c r="E185" t="e">
        <f>AND(ТитЛист!U14,"AAAAAH++MQQ=")</f>
        <v>#VALUE!</v>
      </c>
      <c r="F185" t="e">
        <f>AND(ТитЛист!V14,"AAAAAH++MQU=")</f>
        <v>#VALUE!</v>
      </c>
      <c r="G185" t="e">
        <f>AND(ТитЛист!W14,"AAAAAH++MQY=")</f>
        <v>#VALUE!</v>
      </c>
      <c r="H185" t="e">
        <f>AND(ТитЛист!X14,"AAAAAH++MQc=")</f>
        <v>#VALUE!</v>
      </c>
      <c r="I185" t="e">
        <f>AND(ТитЛист!Y14,"AAAAAH++MQg=")</f>
        <v>#VALUE!</v>
      </c>
      <c r="J185" t="e">
        <f>AND(ТитЛист!Z14,"AAAAAH++MQk=")</f>
        <v>#VALUE!</v>
      </c>
      <c r="K185" t="e">
        <f>AND(ТитЛист!AA14,"AAAAAH++MQo=")</f>
        <v>#VALUE!</v>
      </c>
      <c r="L185" t="e">
        <f>AND(ТитЛист!AB14,"AAAAAH++MQs=")</f>
        <v>#VALUE!</v>
      </c>
      <c r="M185" t="e">
        <f>AND(ТитЛист!AC14,"AAAAAH++MQw=")</f>
        <v>#VALUE!</v>
      </c>
      <c r="N185" t="e">
        <f>AND(ТитЛист!AD14,"AAAAAH++MQ0=")</f>
        <v>#VALUE!</v>
      </c>
      <c r="O185" t="e">
        <f>AND(ТитЛист!AE14,"AAAAAH++MQ4=")</f>
        <v>#VALUE!</v>
      </c>
      <c r="P185" t="e">
        <f>AND(ТитЛист!AF14,"AAAAAH++MQ8=")</f>
        <v>#VALUE!</v>
      </c>
      <c r="Q185" t="e">
        <f>AND(ТитЛист!AG14,"AAAAAH++MRA=")</f>
        <v>#VALUE!</v>
      </c>
      <c r="R185" t="e">
        <f>AND(ТитЛист!AH14,"AAAAAH++MRE=")</f>
        <v>#VALUE!</v>
      </c>
      <c r="S185" t="e">
        <f>AND(ТитЛист!AI14,"AAAAAH++MRI=")</f>
        <v>#VALUE!</v>
      </c>
      <c r="T185" t="e">
        <f>AND(ТитЛист!AJ14,"AAAAAH++MRM=")</f>
        <v>#VALUE!</v>
      </c>
      <c r="U185" t="e">
        <f>AND(ТитЛист!AK14,"AAAAAH++MRQ=")</f>
        <v>#VALUE!</v>
      </c>
      <c r="V185">
        <f>IF(ТитЛист!15:15,"AAAAAH++MRU=",0)</f>
        <v>0</v>
      </c>
      <c r="W185" t="e">
        <f>AND(ТитЛист!A15,"AAAAAH++MRY=")</f>
        <v>#VALUE!</v>
      </c>
      <c r="X185" t="e">
        <f>AND(ТитЛист!B15,"AAAAAH++MRc=")</f>
        <v>#VALUE!</v>
      </c>
      <c r="Y185" t="e">
        <f>AND(ТитЛист!C15,"AAAAAH++MRg=")</f>
        <v>#VALUE!</v>
      </c>
      <c r="Z185" t="e">
        <f>AND(ТитЛист!D15,"AAAAAH++MRk=")</f>
        <v>#VALUE!</v>
      </c>
      <c r="AA185" t="e">
        <f>AND(ТитЛист!E15,"AAAAAH++MRo=")</f>
        <v>#VALUE!</v>
      </c>
      <c r="AB185" t="e">
        <f>AND(ТитЛист!F15,"AAAAAH++MRs=")</f>
        <v>#VALUE!</v>
      </c>
      <c r="AC185" t="e">
        <f>AND(ТитЛист!G15,"AAAAAH++MRw=")</f>
        <v>#VALUE!</v>
      </c>
      <c r="AD185" t="e">
        <f>AND(ТитЛист!H15,"AAAAAH++MR0=")</f>
        <v>#VALUE!</v>
      </c>
      <c r="AE185" t="e">
        <f>AND(ТитЛист!I15,"AAAAAH++MR4=")</f>
        <v>#VALUE!</v>
      </c>
      <c r="AF185" t="e">
        <f>AND(ТитЛист!J15,"AAAAAH++MR8=")</f>
        <v>#VALUE!</v>
      </c>
      <c r="AG185" t="e">
        <f>AND(ТитЛист!K15,"AAAAAH++MSA=")</f>
        <v>#VALUE!</v>
      </c>
      <c r="AH185" t="e">
        <f>AND(ТитЛист!L15,"AAAAAH++MSE=")</f>
        <v>#VALUE!</v>
      </c>
      <c r="AI185" t="e">
        <f>AND(ТитЛист!M15,"AAAAAH++MSI=")</f>
        <v>#VALUE!</v>
      </c>
      <c r="AJ185" t="e">
        <f>AND(ТитЛист!N15,"AAAAAH++MSM=")</f>
        <v>#VALUE!</v>
      </c>
      <c r="AK185" t="e">
        <f>AND(ТитЛист!O15,"AAAAAH++MSQ=")</f>
        <v>#VALUE!</v>
      </c>
      <c r="AL185" t="e">
        <f>AND(ТитЛист!P15,"AAAAAH++MSU=")</f>
        <v>#VALUE!</v>
      </c>
      <c r="AM185" t="e">
        <f>AND(ТитЛист!Q15,"AAAAAH++MSY=")</f>
        <v>#VALUE!</v>
      </c>
      <c r="AN185" t="e">
        <f>AND(ТитЛист!R15,"AAAAAH++MSc=")</f>
        <v>#VALUE!</v>
      </c>
      <c r="AO185" t="e">
        <f>AND(ТитЛист!S15,"AAAAAH++MSg=")</f>
        <v>#VALUE!</v>
      </c>
      <c r="AP185" t="e">
        <f>AND(ТитЛист!T15,"AAAAAH++MSk=")</f>
        <v>#VALUE!</v>
      </c>
      <c r="AQ185" t="e">
        <f>AND(ТитЛист!U15,"AAAAAH++MSo=")</f>
        <v>#VALUE!</v>
      </c>
      <c r="AR185" t="e">
        <f>AND(ТитЛист!V15,"AAAAAH++MSs=")</f>
        <v>#VALUE!</v>
      </c>
      <c r="AS185" t="e">
        <f>AND(ТитЛист!W15,"AAAAAH++MSw=")</f>
        <v>#VALUE!</v>
      </c>
      <c r="AT185" t="e">
        <f>AND(ТитЛист!X15,"AAAAAH++MS0=")</f>
        <v>#VALUE!</v>
      </c>
      <c r="AU185" t="e">
        <f>AND(ТитЛист!Y15,"AAAAAH++MS4=")</f>
        <v>#VALUE!</v>
      </c>
      <c r="AV185" t="e">
        <f>AND(ТитЛист!Z15,"AAAAAH++MS8=")</f>
        <v>#VALUE!</v>
      </c>
      <c r="AW185" t="e">
        <f>AND(ТитЛист!AA15,"AAAAAH++MTA=")</f>
        <v>#VALUE!</v>
      </c>
      <c r="AX185" t="e">
        <f>AND(ТитЛист!AB15,"AAAAAH++MTE=")</f>
        <v>#VALUE!</v>
      </c>
      <c r="AY185" t="e">
        <f>AND(ТитЛист!AC15,"AAAAAH++MTI=")</f>
        <v>#VALUE!</v>
      </c>
      <c r="AZ185" t="e">
        <f>AND(ТитЛист!AD15,"AAAAAH++MTM=")</f>
        <v>#VALUE!</v>
      </c>
      <c r="BA185" t="e">
        <f>AND(ТитЛист!AE15,"AAAAAH++MTQ=")</f>
        <v>#VALUE!</v>
      </c>
      <c r="BB185" t="e">
        <f>AND(ТитЛист!AF15,"AAAAAH++MTU=")</f>
        <v>#VALUE!</v>
      </c>
      <c r="BC185" t="e">
        <f>AND(ТитЛист!AG15,"AAAAAH++MTY=")</f>
        <v>#VALUE!</v>
      </c>
      <c r="BD185" t="e">
        <f>AND(ТитЛист!AH15,"AAAAAH++MTc=")</f>
        <v>#VALUE!</v>
      </c>
      <c r="BE185" t="e">
        <f>AND(ТитЛист!AI15,"AAAAAH++MTg=")</f>
        <v>#VALUE!</v>
      </c>
      <c r="BF185" t="e">
        <f>AND(ТитЛист!AJ15,"AAAAAH++MTk=")</f>
        <v>#VALUE!</v>
      </c>
      <c r="BG185" t="e">
        <f>AND(ТитЛист!AK15,"AAAAAH++MTo=")</f>
        <v>#VALUE!</v>
      </c>
      <c r="BH185">
        <f>IF(ТитЛист!16:16,"AAAAAH++MTs=",0)</f>
        <v>0</v>
      </c>
      <c r="BI185" t="e">
        <f>AND(ТитЛист!A16,"AAAAAH++MTw=")</f>
        <v>#VALUE!</v>
      </c>
      <c r="BJ185" t="e">
        <f>AND(ТитЛист!B16,"AAAAAH++MT0=")</f>
        <v>#VALUE!</v>
      </c>
      <c r="BK185" t="e">
        <f>AND(ТитЛист!C16,"AAAAAH++MT4=")</f>
        <v>#VALUE!</v>
      </c>
      <c r="BL185" t="e">
        <f>AND(ТитЛист!D16,"AAAAAH++MT8=")</f>
        <v>#VALUE!</v>
      </c>
      <c r="BM185" t="e">
        <f>AND(ТитЛист!E16,"AAAAAH++MUA=")</f>
        <v>#VALUE!</v>
      </c>
      <c r="BN185" t="e">
        <f>AND(ТитЛист!F16,"AAAAAH++MUE=")</f>
        <v>#VALUE!</v>
      </c>
      <c r="BO185" t="e">
        <f>AND(ТитЛист!G16,"AAAAAH++MUI=")</f>
        <v>#VALUE!</v>
      </c>
      <c r="BP185" t="e">
        <f>AND(ТитЛист!H16,"AAAAAH++MUM=")</f>
        <v>#VALUE!</v>
      </c>
      <c r="BQ185" t="e">
        <f>AND(ТитЛист!I16,"AAAAAH++MUQ=")</f>
        <v>#VALUE!</v>
      </c>
      <c r="BR185" t="e">
        <f>AND(ТитЛист!J16,"AAAAAH++MUU=")</f>
        <v>#VALUE!</v>
      </c>
      <c r="BS185" t="e">
        <f>AND(ТитЛист!K16,"AAAAAH++MUY=")</f>
        <v>#VALUE!</v>
      </c>
      <c r="BT185" t="e">
        <f>AND(ТитЛист!L16,"AAAAAH++MUc=")</f>
        <v>#VALUE!</v>
      </c>
      <c r="BU185" t="e">
        <f>AND(ТитЛист!M16,"AAAAAH++MUg=")</f>
        <v>#VALUE!</v>
      </c>
      <c r="BV185" t="e">
        <f>AND(ТитЛист!N16,"AAAAAH++MUk=")</f>
        <v>#VALUE!</v>
      </c>
      <c r="BW185" t="e">
        <f>AND(ТитЛист!O16,"AAAAAH++MUo=")</f>
        <v>#VALUE!</v>
      </c>
      <c r="BX185" t="e">
        <f>AND(ТитЛист!P16,"AAAAAH++MUs=")</f>
        <v>#VALUE!</v>
      </c>
      <c r="BY185" t="e">
        <f>AND(ТитЛист!Q16,"AAAAAH++MUw=")</f>
        <v>#VALUE!</v>
      </c>
      <c r="BZ185" t="e">
        <f>AND(ТитЛист!R16,"AAAAAH++MU0=")</f>
        <v>#VALUE!</v>
      </c>
      <c r="CA185" t="e">
        <f>AND(ТитЛист!S16,"AAAAAH++MU4=")</f>
        <v>#VALUE!</v>
      </c>
      <c r="CB185" t="e">
        <f>AND(ТитЛист!T16,"AAAAAH++MU8=")</f>
        <v>#VALUE!</v>
      </c>
      <c r="CC185" t="e">
        <f>AND(ТитЛист!U16,"AAAAAH++MVA=")</f>
        <v>#VALUE!</v>
      </c>
      <c r="CD185" t="e">
        <f>AND(ТитЛист!V16,"AAAAAH++MVE=")</f>
        <v>#VALUE!</v>
      </c>
      <c r="CE185" t="e">
        <f>AND(ТитЛист!W16,"AAAAAH++MVI=")</f>
        <v>#VALUE!</v>
      </c>
      <c r="CF185" t="e">
        <f>AND(ТитЛист!X16,"AAAAAH++MVM=")</f>
        <v>#VALUE!</v>
      </c>
      <c r="CG185" t="e">
        <f>AND(ТитЛист!Y16,"AAAAAH++MVQ=")</f>
        <v>#VALUE!</v>
      </c>
      <c r="CH185" t="e">
        <f>AND(ТитЛист!Z16,"AAAAAH++MVU=")</f>
        <v>#VALUE!</v>
      </c>
      <c r="CI185" t="e">
        <f>AND(ТитЛист!AA16,"AAAAAH++MVY=")</f>
        <v>#VALUE!</v>
      </c>
      <c r="CJ185" t="e">
        <f>AND(ТитЛист!AB16,"AAAAAH++MVc=")</f>
        <v>#VALUE!</v>
      </c>
      <c r="CK185" t="e">
        <f>AND(ТитЛист!AC16,"AAAAAH++MVg=")</f>
        <v>#VALUE!</v>
      </c>
      <c r="CL185" t="e">
        <f>AND(ТитЛист!AD16,"AAAAAH++MVk=")</f>
        <v>#VALUE!</v>
      </c>
      <c r="CM185" t="e">
        <f>AND(ТитЛист!AE16,"AAAAAH++MVo=")</f>
        <v>#VALUE!</v>
      </c>
      <c r="CN185" t="e">
        <f>AND(ТитЛист!AF16,"AAAAAH++MVs=")</f>
        <v>#VALUE!</v>
      </c>
      <c r="CO185" t="e">
        <f>AND(ТитЛист!AG16,"AAAAAH++MVw=")</f>
        <v>#VALUE!</v>
      </c>
      <c r="CP185" t="e">
        <f>AND(ТитЛист!AH16,"AAAAAH++MV0=")</f>
        <v>#VALUE!</v>
      </c>
      <c r="CQ185" t="e">
        <f>AND(ТитЛист!AI16,"AAAAAH++MV4=")</f>
        <v>#VALUE!</v>
      </c>
      <c r="CR185" t="e">
        <f>AND(ТитЛист!AJ16,"AAAAAH++MV8=")</f>
        <v>#VALUE!</v>
      </c>
      <c r="CS185" t="e">
        <f>AND(ТитЛист!AK16,"AAAAAH++MWA=")</f>
        <v>#VALUE!</v>
      </c>
      <c r="CT185">
        <f>IF(ТитЛист!17:17,"AAAAAH++MWE=",0)</f>
        <v>0</v>
      </c>
      <c r="CU185" t="e">
        <f>AND(ТитЛист!A17,"AAAAAH++MWI=")</f>
        <v>#VALUE!</v>
      </c>
      <c r="CV185" t="e">
        <f>AND(ТитЛист!B17,"AAAAAH++MWM=")</f>
        <v>#VALUE!</v>
      </c>
      <c r="CW185" t="e">
        <f>AND(ТитЛист!C17,"AAAAAH++MWQ=")</f>
        <v>#VALUE!</v>
      </c>
      <c r="CX185" t="e">
        <f>AND(ТитЛист!D17,"AAAAAH++MWU=")</f>
        <v>#VALUE!</v>
      </c>
      <c r="CY185" t="e">
        <f>AND(ТитЛист!E17,"AAAAAH++MWY=")</f>
        <v>#VALUE!</v>
      </c>
      <c r="CZ185" t="e">
        <f>AND(ТитЛист!F17,"AAAAAH++MWc=")</f>
        <v>#VALUE!</v>
      </c>
      <c r="DA185" t="e">
        <f>AND(ТитЛист!G17,"AAAAAH++MWg=")</f>
        <v>#VALUE!</v>
      </c>
      <c r="DB185" t="e">
        <f>AND(ТитЛист!H17,"AAAAAH++MWk=")</f>
        <v>#VALUE!</v>
      </c>
      <c r="DC185" t="e">
        <f>AND(ТитЛист!I17,"AAAAAH++MWo=")</f>
        <v>#VALUE!</v>
      </c>
      <c r="DD185" t="e">
        <f>AND(ТитЛист!J17,"AAAAAH++MWs=")</f>
        <v>#VALUE!</v>
      </c>
      <c r="DE185" t="e">
        <f>AND(ТитЛист!K17,"AAAAAH++MWw=")</f>
        <v>#VALUE!</v>
      </c>
      <c r="DF185" t="e">
        <f>AND(ТитЛист!L17,"AAAAAH++MW0=")</f>
        <v>#VALUE!</v>
      </c>
      <c r="DG185" t="e">
        <f>AND(ТитЛист!M17,"AAAAAH++MW4=")</f>
        <v>#VALUE!</v>
      </c>
      <c r="DH185" t="e">
        <f>AND(ТитЛист!N17,"AAAAAH++MW8=")</f>
        <v>#VALUE!</v>
      </c>
      <c r="DI185" t="e">
        <f>AND(ТитЛист!O17,"AAAAAH++MXA=")</f>
        <v>#VALUE!</v>
      </c>
      <c r="DJ185" t="e">
        <f>AND(ТитЛист!P17,"AAAAAH++MXE=")</f>
        <v>#VALUE!</v>
      </c>
      <c r="DK185" t="e">
        <f>AND(ТитЛист!Q17,"AAAAAH++MXI=")</f>
        <v>#VALUE!</v>
      </c>
      <c r="DL185" t="e">
        <f>AND(ТитЛист!R17,"AAAAAH++MXM=")</f>
        <v>#VALUE!</v>
      </c>
      <c r="DM185" t="e">
        <f>AND(ТитЛист!S17,"AAAAAH++MXQ=")</f>
        <v>#VALUE!</v>
      </c>
      <c r="DN185" t="e">
        <f>AND(ТитЛист!T17,"AAAAAH++MXU=")</f>
        <v>#VALUE!</v>
      </c>
      <c r="DO185" t="e">
        <f>AND(ТитЛист!U17,"AAAAAH++MXY=")</f>
        <v>#VALUE!</v>
      </c>
      <c r="DP185" t="e">
        <f>AND(ТитЛист!V17,"AAAAAH++MXc=")</f>
        <v>#VALUE!</v>
      </c>
      <c r="DQ185" t="e">
        <f>AND(ТитЛист!W17,"AAAAAH++MXg=")</f>
        <v>#VALUE!</v>
      </c>
      <c r="DR185" t="e">
        <f>AND(ТитЛист!X17,"AAAAAH++MXk=")</f>
        <v>#VALUE!</v>
      </c>
      <c r="DS185" t="e">
        <f>AND(ТитЛист!Y17,"AAAAAH++MXo=")</f>
        <v>#VALUE!</v>
      </c>
      <c r="DT185" t="e">
        <f>AND(ТитЛист!Z17,"AAAAAH++MXs=")</f>
        <v>#VALUE!</v>
      </c>
      <c r="DU185" t="e">
        <f>AND(ТитЛист!AA17,"AAAAAH++MXw=")</f>
        <v>#VALUE!</v>
      </c>
      <c r="DV185" t="e">
        <f>AND(ТитЛист!AB17,"AAAAAH++MX0=")</f>
        <v>#VALUE!</v>
      </c>
      <c r="DW185" t="e">
        <f>AND(ТитЛист!AC17,"AAAAAH++MX4=")</f>
        <v>#VALUE!</v>
      </c>
      <c r="DX185" t="e">
        <f>AND(ТитЛист!AD17,"AAAAAH++MX8=")</f>
        <v>#VALUE!</v>
      </c>
      <c r="DY185" t="e">
        <f>AND(ТитЛист!AE17,"AAAAAH++MYA=")</f>
        <v>#VALUE!</v>
      </c>
      <c r="DZ185" t="e">
        <f>AND(ТитЛист!AF17,"AAAAAH++MYE=")</f>
        <v>#VALUE!</v>
      </c>
      <c r="EA185" t="e">
        <f>AND(ТитЛист!AG17,"AAAAAH++MYI=")</f>
        <v>#VALUE!</v>
      </c>
      <c r="EB185" t="e">
        <f>AND(ТитЛист!AH17,"AAAAAH++MYM=")</f>
        <v>#VALUE!</v>
      </c>
      <c r="EC185" t="e">
        <f>AND(ТитЛист!AI17,"AAAAAH++MYQ=")</f>
        <v>#VALUE!</v>
      </c>
      <c r="ED185" t="e">
        <f>AND(ТитЛист!AJ17,"AAAAAH++MYU=")</f>
        <v>#VALUE!</v>
      </c>
      <c r="EE185" t="e">
        <f>AND(ТитЛист!AK17,"AAAAAH++MYY=")</f>
        <v>#VALUE!</v>
      </c>
      <c r="EF185">
        <f>IF(ТитЛист!18:18,"AAAAAH++MYc=",0)</f>
        <v>0</v>
      </c>
      <c r="EG185" t="e">
        <f>AND(ТитЛист!A18,"AAAAAH++MYg=")</f>
        <v>#VALUE!</v>
      </c>
      <c r="EH185" t="e">
        <f>AND(ТитЛист!B18,"AAAAAH++MYk=")</f>
        <v>#VALUE!</v>
      </c>
      <c r="EI185" t="e">
        <f>AND(ТитЛист!C18,"AAAAAH++MYo=")</f>
        <v>#VALUE!</v>
      </c>
      <c r="EJ185" t="e">
        <f>AND(ТитЛист!D18,"AAAAAH++MYs=")</f>
        <v>#VALUE!</v>
      </c>
      <c r="EK185" t="e">
        <f>AND(ТитЛист!E18,"AAAAAH++MYw=")</f>
        <v>#VALUE!</v>
      </c>
      <c r="EL185" t="e">
        <f>AND(ТитЛист!F18,"AAAAAH++MY0=")</f>
        <v>#VALUE!</v>
      </c>
      <c r="EM185" t="e">
        <f>AND(ТитЛист!G18,"AAAAAH++MY4=")</f>
        <v>#VALUE!</v>
      </c>
      <c r="EN185" t="e">
        <f>AND(ТитЛист!H18,"AAAAAH++MY8=")</f>
        <v>#VALUE!</v>
      </c>
      <c r="EO185" t="e">
        <f>AND(ТитЛист!I18,"AAAAAH++MZA=")</f>
        <v>#VALUE!</v>
      </c>
      <c r="EP185" t="e">
        <f>AND(ТитЛист!J18,"AAAAAH++MZE=")</f>
        <v>#VALUE!</v>
      </c>
      <c r="EQ185" t="e">
        <f>AND(ТитЛист!K18,"AAAAAH++MZI=")</f>
        <v>#VALUE!</v>
      </c>
      <c r="ER185" t="e">
        <f>AND(ТитЛист!L18,"AAAAAH++MZM=")</f>
        <v>#VALUE!</v>
      </c>
      <c r="ES185" t="e">
        <f>AND(ТитЛист!M18,"AAAAAH++MZQ=")</f>
        <v>#VALUE!</v>
      </c>
      <c r="ET185" t="e">
        <f>AND(ТитЛист!N18,"AAAAAH++MZU=")</f>
        <v>#VALUE!</v>
      </c>
      <c r="EU185" t="e">
        <f>AND(ТитЛист!O18,"AAAAAH++MZY=")</f>
        <v>#VALUE!</v>
      </c>
      <c r="EV185" t="e">
        <f>AND(ТитЛист!P18,"AAAAAH++MZc=")</f>
        <v>#VALUE!</v>
      </c>
      <c r="EW185" t="e">
        <f>AND(ТитЛист!Q18,"AAAAAH++MZg=")</f>
        <v>#VALUE!</v>
      </c>
      <c r="EX185" t="e">
        <f>AND(ТитЛист!R18,"AAAAAH++MZk=")</f>
        <v>#VALUE!</v>
      </c>
      <c r="EY185" t="e">
        <f>AND(ТитЛист!S18,"AAAAAH++MZo=")</f>
        <v>#VALUE!</v>
      </c>
      <c r="EZ185" t="e">
        <f>AND(ТитЛист!T18,"AAAAAH++MZs=")</f>
        <v>#VALUE!</v>
      </c>
      <c r="FA185" t="e">
        <f>AND(ТитЛист!U18,"AAAAAH++MZw=")</f>
        <v>#VALUE!</v>
      </c>
      <c r="FB185" t="e">
        <f>AND(ТитЛист!V18,"AAAAAH++MZ0=")</f>
        <v>#VALUE!</v>
      </c>
      <c r="FC185" t="e">
        <f>AND(ТитЛист!W18,"AAAAAH++MZ4=")</f>
        <v>#VALUE!</v>
      </c>
      <c r="FD185" t="e">
        <f>AND(ТитЛист!X18,"AAAAAH++MZ8=")</f>
        <v>#VALUE!</v>
      </c>
      <c r="FE185" t="e">
        <f>AND(ТитЛист!Y18,"AAAAAH++MaA=")</f>
        <v>#VALUE!</v>
      </c>
      <c r="FF185" t="e">
        <f>AND(ТитЛист!Z18,"AAAAAH++MaE=")</f>
        <v>#VALUE!</v>
      </c>
      <c r="FG185" t="e">
        <f>AND(ТитЛист!AA18,"AAAAAH++MaI=")</f>
        <v>#VALUE!</v>
      </c>
      <c r="FH185" t="e">
        <f>AND(ТитЛист!AB18,"AAAAAH++MaM=")</f>
        <v>#VALUE!</v>
      </c>
      <c r="FI185" t="e">
        <f>AND(ТитЛист!AC18,"AAAAAH++MaQ=")</f>
        <v>#VALUE!</v>
      </c>
      <c r="FJ185" t="e">
        <f>AND(ТитЛист!AD18,"AAAAAH++MaU=")</f>
        <v>#VALUE!</v>
      </c>
      <c r="FK185" t="e">
        <f>AND(ТитЛист!AE18,"AAAAAH++MaY=")</f>
        <v>#VALUE!</v>
      </c>
      <c r="FL185" t="e">
        <f>AND(ТитЛист!AF18,"AAAAAH++Mac=")</f>
        <v>#VALUE!</v>
      </c>
      <c r="FM185" t="e">
        <f>AND(ТитЛист!AG18,"AAAAAH++Mag=")</f>
        <v>#VALUE!</v>
      </c>
      <c r="FN185" t="e">
        <f>AND(ТитЛист!AH18,"AAAAAH++Mak=")</f>
        <v>#VALUE!</v>
      </c>
      <c r="FO185" t="e">
        <f>AND(ТитЛист!AI18,"AAAAAH++Mao=")</f>
        <v>#VALUE!</v>
      </c>
      <c r="FP185" t="e">
        <f>AND(ТитЛист!AJ18,"AAAAAH++Mas=")</f>
        <v>#VALUE!</v>
      </c>
      <c r="FQ185" t="e">
        <f>AND(ТитЛист!AK18,"AAAAAH++Maw=")</f>
        <v>#VALUE!</v>
      </c>
      <c r="FR185">
        <f>IF(ТитЛист!19:19,"AAAAAH++Ma0=",0)</f>
        <v>0</v>
      </c>
      <c r="FS185" t="e">
        <f>AND(ТитЛист!A19,"AAAAAH++Ma4=")</f>
        <v>#VALUE!</v>
      </c>
      <c r="FT185" t="e">
        <f>AND(ТитЛист!B19,"AAAAAH++Ma8=")</f>
        <v>#VALUE!</v>
      </c>
      <c r="FU185" t="e">
        <f>AND(ТитЛист!C19,"AAAAAH++MbA=")</f>
        <v>#VALUE!</v>
      </c>
      <c r="FV185" t="e">
        <f>AND(ТитЛист!D19,"AAAAAH++MbE=")</f>
        <v>#VALUE!</v>
      </c>
      <c r="FW185" t="e">
        <f>AND(ТитЛист!E19,"AAAAAH++MbI=")</f>
        <v>#VALUE!</v>
      </c>
      <c r="FX185" t="e">
        <f>AND(ТитЛист!F19,"AAAAAH++MbM=")</f>
        <v>#VALUE!</v>
      </c>
      <c r="FY185" t="e">
        <f>AND(ТитЛист!G19,"AAAAAH++MbQ=")</f>
        <v>#VALUE!</v>
      </c>
      <c r="FZ185" t="e">
        <f>AND(ТитЛист!H19,"AAAAAH++MbU=")</f>
        <v>#VALUE!</v>
      </c>
      <c r="GA185" t="e">
        <f>AND(ТитЛист!I19,"AAAAAH++MbY=")</f>
        <v>#VALUE!</v>
      </c>
      <c r="GB185" t="e">
        <f>AND(ТитЛист!J19,"AAAAAH++Mbc=")</f>
        <v>#VALUE!</v>
      </c>
      <c r="GC185" t="e">
        <f>AND(ТитЛист!K19,"AAAAAH++Mbg=")</f>
        <v>#VALUE!</v>
      </c>
      <c r="GD185" t="e">
        <f>AND(ТитЛист!L19,"AAAAAH++Mbk=")</f>
        <v>#VALUE!</v>
      </c>
      <c r="GE185" t="e">
        <f>AND(ТитЛист!M19,"AAAAAH++Mbo=")</f>
        <v>#VALUE!</v>
      </c>
      <c r="GF185" t="e">
        <f>AND(ТитЛист!N19,"AAAAAH++Mbs=")</f>
        <v>#VALUE!</v>
      </c>
      <c r="GG185" t="e">
        <f>AND(ТитЛист!O19,"AAAAAH++Mbw=")</f>
        <v>#VALUE!</v>
      </c>
      <c r="GH185" t="e">
        <f>AND(ТитЛист!P19,"AAAAAH++Mb0=")</f>
        <v>#VALUE!</v>
      </c>
      <c r="GI185" t="e">
        <f>AND(ТитЛист!Q19,"AAAAAH++Mb4=")</f>
        <v>#VALUE!</v>
      </c>
      <c r="GJ185" t="e">
        <f>AND(ТитЛист!R19,"AAAAAH++Mb8=")</f>
        <v>#VALUE!</v>
      </c>
      <c r="GK185" t="e">
        <f>AND(ТитЛист!S19,"AAAAAH++McA=")</f>
        <v>#VALUE!</v>
      </c>
      <c r="GL185" t="e">
        <f>AND(ТитЛист!T19,"AAAAAH++McE=")</f>
        <v>#VALUE!</v>
      </c>
      <c r="GM185" t="e">
        <f>AND(ТитЛист!U19,"AAAAAH++McI=")</f>
        <v>#VALUE!</v>
      </c>
      <c r="GN185" t="e">
        <f>AND(ТитЛист!V19,"AAAAAH++McM=")</f>
        <v>#VALUE!</v>
      </c>
      <c r="GO185" t="e">
        <f>AND(ТитЛист!W19,"AAAAAH++McQ=")</f>
        <v>#VALUE!</v>
      </c>
      <c r="GP185" t="e">
        <f>AND(ТитЛист!X19,"AAAAAH++McU=")</f>
        <v>#VALUE!</v>
      </c>
      <c r="GQ185" t="e">
        <f>AND(ТитЛист!Y19,"AAAAAH++McY=")</f>
        <v>#VALUE!</v>
      </c>
      <c r="GR185" t="e">
        <f>AND(ТитЛист!Z19,"AAAAAH++Mcc=")</f>
        <v>#VALUE!</v>
      </c>
      <c r="GS185" t="e">
        <f>AND(ТитЛист!AA19,"AAAAAH++Mcg=")</f>
        <v>#VALUE!</v>
      </c>
      <c r="GT185" t="e">
        <f>AND(ТитЛист!AB19,"AAAAAH++Mck=")</f>
        <v>#VALUE!</v>
      </c>
      <c r="GU185" t="e">
        <f>AND(ТитЛист!AC19,"AAAAAH++Mco=")</f>
        <v>#VALUE!</v>
      </c>
      <c r="GV185" t="e">
        <f>AND(ТитЛист!AD19,"AAAAAH++Mcs=")</f>
        <v>#VALUE!</v>
      </c>
      <c r="GW185" t="e">
        <f>AND(ТитЛист!AE19,"AAAAAH++Mcw=")</f>
        <v>#VALUE!</v>
      </c>
      <c r="GX185" t="e">
        <f>AND(ТитЛист!AF19,"AAAAAH++Mc0=")</f>
        <v>#VALUE!</v>
      </c>
      <c r="GY185" t="e">
        <f>AND(ТитЛист!AG19,"AAAAAH++Mc4=")</f>
        <v>#VALUE!</v>
      </c>
      <c r="GZ185" t="e">
        <f>AND(ТитЛист!AH19,"AAAAAH++Mc8=")</f>
        <v>#VALUE!</v>
      </c>
      <c r="HA185" t="e">
        <f>AND(ТитЛист!AI19,"AAAAAH++MdA=")</f>
        <v>#VALUE!</v>
      </c>
      <c r="HB185" t="e">
        <f>AND(ТитЛист!AJ19,"AAAAAH++MdE=")</f>
        <v>#VALUE!</v>
      </c>
      <c r="HC185" t="e">
        <f>AND(ТитЛист!AK19,"AAAAAH++MdI=")</f>
        <v>#VALUE!</v>
      </c>
      <c r="HD185">
        <f>IF(ТитЛист!20:20,"AAAAAH++MdM=",0)</f>
        <v>0</v>
      </c>
      <c r="HE185" t="e">
        <f>AND(ТитЛист!A20,"AAAAAH++MdQ=")</f>
        <v>#VALUE!</v>
      </c>
      <c r="HF185" t="e">
        <f>AND(ТитЛист!B20,"AAAAAH++MdU=")</f>
        <v>#VALUE!</v>
      </c>
      <c r="HG185" t="e">
        <f>AND(ТитЛист!C20,"AAAAAH++MdY=")</f>
        <v>#VALUE!</v>
      </c>
      <c r="HH185" t="e">
        <f>AND(ТитЛист!D20,"AAAAAH++Mdc=")</f>
        <v>#VALUE!</v>
      </c>
      <c r="HI185" t="e">
        <f>AND(ТитЛист!E20,"AAAAAH++Mdg=")</f>
        <v>#VALUE!</v>
      </c>
      <c r="HJ185" t="e">
        <f>AND(ТитЛист!F20,"AAAAAH++Mdk=")</f>
        <v>#VALUE!</v>
      </c>
      <c r="HK185" t="e">
        <f>AND(ТитЛист!G20,"AAAAAH++Mdo=")</f>
        <v>#VALUE!</v>
      </c>
      <c r="HL185" t="e">
        <f>AND(ТитЛист!H20,"AAAAAH++Mds=")</f>
        <v>#VALUE!</v>
      </c>
      <c r="HM185" t="e">
        <f>AND(ТитЛист!I20,"AAAAAH++Mdw=")</f>
        <v>#VALUE!</v>
      </c>
      <c r="HN185" t="e">
        <f>AND(ТитЛист!J20,"AAAAAH++Md0=")</f>
        <v>#VALUE!</v>
      </c>
      <c r="HO185" t="e">
        <f>AND(ТитЛист!K20,"AAAAAH++Md4=")</f>
        <v>#VALUE!</v>
      </c>
      <c r="HP185" t="e">
        <f>AND(ТитЛист!L20,"AAAAAH++Md8=")</f>
        <v>#VALUE!</v>
      </c>
      <c r="HQ185" t="e">
        <f>AND(ТитЛист!M20,"AAAAAH++MeA=")</f>
        <v>#VALUE!</v>
      </c>
      <c r="HR185" t="e">
        <f>AND(ТитЛист!N20,"AAAAAH++MeE=")</f>
        <v>#VALUE!</v>
      </c>
      <c r="HS185" t="e">
        <f>AND(ТитЛист!O20,"AAAAAH++MeI=")</f>
        <v>#VALUE!</v>
      </c>
      <c r="HT185" t="e">
        <f>AND(ТитЛист!P20,"AAAAAH++MeM=")</f>
        <v>#VALUE!</v>
      </c>
      <c r="HU185" t="e">
        <f>AND(ТитЛист!Q20,"AAAAAH++MeQ=")</f>
        <v>#VALUE!</v>
      </c>
      <c r="HV185" t="e">
        <f>AND(ТитЛист!R20,"AAAAAH++MeU=")</f>
        <v>#VALUE!</v>
      </c>
      <c r="HW185" t="e">
        <f>AND(ТитЛист!S20,"AAAAAH++MeY=")</f>
        <v>#VALUE!</v>
      </c>
      <c r="HX185" t="e">
        <f>AND(ТитЛист!T20,"AAAAAH++Mec=")</f>
        <v>#VALUE!</v>
      </c>
      <c r="HY185" t="e">
        <f>AND(ТитЛист!U20,"AAAAAH++Meg=")</f>
        <v>#VALUE!</v>
      </c>
      <c r="HZ185" t="e">
        <f>AND(ТитЛист!V20,"AAAAAH++Mek=")</f>
        <v>#VALUE!</v>
      </c>
      <c r="IA185" t="e">
        <f>AND(ТитЛист!W20,"AAAAAH++Meo=")</f>
        <v>#VALUE!</v>
      </c>
      <c r="IB185" t="e">
        <f>AND(ТитЛист!X20,"AAAAAH++Mes=")</f>
        <v>#VALUE!</v>
      </c>
      <c r="IC185" t="e">
        <f>AND(ТитЛист!Y20,"AAAAAH++Mew=")</f>
        <v>#VALUE!</v>
      </c>
      <c r="ID185" t="e">
        <f>AND(ТитЛист!Z20,"AAAAAH++Me0=")</f>
        <v>#VALUE!</v>
      </c>
      <c r="IE185" t="e">
        <f>AND(ТитЛист!AA20,"AAAAAH++Me4=")</f>
        <v>#VALUE!</v>
      </c>
      <c r="IF185" t="e">
        <f>AND(ТитЛист!AB20,"AAAAAH++Me8=")</f>
        <v>#VALUE!</v>
      </c>
      <c r="IG185" t="e">
        <f>AND(ТитЛист!AC20,"AAAAAH++MfA=")</f>
        <v>#VALUE!</v>
      </c>
      <c r="IH185" t="e">
        <f>AND(ТитЛист!AD20,"AAAAAH++MfE=")</f>
        <v>#VALUE!</v>
      </c>
      <c r="II185" t="e">
        <f>AND(ТитЛист!AE20,"AAAAAH++MfI=")</f>
        <v>#VALUE!</v>
      </c>
      <c r="IJ185" t="e">
        <f>AND(ТитЛист!AF20,"AAAAAH++MfM=")</f>
        <v>#VALUE!</v>
      </c>
      <c r="IK185" t="e">
        <f>AND(ТитЛист!AG20,"AAAAAH++MfQ=")</f>
        <v>#VALUE!</v>
      </c>
      <c r="IL185" t="e">
        <f>AND(ТитЛист!AH20,"AAAAAH++MfU=")</f>
        <v>#VALUE!</v>
      </c>
      <c r="IM185" t="e">
        <f>AND(ТитЛист!AI20,"AAAAAH++MfY=")</f>
        <v>#VALUE!</v>
      </c>
      <c r="IN185" t="e">
        <f>AND(ТитЛист!AJ20,"AAAAAH++Mfc=")</f>
        <v>#VALUE!</v>
      </c>
      <c r="IO185" t="e">
        <f>AND(ТитЛист!AK20,"AAAAAH++Mfg=")</f>
        <v>#VALUE!</v>
      </c>
      <c r="IP185">
        <f>IF(ТитЛист!21:21,"AAAAAH++Mfk=",0)</f>
        <v>0</v>
      </c>
      <c r="IQ185" t="e">
        <f>AND(ТитЛист!A21,"AAAAAH++Mfo=")</f>
        <v>#VALUE!</v>
      </c>
      <c r="IR185" t="e">
        <f>AND(ТитЛист!B21,"AAAAAH++Mfs=")</f>
        <v>#VALUE!</v>
      </c>
      <c r="IS185" t="e">
        <f>AND(ТитЛист!C21,"AAAAAH++Mfw=")</f>
        <v>#VALUE!</v>
      </c>
      <c r="IT185" t="e">
        <f>AND(ТитЛист!D21,"AAAAAH++Mf0=")</f>
        <v>#VALUE!</v>
      </c>
      <c r="IU185" t="e">
        <f>AND(ТитЛист!E21,"AAAAAH++Mf4=")</f>
        <v>#VALUE!</v>
      </c>
      <c r="IV185" t="e">
        <f>AND(ТитЛист!F21,"AAAAAH++Mf8=")</f>
        <v>#VALUE!</v>
      </c>
    </row>
    <row r="186" spans="1:256">
      <c r="A186" t="e">
        <f>AND(ТитЛист!G21,"AAAAAG/+/QA=")</f>
        <v>#VALUE!</v>
      </c>
      <c r="B186" t="e">
        <f>AND(ТитЛист!H21,"AAAAAG/+/QE=")</f>
        <v>#VALUE!</v>
      </c>
      <c r="C186" t="e">
        <f>AND(ТитЛист!I21,"AAAAAG/+/QI=")</f>
        <v>#VALUE!</v>
      </c>
      <c r="D186" t="e">
        <f>AND(ТитЛист!J21,"AAAAAG/+/QM=")</f>
        <v>#VALUE!</v>
      </c>
      <c r="E186" t="e">
        <f>AND(ТитЛист!K21,"AAAAAG/+/QQ=")</f>
        <v>#VALUE!</v>
      </c>
      <c r="F186" t="e">
        <f>AND(ТитЛист!L21,"AAAAAG/+/QU=")</f>
        <v>#VALUE!</v>
      </c>
      <c r="G186" t="e">
        <f>AND(ТитЛист!M21,"AAAAAG/+/QY=")</f>
        <v>#VALUE!</v>
      </c>
      <c r="H186" t="e">
        <f>AND(ТитЛист!N21,"AAAAAG/+/Qc=")</f>
        <v>#VALUE!</v>
      </c>
      <c r="I186" t="e">
        <f>AND(ТитЛист!O21,"AAAAAG/+/Qg=")</f>
        <v>#VALUE!</v>
      </c>
      <c r="J186" t="e">
        <f>AND(ТитЛист!P21,"AAAAAG/+/Qk=")</f>
        <v>#VALUE!</v>
      </c>
      <c r="K186" t="e">
        <f>AND(ТитЛист!Q21,"AAAAAG/+/Qo=")</f>
        <v>#VALUE!</v>
      </c>
      <c r="L186" t="e">
        <f>AND(ТитЛист!R21,"AAAAAG/+/Qs=")</f>
        <v>#VALUE!</v>
      </c>
      <c r="M186" t="e">
        <f>AND(ТитЛист!S21,"AAAAAG/+/Qw=")</f>
        <v>#VALUE!</v>
      </c>
      <c r="N186" t="e">
        <f>AND(ТитЛист!T21,"AAAAAG/+/Q0=")</f>
        <v>#VALUE!</v>
      </c>
      <c r="O186" t="e">
        <f>AND(ТитЛист!U21,"AAAAAG/+/Q4=")</f>
        <v>#VALUE!</v>
      </c>
      <c r="P186" t="e">
        <f>AND(ТитЛист!V21,"AAAAAG/+/Q8=")</f>
        <v>#VALUE!</v>
      </c>
      <c r="Q186" t="e">
        <f>AND(ТитЛист!W21,"AAAAAG/+/RA=")</f>
        <v>#VALUE!</v>
      </c>
      <c r="R186" t="e">
        <f>AND(ТитЛист!X21,"AAAAAG/+/RE=")</f>
        <v>#VALUE!</v>
      </c>
      <c r="S186" t="e">
        <f>AND(ТитЛист!Y21,"AAAAAG/+/RI=")</f>
        <v>#VALUE!</v>
      </c>
      <c r="T186" t="e">
        <f>AND(ТитЛист!Z21,"AAAAAG/+/RM=")</f>
        <v>#VALUE!</v>
      </c>
      <c r="U186" t="e">
        <f>AND(ТитЛист!AA21,"AAAAAG/+/RQ=")</f>
        <v>#VALUE!</v>
      </c>
      <c r="V186" t="e">
        <f>AND(ТитЛист!AB21,"AAAAAG/+/RU=")</f>
        <v>#VALUE!</v>
      </c>
      <c r="W186" t="e">
        <f>AND(ТитЛист!AC21,"AAAAAG/+/RY=")</f>
        <v>#VALUE!</v>
      </c>
      <c r="X186" t="e">
        <f>AND(ТитЛист!AD21,"AAAAAG/+/Rc=")</f>
        <v>#VALUE!</v>
      </c>
      <c r="Y186" t="e">
        <f>AND(ТитЛист!AE21,"AAAAAG/+/Rg=")</f>
        <v>#VALUE!</v>
      </c>
      <c r="Z186" t="e">
        <f>AND(ТитЛист!AF21,"AAAAAG/+/Rk=")</f>
        <v>#VALUE!</v>
      </c>
      <c r="AA186" t="e">
        <f>AND(ТитЛист!AG21,"AAAAAG/+/Ro=")</f>
        <v>#VALUE!</v>
      </c>
      <c r="AB186" t="e">
        <f>AND(ТитЛист!AH21,"AAAAAG/+/Rs=")</f>
        <v>#VALUE!</v>
      </c>
      <c r="AC186" t="e">
        <f>AND(ТитЛист!AI21,"AAAAAG/+/Rw=")</f>
        <v>#VALUE!</v>
      </c>
      <c r="AD186" t="e">
        <f>AND(ТитЛист!AJ21,"AAAAAG/+/R0=")</f>
        <v>#VALUE!</v>
      </c>
      <c r="AE186" t="e">
        <f>AND(ТитЛист!AK21,"AAAAAG/+/R4=")</f>
        <v>#VALUE!</v>
      </c>
      <c r="AF186">
        <f>IF(ТитЛист!22:22,"AAAAAG/+/R8=",0)</f>
        <v>0</v>
      </c>
      <c r="AG186" t="e">
        <f>AND(ТитЛист!A22,"AAAAAG/+/SA=")</f>
        <v>#VALUE!</v>
      </c>
      <c r="AH186" t="e">
        <f>AND(ТитЛист!B22,"AAAAAG/+/SE=")</f>
        <v>#VALUE!</v>
      </c>
      <c r="AI186" t="e">
        <f>AND(ТитЛист!C22,"AAAAAG/+/SI=")</f>
        <v>#VALUE!</v>
      </c>
      <c r="AJ186" t="e">
        <f>AND(ТитЛист!D22,"AAAAAG/+/SM=")</f>
        <v>#VALUE!</v>
      </c>
      <c r="AK186" t="e">
        <f>AND(ТитЛист!E22,"AAAAAG/+/SQ=")</f>
        <v>#VALUE!</v>
      </c>
      <c r="AL186" t="e">
        <f>AND(ТитЛист!F22,"AAAAAG/+/SU=")</f>
        <v>#VALUE!</v>
      </c>
      <c r="AM186" t="e">
        <f>AND(ТитЛист!G22,"AAAAAG/+/SY=")</f>
        <v>#VALUE!</v>
      </c>
      <c r="AN186" t="e">
        <f>AND(ТитЛист!H22,"AAAAAG/+/Sc=")</f>
        <v>#VALUE!</v>
      </c>
      <c r="AO186" t="e">
        <f>AND(ТитЛист!I22,"AAAAAG/+/Sg=")</f>
        <v>#VALUE!</v>
      </c>
      <c r="AP186" t="e">
        <f>AND(ТитЛист!J22,"AAAAAG/+/Sk=")</f>
        <v>#VALUE!</v>
      </c>
      <c r="AQ186" t="e">
        <f>AND(ТитЛист!K22,"AAAAAG/+/So=")</f>
        <v>#VALUE!</v>
      </c>
      <c r="AR186" t="e">
        <f>AND(ТитЛист!L22,"AAAAAG/+/Ss=")</f>
        <v>#VALUE!</v>
      </c>
      <c r="AS186" t="e">
        <f>AND(ТитЛист!M22,"AAAAAG/+/Sw=")</f>
        <v>#VALUE!</v>
      </c>
      <c r="AT186" t="e">
        <f>AND(ТитЛист!N22,"AAAAAG/+/S0=")</f>
        <v>#VALUE!</v>
      </c>
      <c r="AU186" t="e">
        <f>AND(ТитЛист!O22,"AAAAAG/+/S4=")</f>
        <v>#VALUE!</v>
      </c>
      <c r="AV186" t="e">
        <f>AND(ТитЛист!P22,"AAAAAG/+/S8=")</f>
        <v>#VALUE!</v>
      </c>
      <c r="AW186" t="e">
        <f>AND(ТитЛист!Q22,"AAAAAG/+/TA=")</f>
        <v>#VALUE!</v>
      </c>
      <c r="AX186" t="e">
        <f>AND(ТитЛист!R22,"AAAAAG/+/TE=")</f>
        <v>#VALUE!</v>
      </c>
      <c r="AY186" t="e">
        <f>AND(ТитЛист!S22,"AAAAAG/+/TI=")</f>
        <v>#VALUE!</v>
      </c>
      <c r="AZ186" t="e">
        <f>AND(ТитЛист!T22,"AAAAAG/+/TM=")</f>
        <v>#VALUE!</v>
      </c>
      <c r="BA186" t="e">
        <f>AND(ТитЛист!U22,"AAAAAG/+/TQ=")</f>
        <v>#VALUE!</v>
      </c>
      <c r="BB186" t="e">
        <f>AND(ТитЛист!V22,"AAAAAG/+/TU=")</f>
        <v>#VALUE!</v>
      </c>
      <c r="BC186" t="e">
        <f>AND(ТитЛист!W22,"AAAAAG/+/TY=")</f>
        <v>#VALUE!</v>
      </c>
      <c r="BD186" t="e">
        <f>AND(ТитЛист!X22,"AAAAAG/+/Tc=")</f>
        <v>#VALUE!</v>
      </c>
      <c r="BE186" t="e">
        <f>AND(ТитЛист!Y22,"AAAAAG/+/Tg=")</f>
        <v>#VALUE!</v>
      </c>
      <c r="BF186" t="e">
        <f>AND(ТитЛист!Z22,"AAAAAG/+/Tk=")</f>
        <v>#VALUE!</v>
      </c>
      <c r="BG186" t="e">
        <f>AND(ТитЛист!AA22,"AAAAAG/+/To=")</f>
        <v>#VALUE!</v>
      </c>
      <c r="BH186" t="e">
        <f>AND(ТитЛист!AB22,"AAAAAG/+/Ts=")</f>
        <v>#VALUE!</v>
      </c>
      <c r="BI186" t="e">
        <f>AND(ТитЛист!AC22,"AAAAAG/+/Tw=")</f>
        <v>#VALUE!</v>
      </c>
      <c r="BJ186" t="e">
        <f>AND(ТитЛист!AD22,"AAAAAG/+/T0=")</f>
        <v>#VALUE!</v>
      </c>
      <c r="BK186" t="e">
        <f>AND(ТитЛист!AE22,"AAAAAG/+/T4=")</f>
        <v>#VALUE!</v>
      </c>
      <c r="BL186" t="e">
        <f>AND(ТитЛист!AF22,"AAAAAG/+/T8=")</f>
        <v>#VALUE!</v>
      </c>
      <c r="BM186" t="e">
        <f>AND(ТитЛист!AG22,"AAAAAG/+/UA=")</f>
        <v>#VALUE!</v>
      </c>
      <c r="BN186" t="e">
        <f>AND(ТитЛист!AH22,"AAAAAG/+/UE=")</f>
        <v>#VALUE!</v>
      </c>
      <c r="BO186" t="e">
        <f>AND(ТитЛист!AI22,"AAAAAG/+/UI=")</f>
        <v>#VALUE!</v>
      </c>
      <c r="BP186" t="e">
        <f>AND(ТитЛист!AJ22,"AAAAAG/+/UM=")</f>
        <v>#VALUE!</v>
      </c>
      <c r="BQ186" t="e">
        <f>AND(ТитЛист!AK22,"AAAAAG/+/UQ=")</f>
        <v>#VALUE!</v>
      </c>
      <c r="BR186">
        <f>IF(ТитЛист!23:23,"AAAAAG/+/UU=",0)</f>
        <v>0</v>
      </c>
      <c r="BS186" t="e">
        <f>AND(ТитЛист!A23,"AAAAAG/+/UY=")</f>
        <v>#VALUE!</v>
      </c>
      <c r="BT186" t="e">
        <f>AND(ТитЛист!B23,"AAAAAG/+/Uc=")</f>
        <v>#VALUE!</v>
      </c>
      <c r="BU186" t="e">
        <f>AND(ТитЛист!C23,"AAAAAG/+/Ug=")</f>
        <v>#VALUE!</v>
      </c>
      <c r="BV186" t="e">
        <f>AND(ТитЛист!D23,"AAAAAG/+/Uk=")</f>
        <v>#VALUE!</v>
      </c>
      <c r="BW186" t="e">
        <f>AND(ТитЛист!E23,"AAAAAG/+/Uo=")</f>
        <v>#VALUE!</v>
      </c>
      <c r="BX186" t="e">
        <f>AND(ТитЛист!F23,"AAAAAG/+/Us=")</f>
        <v>#VALUE!</v>
      </c>
      <c r="BY186" t="e">
        <f>AND(ТитЛист!G23,"AAAAAG/+/Uw=")</f>
        <v>#VALUE!</v>
      </c>
      <c r="BZ186" t="e">
        <f>AND(ТитЛист!H23,"AAAAAG/+/U0=")</f>
        <v>#VALUE!</v>
      </c>
      <c r="CA186" t="e">
        <f>AND(ТитЛист!I23,"AAAAAG/+/U4=")</f>
        <v>#VALUE!</v>
      </c>
      <c r="CB186" t="e">
        <f>AND(ТитЛист!J23,"AAAAAG/+/U8=")</f>
        <v>#VALUE!</v>
      </c>
      <c r="CC186" t="e">
        <f>AND(ТитЛист!K23,"AAAAAG/+/VA=")</f>
        <v>#VALUE!</v>
      </c>
      <c r="CD186" t="e">
        <f>AND(ТитЛист!L23,"AAAAAG/+/VE=")</f>
        <v>#VALUE!</v>
      </c>
      <c r="CE186" t="e">
        <f>AND(ТитЛист!M23,"AAAAAG/+/VI=")</f>
        <v>#VALUE!</v>
      </c>
      <c r="CF186" t="e">
        <f>AND(ТитЛист!N23,"AAAAAG/+/VM=")</f>
        <v>#VALUE!</v>
      </c>
      <c r="CG186" t="e">
        <f>AND(ТитЛист!O23,"AAAAAG/+/VQ=")</f>
        <v>#VALUE!</v>
      </c>
      <c r="CH186" t="e">
        <f>AND(ТитЛист!P23,"AAAAAG/+/VU=")</f>
        <v>#VALUE!</v>
      </c>
      <c r="CI186" t="e">
        <f>AND(ТитЛист!Q23,"AAAAAG/+/VY=")</f>
        <v>#VALUE!</v>
      </c>
      <c r="CJ186" t="e">
        <f>AND(ТитЛист!R23,"AAAAAG/+/Vc=")</f>
        <v>#VALUE!</v>
      </c>
      <c r="CK186" t="e">
        <f>AND(ТитЛист!S23,"AAAAAG/+/Vg=")</f>
        <v>#VALUE!</v>
      </c>
      <c r="CL186" t="e">
        <f>AND(ТитЛист!T23,"AAAAAG/+/Vk=")</f>
        <v>#VALUE!</v>
      </c>
      <c r="CM186" t="e">
        <f>AND(ТитЛист!U23,"AAAAAG/+/Vo=")</f>
        <v>#VALUE!</v>
      </c>
      <c r="CN186" t="e">
        <f>AND(ТитЛист!V23,"AAAAAG/+/Vs=")</f>
        <v>#VALUE!</v>
      </c>
      <c r="CO186" t="e">
        <f>AND(ТитЛист!W23,"AAAAAG/+/Vw=")</f>
        <v>#VALUE!</v>
      </c>
      <c r="CP186" t="e">
        <f>AND(ТитЛист!X23,"AAAAAG/+/V0=")</f>
        <v>#VALUE!</v>
      </c>
      <c r="CQ186" t="e">
        <f>AND(ТитЛист!Y23,"AAAAAG/+/V4=")</f>
        <v>#VALUE!</v>
      </c>
      <c r="CR186" t="e">
        <f>AND(ТитЛист!Z23,"AAAAAG/+/V8=")</f>
        <v>#VALUE!</v>
      </c>
      <c r="CS186" t="e">
        <f>AND(ТитЛист!AA23,"AAAAAG/+/WA=")</f>
        <v>#VALUE!</v>
      </c>
      <c r="CT186" t="e">
        <f>AND(ТитЛист!AB23,"AAAAAG/+/WE=")</f>
        <v>#VALUE!</v>
      </c>
      <c r="CU186" t="e">
        <f>AND(ТитЛист!AC23,"AAAAAG/+/WI=")</f>
        <v>#VALUE!</v>
      </c>
      <c r="CV186" t="e">
        <f>AND(ТитЛист!AD23,"AAAAAG/+/WM=")</f>
        <v>#VALUE!</v>
      </c>
      <c r="CW186" t="e">
        <f>AND(ТитЛист!AE23,"AAAAAG/+/WQ=")</f>
        <v>#VALUE!</v>
      </c>
      <c r="CX186" t="e">
        <f>AND(ТитЛист!AF23,"AAAAAG/+/WU=")</f>
        <v>#VALUE!</v>
      </c>
      <c r="CY186" t="e">
        <f>AND(ТитЛист!AG23,"AAAAAG/+/WY=")</f>
        <v>#VALUE!</v>
      </c>
      <c r="CZ186" t="e">
        <f>AND(ТитЛист!AH23,"AAAAAG/+/Wc=")</f>
        <v>#VALUE!</v>
      </c>
      <c r="DA186" t="e">
        <f>AND(ТитЛист!AI23,"AAAAAG/+/Wg=")</f>
        <v>#VALUE!</v>
      </c>
      <c r="DB186" t="e">
        <f>AND(ТитЛист!AJ23,"AAAAAG/+/Wk=")</f>
        <v>#VALUE!</v>
      </c>
      <c r="DC186" t="e">
        <f>AND(ТитЛист!AK23,"AAAAAG/+/Wo=")</f>
        <v>#VALUE!</v>
      </c>
      <c r="DD186">
        <f>IF(ТитЛист!24:24,"AAAAAG/+/Ws=",0)</f>
        <v>0</v>
      </c>
      <c r="DE186" t="e">
        <f>AND(ТитЛист!A24,"AAAAAG/+/Ww=")</f>
        <v>#VALUE!</v>
      </c>
      <c r="DF186" t="e">
        <f>AND(ТитЛист!B24,"AAAAAG/+/W0=")</f>
        <v>#VALUE!</v>
      </c>
      <c r="DG186" t="e">
        <f>AND(ТитЛист!C24,"AAAAAG/+/W4=")</f>
        <v>#VALUE!</v>
      </c>
      <c r="DH186" t="e">
        <f>AND(ТитЛист!D24,"AAAAAG/+/W8=")</f>
        <v>#VALUE!</v>
      </c>
      <c r="DI186" t="e">
        <f>AND(ТитЛист!E24,"AAAAAG/+/XA=")</f>
        <v>#VALUE!</v>
      </c>
      <c r="DJ186" t="e">
        <f>AND(ТитЛист!F24,"AAAAAG/+/XE=")</f>
        <v>#VALUE!</v>
      </c>
      <c r="DK186" t="e">
        <f>AND(ТитЛист!G24,"AAAAAG/+/XI=")</f>
        <v>#VALUE!</v>
      </c>
      <c r="DL186" t="e">
        <f>AND(ТитЛист!H24,"AAAAAG/+/XM=")</f>
        <v>#VALUE!</v>
      </c>
      <c r="DM186" t="e">
        <f>AND(ТитЛист!I24,"AAAAAG/+/XQ=")</f>
        <v>#VALUE!</v>
      </c>
      <c r="DN186" t="e">
        <f>AND(ТитЛист!J24,"AAAAAG/+/XU=")</f>
        <v>#VALUE!</v>
      </c>
      <c r="DO186" t="e">
        <f>AND(ТитЛист!K24,"AAAAAG/+/XY=")</f>
        <v>#VALUE!</v>
      </c>
      <c r="DP186" t="e">
        <f>AND(ТитЛист!L24,"AAAAAG/+/Xc=")</f>
        <v>#VALUE!</v>
      </c>
      <c r="DQ186" t="e">
        <f>AND(ТитЛист!M24,"AAAAAG/+/Xg=")</f>
        <v>#VALUE!</v>
      </c>
      <c r="DR186" t="e">
        <f>AND(ТитЛист!N24,"AAAAAG/+/Xk=")</f>
        <v>#VALUE!</v>
      </c>
      <c r="DS186" t="e">
        <f>AND(ТитЛист!O24,"AAAAAG/+/Xo=")</f>
        <v>#VALUE!</v>
      </c>
      <c r="DT186" t="e">
        <f>AND(ТитЛист!P24,"AAAAAG/+/Xs=")</f>
        <v>#VALUE!</v>
      </c>
      <c r="DU186" t="e">
        <f>AND(ТитЛист!Q24,"AAAAAG/+/Xw=")</f>
        <v>#VALUE!</v>
      </c>
      <c r="DV186" t="e">
        <f>AND(ТитЛист!R24,"AAAAAG/+/X0=")</f>
        <v>#VALUE!</v>
      </c>
      <c r="DW186" t="e">
        <f>AND(ТитЛист!S24,"AAAAAG/+/X4=")</f>
        <v>#VALUE!</v>
      </c>
      <c r="DX186" t="e">
        <f>AND(ТитЛист!T24,"AAAAAG/+/X8=")</f>
        <v>#VALUE!</v>
      </c>
      <c r="DY186" t="e">
        <f>AND(ТитЛист!U24,"AAAAAG/+/YA=")</f>
        <v>#VALUE!</v>
      </c>
      <c r="DZ186" t="e">
        <f>AND(ТитЛист!V24,"AAAAAG/+/YE=")</f>
        <v>#VALUE!</v>
      </c>
      <c r="EA186" t="e">
        <f>AND(ТитЛист!W24,"AAAAAG/+/YI=")</f>
        <v>#VALUE!</v>
      </c>
      <c r="EB186" t="e">
        <f>AND(ТитЛист!X24,"AAAAAG/+/YM=")</f>
        <v>#VALUE!</v>
      </c>
      <c r="EC186" t="e">
        <f>AND(ТитЛист!Y24,"AAAAAG/+/YQ=")</f>
        <v>#VALUE!</v>
      </c>
      <c r="ED186" t="e">
        <f>AND(ТитЛист!Z24,"AAAAAG/+/YU=")</f>
        <v>#VALUE!</v>
      </c>
      <c r="EE186" t="e">
        <f>AND(ТитЛист!AA24,"AAAAAG/+/YY=")</f>
        <v>#VALUE!</v>
      </c>
      <c r="EF186" t="e">
        <f>AND(ТитЛист!AB24,"AAAAAG/+/Yc=")</f>
        <v>#VALUE!</v>
      </c>
      <c r="EG186" t="e">
        <f>AND(ТитЛист!AC24,"AAAAAG/+/Yg=")</f>
        <v>#VALUE!</v>
      </c>
      <c r="EH186" t="e">
        <f>AND(ТитЛист!AD24,"AAAAAG/+/Yk=")</f>
        <v>#VALUE!</v>
      </c>
      <c r="EI186" t="e">
        <f>AND(ТитЛист!AE24,"AAAAAG/+/Yo=")</f>
        <v>#VALUE!</v>
      </c>
      <c r="EJ186" t="e">
        <f>AND(ТитЛист!AF24,"AAAAAG/+/Ys=")</f>
        <v>#VALUE!</v>
      </c>
      <c r="EK186" t="e">
        <f>AND(ТитЛист!AG24,"AAAAAG/+/Yw=")</f>
        <v>#VALUE!</v>
      </c>
      <c r="EL186" t="e">
        <f>AND(ТитЛист!AH24,"AAAAAG/+/Y0=")</f>
        <v>#VALUE!</v>
      </c>
      <c r="EM186" t="e">
        <f>AND(ТитЛист!AI24,"AAAAAG/+/Y4=")</f>
        <v>#VALUE!</v>
      </c>
      <c r="EN186" t="e">
        <f>AND(ТитЛист!AJ24,"AAAAAG/+/Y8=")</f>
        <v>#VALUE!</v>
      </c>
      <c r="EO186" t="e">
        <f>AND(ТитЛист!AK24,"AAAAAG/+/ZA=")</f>
        <v>#VALUE!</v>
      </c>
      <c r="EP186">
        <f>IF(ТитЛист!25:25,"AAAAAG/+/ZE=",0)</f>
        <v>0</v>
      </c>
      <c r="EQ186" t="e">
        <f>AND(ТитЛист!A25,"AAAAAG/+/ZI=")</f>
        <v>#VALUE!</v>
      </c>
      <c r="ER186" t="e">
        <f>AND(ТитЛист!B25,"AAAAAG/+/ZM=")</f>
        <v>#VALUE!</v>
      </c>
      <c r="ES186" t="e">
        <f>AND(ТитЛист!C25,"AAAAAG/+/ZQ=")</f>
        <v>#VALUE!</v>
      </c>
      <c r="ET186" t="e">
        <f>AND(ТитЛист!D25,"AAAAAG/+/ZU=")</f>
        <v>#VALUE!</v>
      </c>
      <c r="EU186" t="e">
        <f>AND(ТитЛист!E25,"AAAAAG/+/ZY=")</f>
        <v>#VALUE!</v>
      </c>
      <c r="EV186" t="e">
        <f>AND(ТитЛист!F25,"AAAAAG/+/Zc=")</f>
        <v>#VALUE!</v>
      </c>
      <c r="EW186" t="e">
        <f>AND(ТитЛист!G25,"AAAAAG/+/Zg=")</f>
        <v>#VALUE!</v>
      </c>
      <c r="EX186" t="e">
        <f>AND(ТитЛист!H25,"AAAAAG/+/Zk=")</f>
        <v>#VALUE!</v>
      </c>
      <c r="EY186" t="e">
        <f>AND(ТитЛист!I25,"AAAAAG/+/Zo=")</f>
        <v>#VALUE!</v>
      </c>
      <c r="EZ186" t="e">
        <f>AND(ТитЛист!J25,"AAAAAG/+/Zs=")</f>
        <v>#VALUE!</v>
      </c>
      <c r="FA186" t="e">
        <f>AND(ТитЛист!K25,"AAAAAG/+/Zw=")</f>
        <v>#VALUE!</v>
      </c>
      <c r="FB186" t="e">
        <f>AND(ТитЛист!L25,"AAAAAG/+/Z0=")</f>
        <v>#VALUE!</v>
      </c>
      <c r="FC186" t="e">
        <f>AND(ТитЛист!M25,"AAAAAG/+/Z4=")</f>
        <v>#VALUE!</v>
      </c>
      <c r="FD186" t="e">
        <f>AND(ТитЛист!N25,"AAAAAG/+/Z8=")</f>
        <v>#VALUE!</v>
      </c>
      <c r="FE186" t="e">
        <f>AND(ТитЛист!O25,"AAAAAG/+/aA=")</f>
        <v>#VALUE!</v>
      </c>
      <c r="FF186" t="e">
        <f>AND(ТитЛист!P25,"AAAAAG/+/aE=")</f>
        <v>#VALUE!</v>
      </c>
      <c r="FG186" t="e">
        <f>AND(ТитЛист!Q25,"AAAAAG/+/aI=")</f>
        <v>#VALUE!</v>
      </c>
      <c r="FH186" t="e">
        <f>AND(ТитЛист!R25,"AAAAAG/+/aM=")</f>
        <v>#VALUE!</v>
      </c>
      <c r="FI186" t="e">
        <f>AND(ТитЛист!S25,"AAAAAG/+/aQ=")</f>
        <v>#VALUE!</v>
      </c>
      <c r="FJ186" t="e">
        <f>AND(ТитЛист!T25,"AAAAAG/+/aU=")</f>
        <v>#VALUE!</v>
      </c>
      <c r="FK186" t="e">
        <f>AND(ТитЛист!U25,"AAAAAG/+/aY=")</f>
        <v>#VALUE!</v>
      </c>
      <c r="FL186" t="e">
        <f>AND(ТитЛист!V25,"AAAAAG/+/ac=")</f>
        <v>#VALUE!</v>
      </c>
      <c r="FM186" t="e">
        <f>AND(ТитЛист!W25,"AAAAAG/+/ag=")</f>
        <v>#VALUE!</v>
      </c>
      <c r="FN186" t="e">
        <f>AND(ТитЛист!X25,"AAAAAG/+/ak=")</f>
        <v>#VALUE!</v>
      </c>
      <c r="FO186" t="e">
        <f>AND(ТитЛист!Y25,"AAAAAG/+/ao=")</f>
        <v>#VALUE!</v>
      </c>
      <c r="FP186" t="e">
        <f>AND(ТитЛист!Z25,"AAAAAG/+/as=")</f>
        <v>#VALUE!</v>
      </c>
      <c r="FQ186" t="e">
        <f>AND(ТитЛист!AA25,"AAAAAG/+/aw=")</f>
        <v>#VALUE!</v>
      </c>
      <c r="FR186" t="e">
        <f>AND(ТитЛист!AB25,"AAAAAG/+/a0=")</f>
        <v>#VALUE!</v>
      </c>
      <c r="FS186" t="e">
        <f>AND(ТитЛист!AC25,"AAAAAG/+/a4=")</f>
        <v>#VALUE!</v>
      </c>
      <c r="FT186" t="e">
        <f>AND(ТитЛист!AD25,"AAAAAG/+/a8=")</f>
        <v>#VALUE!</v>
      </c>
      <c r="FU186" t="e">
        <f>AND(ТитЛист!AE25,"AAAAAG/+/bA=")</f>
        <v>#VALUE!</v>
      </c>
      <c r="FV186" t="e">
        <f>AND(ТитЛист!AF25,"AAAAAG/+/bE=")</f>
        <v>#VALUE!</v>
      </c>
      <c r="FW186" t="e">
        <f>AND(ТитЛист!AG25,"AAAAAG/+/bI=")</f>
        <v>#VALUE!</v>
      </c>
      <c r="FX186" t="e">
        <f>AND(ТитЛист!AH25,"AAAAAG/+/bM=")</f>
        <v>#VALUE!</v>
      </c>
      <c r="FY186" t="e">
        <f>AND(ТитЛист!AI25,"AAAAAG/+/bQ=")</f>
        <v>#VALUE!</v>
      </c>
      <c r="FZ186" t="e">
        <f>AND(ТитЛист!AJ25,"AAAAAG/+/bU=")</f>
        <v>#VALUE!</v>
      </c>
      <c r="GA186" t="e">
        <f>AND(ТитЛист!AK25,"AAAAAG/+/bY=")</f>
        <v>#VALUE!</v>
      </c>
      <c r="GB186">
        <f>IF(ТитЛист!26:26,"AAAAAG/+/bc=",0)</f>
        <v>0</v>
      </c>
      <c r="GC186" t="e">
        <f>AND(ТитЛист!A26,"AAAAAG/+/bg=")</f>
        <v>#VALUE!</v>
      </c>
      <c r="GD186" t="e">
        <f>AND(ТитЛист!B26,"AAAAAG/+/bk=")</f>
        <v>#VALUE!</v>
      </c>
      <c r="GE186" t="e">
        <f>AND(ТитЛист!C26,"AAAAAG/+/bo=")</f>
        <v>#VALUE!</v>
      </c>
      <c r="GF186" t="e">
        <f>AND(ТитЛист!D26,"AAAAAG/+/bs=")</f>
        <v>#VALUE!</v>
      </c>
      <c r="GG186" t="e">
        <f>AND(ТитЛист!E26,"AAAAAG/+/bw=")</f>
        <v>#VALUE!</v>
      </c>
      <c r="GH186" t="e">
        <f>AND(ТитЛист!F26,"AAAAAG/+/b0=")</f>
        <v>#VALUE!</v>
      </c>
      <c r="GI186" t="e">
        <f>AND(ТитЛист!G26,"AAAAAG/+/b4=")</f>
        <v>#VALUE!</v>
      </c>
      <c r="GJ186" t="e">
        <f>AND(ТитЛист!H26,"AAAAAG/+/b8=")</f>
        <v>#VALUE!</v>
      </c>
      <c r="GK186" t="e">
        <f>AND(ТитЛист!I26,"AAAAAG/+/cA=")</f>
        <v>#VALUE!</v>
      </c>
      <c r="GL186" t="e">
        <f>AND(ТитЛист!J26,"AAAAAG/+/cE=")</f>
        <v>#VALUE!</v>
      </c>
      <c r="GM186" t="e">
        <f>AND(ТитЛист!K26,"AAAAAG/+/cI=")</f>
        <v>#VALUE!</v>
      </c>
      <c r="GN186" t="e">
        <f>AND(ТитЛист!L26,"AAAAAG/+/cM=")</f>
        <v>#VALUE!</v>
      </c>
      <c r="GO186" t="e">
        <f>AND(ТитЛист!M26,"AAAAAG/+/cQ=")</f>
        <v>#VALUE!</v>
      </c>
      <c r="GP186" t="e">
        <f>AND(ТитЛист!N26,"AAAAAG/+/cU=")</f>
        <v>#VALUE!</v>
      </c>
      <c r="GQ186" t="e">
        <f>AND(ТитЛист!O26,"AAAAAG/+/cY=")</f>
        <v>#VALUE!</v>
      </c>
      <c r="GR186" t="e">
        <f>AND(ТитЛист!P26,"AAAAAG/+/cc=")</f>
        <v>#VALUE!</v>
      </c>
      <c r="GS186" t="e">
        <f>AND(ТитЛист!Q26,"AAAAAG/+/cg=")</f>
        <v>#VALUE!</v>
      </c>
      <c r="GT186" t="e">
        <f>AND(ТитЛист!R26,"AAAAAG/+/ck=")</f>
        <v>#VALUE!</v>
      </c>
      <c r="GU186" t="e">
        <f>AND(ТитЛист!S26,"AAAAAG/+/co=")</f>
        <v>#VALUE!</v>
      </c>
      <c r="GV186" t="e">
        <f>AND(ТитЛист!T26,"AAAAAG/+/cs=")</f>
        <v>#VALUE!</v>
      </c>
      <c r="GW186" t="e">
        <f>AND(ТитЛист!U26,"AAAAAG/+/cw=")</f>
        <v>#VALUE!</v>
      </c>
      <c r="GX186" t="e">
        <f>AND(ТитЛист!V26,"AAAAAG/+/c0=")</f>
        <v>#VALUE!</v>
      </c>
      <c r="GY186" t="e">
        <f>AND(ТитЛист!W26,"AAAAAG/+/c4=")</f>
        <v>#VALUE!</v>
      </c>
      <c r="GZ186" t="e">
        <f>AND(ТитЛист!X26,"AAAAAG/+/c8=")</f>
        <v>#VALUE!</v>
      </c>
      <c r="HA186" t="e">
        <f>AND(ТитЛист!Y26,"AAAAAG/+/dA=")</f>
        <v>#VALUE!</v>
      </c>
      <c r="HB186" t="e">
        <f>AND(ТитЛист!Z26,"AAAAAG/+/dE=")</f>
        <v>#VALUE!</v>
      </c>
      <c r="HC186" t="e">
        <f>AND(ТитЛист!AA26,"AAAAAG/+/dI=")</f>
        <v>#VALUE!</v>
      </c>
      <c r="HD186" t="e">
        <f>AND(ТитЛист!AB26,"AAAAAG/+/dM=")</f>
        <v>#VALUE!</v>
      </c>
      <c r="HE186" t="e">
        <f>AND(ТитЛист!AC26,"AAAAAG/+/dQ=")</f>
        <v>#VALUE!</v>
      </c>
      <c r="HF186" t="e">
        <f>AND(ТитЛист!AD26,"AAAAAG/+/dU=")</f>
        <v>#VALUE!</v>
      </c>
      <c r="HG186" t="e">
        <f>AND(ТитЛист!AE26,"AAAAAG/+/dY=")</f>
        <v>#VALUE!</v>
      </c>
      <c r="HH186" t="e">
        <f>AND(ТитЛист!AF26,"AAAAAG/+/dc=")</f>
        <v>#VALUE!</v>
      </c>
      <c r="HI186" t="e">
        <f>AND(ТитЛист!AG26,"AAAAAG/+/dg=")</f>
        <v>#VALUE!</v>
      </c>
      <c r="HJ186" t="e">
        <f>AND(ТитЛист!AH26,"AAAAAG/+/dk=")</f>
        <v>#VALUE!</v>
      </c>
      <c r="HK186" t="e">
        <f>AND(ТитЛист!AI26,"AAAAAG/+/do=")</f>
        <v>#VALUE!</v>
      </c>
      <c r="HL186" t="e">
        <f>AND(ТитЛист!AJ26,"AAAAAG/+/ds=")</f>
        <v>#VALUE!</v>
      </c>
      <c r="HM186" t="e">
        <f>AND(ТитЛист!AK26,"AAAAAG/+/dw=")</f>
        <v>#VALUE!</v>
      </c>
      <c r="HN186">
        <f>IF(ТитЛист!27:27,"AAAAAG/+/d0=",0)</f>
        <v>0</v>
      </c>
      <c r="HO186" t="e">
        <f>AND(ТитЛист!A27,"AAAAAG/+/d4=")</f>
        <v>#VALUE!</v>
      </c>
      <c r="HP186" t="e">
        <f>AND(ТитЛист!B27,"AAAAAG/+/d8=")</f>
        <v>#VALUE!</v>
      </c>
      <c r="HQ186" t="e">
        <f>AND(ТитЛист!C27,"AAAAAG/+/eA=")</f>
        <v>#VALUE!</v>
      </c>
      <c r="HR186" t="e">
        <f>AND(ТитЛист!D27,"AAAAAG/+/eE=")</f>
        <v>#VALUE!</v>
      </c>
      <c r="HS186" t="e">
        <f>AND(ТитЛист!E27,"AAAAAG/+/eI=")</f>
        <v>#VALUE!</v>
      </c>
      <c r="HT186" t="e">
        <f>AND(ТитЛист!F27,"AAAAAG/+/eM=")</f>
        <v>#VALUE!</v>
      </c>
      <c r="HU186" t="e">
        <f>AND(ТитЛист!G27,"AAAAAG/+/eQ=")</f>
        <v>#VALUE!</v>
      </c>
      <c r="HV186" t="e">
        <f>AND(ТитЛист!H27,"AAAAAG/+/eU=")</f>
        <v>#VALUE!</v>
      </c>
      <c r="HW186" t="e">
        <f>AND(ТитЛист!I27,"AAAAAG/+/eY=")</f>
        <v>#VALUE!</v>
      </c>
      <c r="HX186" t="e">
        <f>AND(ТитЛист!J27,"AAAAAG/+/ec=")</f>
        <v>#VALUE!</v>
      </c>
      <c r="HY186" t="e">
        <f>AND(ТитЛист!K27,"AAAAAG/+/eg=")</f>
        <v>#VALUE!</v>
      </c>
      <c r="HZ186" t="e">
        <f>AND(ТитЛист!L27,"AAAAAG/+/ek=")</f>
        <v>#VALUE!</v>
      </c>
      <c r="IA186" t="e">
        <f>AND(ТитЛист!M27,"AAAAAG/+/eo=")</f>
        <v>#VALUE!</v>
      </c>
      <c r="IB186" t="e">
        <f>AND(ТитЛист!N27,"AAAAAG/+/es=")</f>
        <v>#VALUE!</v>
      </c>
      <c r="IC186" t="e">
        <f>AND(ТитЛист!O27,"AAAAAG/+/ew=")</f>
        <v>#VALUE!</v>
      </c>
      <c r="ID186" t="e">
        <f>AND(ТитЛист!P27,"AAAAAG/+/e0=")</f>
        <v>#VALUE!</v>
      </c>
      <c r="IE186" t="e">
        <f>AND(ТитЛист!Q27,"AAAAAG/+/e4=")</f>
        <v>#VALUE!</v>
      </c>
      <c r="IF186" t="e">
        <f>AND(ТитЛист!R27,"AAAAAG/+/e8=")</f>
        <v>#VALUE!</v>
      </c>
      <c r="IG186" t="e">
        <f>AND(ТитЛист!S27,"AAAAAG/+/fA=")</f>
        <v>#VALUE!</v>
      </c>
      <c r="IH186" t="e">
        <f>AND(ТитЛист!T27,"AAAAAG/+/fE=")</f>
        <v>#VALUE!</v>
      </c>
      <c r="II186" t="e">
        <f>AND(ТитЛист!U27,"AAAAAG/+/fI=")</f>
        <v>#VALUE!</v>
      </c>
      <c r="IJ186" t="e">
        <f>AND(ТитЛист!V27,"AAAAAG/+/fM=")</f>
        <v>#VALUE!</v>
      </c>
      <c r="IK186" t="e">
        <f>AND(ТитЛист!W27,"AAAAAG/+/fQ=")</f>
        <v>#VALUE!</v>
      </c>
      <c r="IL186" t="e">
        <f>AND(ТитЛист!X27,"AAAAAG/+/fU=")</f>
        <v>#VALUE!</v>
      </c>
      <c r="IM186" t="e">
        <f>AND(ТитЛист!Y27,"AAAAAG/+/fY=")</f>
        <v>#VALUE!</v>
      </c>
      <c r="IN186" t="e">
        <f>AND(ТитЛист!Z27,"AAAAAG/+/fc=")</f>
        <v>#VALUE!</v>
      </c>
      <c r="IO186" t="e">
        <f>AND(ТитЛист!AA27,"AAAAAG/+/fg=")</f>
        <v>#VALUE!</v>
      </c>
      <c r="IP186" t="e">
        <f>AND(ТитЛист!AB27,"AAAAAG/+/fk=")</f>
        <v>#VALUE!</v>
      </c>
      <c r="IQ186" t="e">
        <f>AND(ТитЛист!AC27,"AAAAAG/+/fo=")</f>
        <v>#VALUE!</v>
      </c>
      <c r="IR186" t="e">
        <f>AND(ТитЛист!AD27,"AAAAAG/+/fs=")</f>
        <v>#VALUE!</v>
      </c>
      <c r="IS186" t="e">
        <f>AND(ТитЛист!AE27,"AAAAAG/+/fw=")</f>
        <v>#VALUE!</v>
      </c>
      <c r="IT186" t="e">
        <f>AND(ТитЛист!AF27,"AAAAAG/+/f0=")</f>
        <v>#VALUE!</v>
      </c>
      <c r="IU186" t="e">
        <f>AND(ТитЛист!AG27,"AAAAAG/+/f4=")</f>
        <v>#VALUE!</v>
      </c>
      <c r="IV186" t="e">
        <f>AND(ТитЛист!AH27,"AAAAAG/+/f8=")</f>
        <v>#VALUE!</v>
      </c>
    </row>
    <row r="187" spans="1:256">
      <c r="A187" t="e">
        <f>AND(ТитЛист!AI27,"AAAAAHB+MwA=")</f>
        <v>#VALUE!</v>
      </c>
      <c r="B187" t="e">
        <f>AND(ТитЛист!AJ27,"AAAAAHB+MwE=")</f>
        <v>#VALUE!</v>
      </c>
      <c r="C187" t="e">
        <f>AND(ТитЛист!AK27,"AAAAAHB+MwI=")</f>
        <v>#VALUE!</v>
      </c>
      <c r="D187" t="e">
        <f>IF(ТитЛист!28:28,"AAAAAHB+MwM=",0)</f>
        <v>#VALUE!</v>
      </c>
      <c r="E187" t="e">
        <f>AND(ТитЛист!A28,"AAAAAHB+MwQ=")</f>
        <v>#VALUE!</v>
      </c>
      <c r="F187" t="e">
        <f>AND(ТитЛист!B28,"AAAAAHB+MwU=")</f>
        <v>#VALUE!</v>
      </c>
      <c r="G187" t="e">
        <f>AND(ТитЛист!C28,"AAAAAHB+MwY=")</f>
        <v>#VALUE!</v>
      </c>
      <c r="H187" t="e">
        <f>AND(ТитЛист!D28,"AAAAAHB+Mwc=")</f>
        <v>#VALUE!</v>
      </c>
      <c r="I187" t="e">
        <f>AND(ТитЛист!E28,"AAAAAHB+Mwg=")</f>
        <v>#VALUE!</v>
      </c>
      <c r="J187" t="e">
        <f>AND(ТитЛист!F28,"AAAAAHB+Mwk=")</f>
        <v>#VALUE!</v>
      </c>
      <c r="K187" t="e">
        <f>AND(ТитЛист!G28,"AAAAAHB+Mwo=")</f>
        <v>#VALUE!</v>
      </c>
      <c r="L187" t="e">
        <f>AND(ТитЛист!H28,"AAAAAHB+Mws=")</f>
        <v>#VALUE!</v>
      </c>
      <c r="M187" t="e">
        <f>AND(ТитЛист!I28,"AAAAAHB+Mww=")</f>
        <v>#VALUE!</v>
      </c>
      <c r="N187" t="e">
        <f>AND(ТитЛист!J28,"AAAAAHB+Mw0=")</f>
        <v>#VALUE!</v>
      </c>
      <c r="O187" t="e">
        <f>AND(ТитЛист!K28,"AAAAAHB+Mw4=")</f>
        <v>#VALUE!</v>
      </c>
      <c r="P187" t="e">
        <f>AND(ТитЛист!L28,"AAAAAHB+Mw8=")</f>
        <v>#VALUE!</v>
      </c>
      <c r="Q187" t="e">
        <f>AND(ТитЛист!M28,"AAAAAHB+MxA=")</f>
        <v>#VALUE!</v>
      </c>
      <c r="R187" t="e">
        <f>AND(ТитЛист!N28,"AAAAAHB+MxE=")</f>
        <v>#VALUE!</v>
      </c>
      <c r="S187" t="e">
        <f>AND(ТитЛист!O28,"AAAAAHB+MxI=")</f>
        <v>#VALUE!</v>
      </c>
      <c r="T187" t="e">
        <f>AND(ТитЛист!P28,"AAAAAHB+MxM=")</f>
        <v>#VALUE!</v>
      </c>
      <c r="U187" t="e">
        <f>AND(ТитЛист!Q28,"AAAAAHB+MxQ=")</f>
        <v>#VALUE!</v>
      </c>
      <c r="V187" t="e">
        <f>AND(ТитЛист!R28,"AAAAAHB+MxU=")</f>
        <v>#VALUE!</v>
      </c>
      <c r="W187" t="e">
        <f>AND(ТитЛист!S28,"AAAAAHB+MxY=")</f>
        <v>#VALUE!</v>
      </c>
      <c r="X187" t="e">
        <f>AND(ТитЛист!T28,"AAAAAHB+Mxc=")</f>
        <v>#VALUE!</v>
      </c>
      <c r="Y187" t="e">
        <f>AND(ТитЛист!U28,"AAAAAHB+Mxg=")</f>
        <v>#VALUE!</v>
      </c>
      <c r="Z187" t="e">
        <f>AND(ТитЛист!V28,"AAAAAHB+Mxk=")</f>
        <v>#VALUE!</v>
      </c>
      <c r="AA187" t="e">
        <f>AND(ТитЛист!W28,"AAAAAHB+Mxo=")</f>
        <v>#VALUE!</v>
      </c>
      <c r="AB187" t="e">
        <f>AND(ТитЛист!X28,"AAAAAHB+Mxs=")</f>
        <v>#VALUE!</v>
      </c>
      <c r="AC187" t="e">
        <f>AND(ТитЛист!Y28,"AAAAAHB+Mxw=")</f>
        <v>#VALUE!</v>
      </c>
      <c r="AD187" t="e">
        <f>AND(ТитЛист!Z28,"AAAAAHB+Mx0=")</f>
        <v>#VALUE!</v>
      </c>
      <c r="AE187" t="e">
        <f>AND(ТитЛист!AA28,"AAAAAHB+Mx4=")</f>
        <v>#VALUE!</v>
      </c>
      <c r="AF187" t="e">
        <f>AND(ТитЛист!AB28,"AAAAAHB+Mx8=")</f>
        <v>#VALUE!</v>
      </c>
      <c r="AG187" t="e">
        <f>AND(ТитЛист!AC28,"AAAAAHB+MyA=")</f>
        <v>#VALUE!</v>
      </c>
      <c r="AH187" t="e">
        <f>AND(ТитЛист!AD28,"AAAAAHB+MyE=")</f>
        <v>#VALUE!</v>
      </c>
      <c r="AI187" t="e">
        <f>AND(ТитЛист!AE28,"AAAAAHB+MyI=")</f>
        <v>#VALUE!</v>
      </c>
      <c r="AJ187" t="e">
        <f>AND(ТитЛист!AF28,"AAAAAHB+MyM=")</f>
        <v>#VALUE!</v>
      </c>
      <c r="AK187" t="e">
        <f>AND(ТитЛист!AG28,"AAAAAHB+MyQ=")</f>
        <v>#VALUE!</v>
      </c>
      <c r="AL187" t="e">
        <f>AND(ТитЛист!AH28,"AAAAAHB+MyU=")</f>
        <v>#VALUE!</v>
      </c>
      <c r="AM187" t="e">
        <f>AND(ТитЛист!AI28,"AAAAAHB+MyY=")</f>
        <v>#VALUE!</v>
      </c>
      <c r="AN187" t="e">
        <f>AND(ТитЛист!AJ28,"AAAAAHB+Myc=")</f>
        <v>#VALUE!</v>
      </c>
      <c r="AO187" t="e">
        <f>AND(ТитЛист!AK28,"AAAAAHB+Myg=")</f>
        <v>#VALUE!</v>
      </c>
      <c r="AP187">
        <f>IF(ТитЛист!29:29,"AAAAAHB+Myk=",0)</f>
        <v>0</v>
      </c>
      <c r="AQ187" t="e">
        <f>AND(ТитЛист!A29,"AAAAAHB+Myo=")</f>
        <v>#VALUE!</v>
      </c>
      <c r="AR187" t="e">
        <f>AND(ТитЛист!B29,"AAAAAHB+Mys=")</f>
        <v>#VALUE!</v>
      </c>
      <c r="AS187" t="e">
        <f>AND(ТитЛист!C29,"AAAAAHB+Myw=")</f>
        <v>#VALUE!</v>
      </c>
      <c r="AT187" t="e">
        <f>AND(ТитЛист!D29,"AAAAAHB+My0=")</f>
        <v>#VALUE!</v>
      </c>
      <c r="AU187" t="e">
        <f>AND(ТитЛист!E29,"AAAAAHB+My4=")</f>
        <v>#VALUE!</v>
      </c>
      <c r="AV187" t="e">
        <f>AND(ТитЛист!F29,"AAAAAHB+My8=")</f>
        <v>#VALUE!</v>
      </c>
      <c r="AW187" t="e">
        <f>AND(ТитЛист!G29,"AAAAAHB+MzA=")</f>
        <v>#VALUE!</v>
      </c>
      <c r="AX187" t="e">
        <f>AND(ТитЛист!H29,"AAAAAHB+MzE=")</f>
        <v>#VALUE!</v>
      </c>
      <c r="AY187" t="e">
        <f>AND(ТитЛист!I29,"AAAAAHB+MzI=")</f>
        <v>#VALUE!</v>
      </c>
      <c r="AZ187" t="e">
        <f>AND(ТитЛист!J29,"AAAAAHB+MzM=")</f>
        <v>#VALUE!</v>
      </c>
      <c r="BA187" t="e">
        <f>AND(ТитЛист!K29,"AAAAAHB+MzQ=")</f>
        <v>#VALUE!</v>
      </c>
      <c r="BB187" t="e">
        <f>AND(ТитЛист!L29,"AAAAAHB+MzU=")</f>
        <v>#VALUE!</v>
      </c>
      <c r="BC187" t="e">
        <f>AND(ТитЛист!M29,"AAAAAHB+MzY=")</f>
        <v>#VALUE!</v>
      </c>
      <c r="BD187" t="e">
        <f>AND(ТитЛист!N29,"AAAAAHB+Mzc=")</f>
        <v>#VALUE!</v>
      </c>
      <c r="BE187" t="e">
        <f>AND(ТитЛист!O29,"AAAAAHB+Mzg=")</f>
        <v>#VALUE!</v>
      </c>
      <c r="BF187" t="e">
        <f>AND(ТитЛист!P29,"AAAAAHB+Mzk=")</f>
        <v>#VALUE!</v>
      </c>
      <c r="BG187" t="e">
        <f>AND(ТитЛист!Q29,"AAAAAHB+Mzo=")</f>
        <v>#VALUE!</v>
      </c>
      <c r="BH187" t="e">
        <f>AND(ТитЛист!R29,"AAAAAHB+Mzs=")</f>
        <v>#VALUE!</v>
      </c>
      <c r="BI187" t="e">
        <f>AND(ТитЛист!S29,"AAAAAHB+Mzw=")</f>
        <v>#VALUE!</v>
      </c>
      <c r="BJ187" t="e">
        <f>AND(ТитЛист!T29,"AAAAAHB+Mz0=")</f>
        <v>#VALUE!</v>
      </c>
      <c r="BK187" t="e">
        <f>AND(ТитЛист!U29,"AAAAAHB+Mz4=")</f>
        <v>#VALUE!</v>
      </c>
      <c r="BL187" t="e">
        <f>AND(ТитЛист!V29,"AAAAAHB+Mz8=")</f>
        <v>#VALUE!</v>
      </c>
      <c r="BM187" t="e">
        <f>AND(ТитЛист!W29,"AAAAAHB+M0A=")</f>
        <v>#VALUE!</v>
      </c>
      <c r="BN187" t="e">
        <f>AND(ТитЛист!X29,"AAAAAHB+M0E=")</f>
        <v>#VALUE!</v>
      </c>
      <c r="BO187" t="e">
        <f>AND(ТитЛист!Y29,"AAAAAHB+M0I=")</f>
        <v>#VALUE!</v>
      </c>
      <c r="BP187" t="e">
        <f>AND(ТитЛист!Z29,"AAAAAHB+M0M=")</f>
        <v>#VALUE!</v>
      </c>
      <c r="BQ187" t="e">
        <f>AND(ТитЛист!AA29,"AAAAAHB+M0Q=")</f>
        <v>#VALUE!</v>
      </c>
      <c r="BR187" t="e">
        <f>AND(ТитЛист!AB29,"AAAAAHB+M0U=")</f>
        <v>#VALUE!</v>
      </c>
      <c r="BS187" t="e">
        <f>AND(ТитЛист!AC29,"AAAAAHB+M0Y=")</f>
        <v>#VALUE!</v>
      </c>
      <c r="BT187" t="e">
        <f>AND(ТитЛист!AD29,"AAAAAHB+M0c=")</f>
        <v>#VALUE!</v>
      </c>
      <c r="BU187" t="e">
        <f>AND(ТитЛист!AE29,"AAAAAHB+M0g=")</f>
        <v>#VALUE!</v>
      </c>
      <c r="BV187" t="e">
        <f>AND(ТитЛист!AF29,"AAAAAHB+M0k=")</f>
        <v>#VALUE!</v>
      </c>
      <c r="BW187" t="e">
        <f>AND(ТитЛист!AG29,"AAAAAHB+M0o=")</f>
        <v>#VALUE!</v>
      </c>
      <c r="BX187" t="e">
        <f>AND(ТитЛист!AH29,"AAAAAHB+M0s=")</f>
        <v>#VALUE!</v>
      </c>
      <c r="BY187" t="e">
        <f>AND(ТитЛист!AI29,"AAAAAHB+M0w=")</f>
        <v>#VALUE!</v>
      </c>
      <c r="BZ187" t="e">
        <f>AND(ТитЛист!AJ29,"AAAAAHB+M00=")</f>
        <v>#VALUE!</v>
      </c>
      <c r="CA187" t="e">
        <f>AND(ТитЛист!AK29,"AAAAAHB+M04=")</f>
        <v>#VALUE!</v>
      </c>
      <c r="CB187">
        <f>IF(ТитЛист!30:30,"AAAAAHB+M08=",0)</f>
        <v>0</v>
      </c>
      <c r="CC187" t="e">
        <f>AND(ТитЛист!A30,"AAAAAHB+M1A=")</f>
        <v>#VALUE!</v>
      </c>
      <c r="CD187" t="e">
        <f>AND(ТитЛист!B30,"AAAAAHB+M1E=")</f>
        <v>#VALUE!</v>
      </c>
      <c r="CE187" t="e">
        <f>AND(ТитЛист!C30,"AAAAAHB+M1I=")</f>
        <v>#VALUE!</v>
      </c>
      <c r="CF187" t="e">
        <f>AND(ТитЛист!D30,"AAAAAHB+M1M=")</f>
        <v>#VALUE!</v>
      </c>
      <c r="CG187" t="e">
        <f>AND(ТитЛист!E30,"AAAAAHB+M1Q=")</f>
        <v>#VALUE!</v>
      </c>
      <c r="CH187" t="e">
        <f>AND(ТитЛист!F30,"AAAAAHB+M1U=")</f>
        <v>#VALUE!</v>
      </c>
      <c r="CI187" t="e">
        <f>AND(ТитЛист!G30,"AAAAAHB+M1Y=")</f>
        <v>#VALUE!</v>
      </c>
      <c r="CJ187" t="e">
        <f>AND(ТитЛист!H30,"AAAAAHB+M1c=")</f>
        <v>#VALUE!</v>
      </c>
      <c r="CK187" t="e">
        <f>AND(ТитЛист!I30,"AAAAAHB+M1g=")</f>
        <v>#VALUE!</v>
      </c>
      <c r="CL187" t="e">
        <f>AND(ТитЛист!J30,"AAAAAHB+M1k=")</f>
        <v>#VALUE!</v>
      </c>
      <c r="CM187" t="e">
        <f>AND(ТитЛист!K30,"AAAAAHB+M1o=")</f>
        <v>#VALUE!</v>
      </c>
      <c r="CN187" t="e">
        <f>AND(ТитЛист!L30,"AAAAAHB+M1s=")</f>
        <v>#VALUE!</v>
      </c>
      <c r="CO187" t="e">
        <f>AND(ТитЛист!M30,"AAAAAHB+M1w=")</f>
        <v>#VALUE!</v>
      </c>
      <c r="CP187" t="e">
        <f>AND(ТитЛист!N30,"AAAAAHB+M10=")</f>
        <v>#VALUE!</v>
      </c>
      <c r="CQ187" t="e">
        <f>AND(ТитЛист!O30,"AAAAAHB+M14=")</f>
        <v>#VALUE!</v>
      </c>
      <c r="CR187" t="e">
        <f>AND(ТитЛист!P30,"AAAAAHB+M18=")</f>
        <v>#VALUE!</v>
      </c>
      <c r="CS187" t="e">
        <f>AND(ТитЛист!Q30,"AAAAAHB+M2A=")</f>
        <v>#VALUE!</v>
      </c>
      <c r="CT187" t="e">
        <f>AND(ТитЛист!R30,"AAAAAHB+M2E=")</f>
        <v>#VALUE!</v>
      </c>
      <c r="CU187" t="e">
        <f>AND(ТитЛист!S30,"AAAAAHB+M2I=")</f>
        <v>#VALUE!</v>
      </c>
      <c r="CV187" t="e">
        <f>AND(ТитЛист!T30,"AAAAAHB+M2M=")</f>
        <v>#VALUE!</v>
      </c>
      <c r="CW187" t="e">
        <f>AND(ТитЛист!U30,"AAAAAHB+M2Q=")</f>
        <v>#VALUE!</v>
      </c>
      <c r="CX187" t="e">
        <f>AND(ТитЛист!V30,"AAAAAHB+M2U=")</f>
        <v>#VALUE!</v>
      </c>
      <c r="CY187" t="e">
        <f>AND(ТитЛист!W30,"AAAAAHB+M2Y=")</f>
        <v>#VALUE!</v>
      </c>
      <c r="CZ187" t="e">
        <f>AND(ТитЛист!X30,"AAAAAHB+M2c=")</f>
        <v>#VALUE!</v>
      </c>
      <c r="DA187" t="e">
        <f>AND(ТитЛист!Y30,"AAAAAHB+M2g=")</f>
        <v>#VALUE!</v>
      </c>
      <c r="DB187" t="e">
        <f>AND(ТитЛист!Z30,"AAAAAHB+M2k=")</f>
        <v>#VALUE!</v>
      </c>
      <c r="DC187" t="e">
        <f>AND(ТитЛист!AA30,"AAAAAHB+M2o=")</f>
        <v>#VALUE!</v>
      </c>
      <c r="DD187" t="e">
        <f>AND(ТитЛист!AB30,"AAAAAHB+M2s=")</f>
        <v>#VALUE!</v>
      </c>
      <c r="DE187" t="e">
        <f>AND(ТитЛист!AC30,"AAAAAHB+M2w=")</f>
        <v>#VALUE!</v>
      </c>
      <c r="DF187" t="e">
        <f>AND(ТитЛист!AD30,"AAAAAHB+M20=")</f>
        <v>#VALUE!</v>
      </c>
      <c r="DG187" t="e">
        <f>AND(ТитЛист!AE30,"AAAAAHB+M24=")</f>
        <v>#VALUE!</v>
      </c>
      <c r="DH187" t="e">
        <f>AND(ТитЛист!AF30,"AAAAAHB+M28=")</f>
        <v>#VALUE!</v>
      </c>
      <c r="DI187" t="e">
        <f>AND(ТитЛист!AG30,"AAAAAHB+M3A=")</f>
        <v>#VALUE!</v>
      </c>
      <c r="DJ187" t="e">
        <f>AND(ТитЛист!AH30,"AAAAAHB+M3E=")</f>
        <v>#VALUE!</v>
      </c>
      <c r="DK187" t="e">
        <f>AND(ТитЛист!AI30,"AAAAAHB+M3I=")</f>
        <v>#VALUE!</v>
      </c>
      <c r="DL187" t="e">
        <f>AND(ТитЛист!AJ30,"AAAAAHB+M3M=")</f>
        <v>#VALUE!</v>
      </c>
      <c r="DM187" t="e">
        <f>AND(ТитЛист!AK30,"AAAAAHB+M3Q=")</f>
        <v>#VALUE!</v>
      </c>
      <c r="DN187">
        <f>IF(ТитЛист!31:31,"AAAAAHB+M3U=",0)</f>
        <v>0</v>
      </c>
      <c r="DO187" t="e">
        <f>AND(ТитЛист!A31,"AAAAAHB+M3Y=")</f>
        <v>#VALUE!</v>
      </c>
      <c r="DP187" t="e">
        <f>AND(ТитЛист!B31,"AAAAAHB+M3c=")</f>
        <v>#VALUE!</v>
      </c>
      <c r="DQ187" t="e">
        <f>AND(ТитЛист!C31,"AAAAAHB+M3g=")</f>
        <v>#VALUE!</v>
      </c>
      <c r="DR187" t="e">
        <f>AND(ТитЛист!D31,"AAAAAHB+M3k=")</f>
        <v>#VALUE!</v>
      </c>
      <c r="DS187" t="e">
        <f>AND(ТитЛист!E31,"AAAAAHB+M3o=")</f>
        <v>#VALUE!</v>
      </c>
      <c r="DT187" t="e">
        <f>AND(ТитЛист!F31,"AAAAAHB+M3s=")</f>
        <v>#VALUE!</v>
      </c>
      <c r="DU187" t="e">
        <f>AND(ТитЛист!G31,"AAAAAHB+M3w=")</f>
        <v>#VALUE!</v>
      </c>
      <c r="DV187" t="e">
        <f>AND(ТитЛист!H31,"AAAAAHB+M30=")</f>
        <v>#VALUE!</v>
      </c>
      <c r="DW187" t="e">
        <f>AND(ТитЛист!I31,"AAAAAHB+M34=")</f>
        <v>#VALUE!</v>
      </c>
      <c r="DX187" t="e">
        <f>AND(ТитЛист!J31,"AAAAAHB+M38=")</f>
        <v>#VALUE!</v>
      </c>
      <c r="DY187" t="e">
        <f>AND(ТитЛист!K31,"AAAAAHB+M4A=")</f>
        <v>#VALUE!</v>
      </c>
      <c r="DZ187" t="e">
        <f>AND(ТитЛист!L31,"AAAAAHB+M4E=")</f>
        <v>#VALUE!</v>
      </c>
      <c r="EA187" t="e">
        <f>AND(ТитЛист!M31,"AAAAAHB+M4I=")</f>
        <v>#VALUE!</v>
      </c>
      <c r="EB187" t="e">
        <f>AND(ТитЛист!N31,"AAAAAHB+M4M=")</f>
        <v>#VALUE!</v>
      </c>
      <c r="EC187" t="e">
        <f>AND(ТитЛист!O31,"AAAAAHB+M4Q=")</f>
        <v>#VALUE!</v>
      </c>
      <c r="ED187" t="e">
        <f>AND(ТитЛист!P31,"AAAAAHB+M4U=")</f>
        <v>#VALUE!</v>
      </c>
      <c r="EE187" t="e">
        <f>AND(ТитЛист!Q31,"AAAAAHB+M4Y=")</f>
        <v>#VALUE!</v>
      </c>
      <c r="EF187" t="e">
        <f>AND(ТитЛист!R31,"AAAAAHB+M4c=")</f>
        <v>#VALUE!</v>
      </c>
      <c r="EG187" t="e">
        <f>AND(ТитЛист!S31,"AAAAAHB+M4g=")</f>
        <v>#VALUE!</v>
      </c>
      <c r="EH187" t="e">
        <f>AND(ТитЛист!T31,"AAAAAHB+M4k=")</f>
        <v>#VALUE!</v>
      </c>
      <c r="EI187" t="e">
        <f>AND(ТитЛист!U31,"AAAAAHB+M4o=")</f>
        <v>#VALUE!</v>
      </c>
      <c r="EJ187" t="e">
        <f>AND(ТитЛист!V31,"AAAAAHB+M4s=")</f>
        <v>#VALUE!</v>
      </c>
      <c r="EK187" t="e">
        <f>AND(ТитЛист!W31,"AAAAAHB+M4w=")</f>
        <v>#VALUE!</v>
      </c>
      <c r="EL187" t="e">
        <f>AND(ТитЛист!X31,"AAAAAHB+M40=")</f>
        <v>#VALUE!</v>
      </c>
      <c r="EM187" t="e">
        <f>AND(ТитЛист!Y31,"AAAAAHB+M44=")</f>
        <v>#VALUE!</v>
      </c>
      <c r="EN187" t="e">
        <f>AND(ТитЛист!Z31,"AAAAAHB+M48=")</f>
        <v>#VALUE!</v>
      </c>
      <c r="EO187" t="e">
        <f>AND(ТитЛист!AA31,"AAAAAHB+M5A=")</f>
        <v>#VALUE!</v>
      </c>
      <c r="EP187" t="e">
        <f>AND(ТитЛист!AB31,"AAAAAHB+M5E=")</f>
        <v>#VALUE!</v>
      </c>
      <c r="EQ187" t="e">
        <f>AND(ТитЛист!AC31,"AAAAAHB+M5I=")</f>
        <v>#VALUE!</v>
      </c>
      <c r="ER187" t="e">
        <f>AND(ТитЛист!AD31,"AAAAAHB+M5M=")</f>
        <v>#VALUE!</v>
      </c>
      <c r="ES187" t="e">
        <f>AND(ТитЛист!AE31,"AAAAAHB+M5Q=")</f>
        <v>#VALUE!</v>
      </c>
      <c r="ET187" t="e">
        <f>AND(ТитЛист!AF31,"AAAAAHB+M5U=")</f>
        <v>#VALUE!</v>
      </c>
      <c r="EU187" t="e">
        <f>AND(ТитЛист!AG31,"AAAAAHB+M5Y=")</f>
        <v>#VALUE!</v>
      </c>
      <c r="EV187" t="e">
        <f>AND(ТитЛист!AH31,"AAAAAHB+M5c=")</f>
        <v>#VALUE!</v>
      </c>
      <c r="EW187" t="e">
        <f>AND(ТитЛист!AI31,"AAAAAHB+M5g=")</f>
        <v>#VALUE!</v>
      </c>
      <c r="EX187" t="e">
        <f>AND(ТитЛист!AJ31,"AAAAAHB+M5k=")</f>
        <v>#VALUE!</v>
      </c>
      <c r="EY187" t="e">
        <f>AND(ТитЛист!AK31,"AAAAAHB+M5o=")</f>
        <v>#VALUE!</v>
      </c>
      <c r="EZ187">
        <f>IF(ТитЛист!32:32,"AAAAAHB+M5s=",0)</f>
        <v>0</v>
      </c>
      <c r="FA187" t="e">
        <f>AND(ТитЛист!A32,"AAAAAHB+M5w=")</f>
        <v>#VALUE!</v>
      </c>
      <c r="FB187" t="e">
        <f>AND(ТитЛист!B32,"AAAAAHB+M50=")</f>
        <v>#VALUE!</v>
      </c>
      <c r="FC187" t="e">
        <f>AND(ТитЛист!C32,"AAAAAHB+M54=")</f>
        <v>#VALUE!</v>
      </c>
      <c r="FD187" t="e">
        <f>AND(ТитЛист!D32,"AAAAAHB+M58=")</f>
        <v>#VALUE!</v>
      </c>
      <c r="FE187" t="e">
        <f>AND(ТитЛист!E32,"AAAAAHB+M6A=")</f>
        <v>#VALUE!</v>
      </c>
      <c r="FF187" t="e">
        <f>AND(ТитЛист!F32,"AAAAAHB+M6E=")</f>
        <v>#VALUE!</v>
      </c>
      <c r="FG187" t="e">
        <f>AND(ТитЛист!G32,"AAAAAHB+M6I=")</f>
        <v>#VALUE!</v>
      </c>
      <c r="FH187" t="e">
        <f>AND(ТитЛист!H32,"AAAAAHB+M6M=")</f>
        <v>#VALUE!</v>
      </c>
      <c r="FI187" t="e">
        <f>AND(ТитЛист!I32,"AAAAAHB+M6Q=")</f>
        <v>#VALUE!</v>
      </c>
      <c r="FJ187" t="e">
        <f>AND(ТитЛист!J32,"AAAAAHB+M6U=")</f>
        <v>#VALUE!</v>
      </c>
      <c r="FK187" t="e">
        <f>AND(ТитЛист!K32,"AAAAAHB+M6Y=")</f>
        <v>#VALUE!</v>
      </c>
      <c r="FL187" t="e">
        <f>AND(ТитЛист!L32,"AAAAAHB+M6c=")</f>
        <v>#VALUE!</v>
      </c>
      <c r="FM187" t="e">
        <f>AND(ТитЛист!M32,"AAAAAHB+M6g=")</f>
        <v>#VALUE!</v>
      </c>
      <c r="FN187" t="e">
        <f>AND(ТитЛист!N32,"AAAAAHB+M6k=")</f>
        <v>#VALUE!</v>
      </c>
      <c r="FO187" t="e">
        <f>AND(ТитЛист!O32,"AAAAAHB+M6o=")</f>
        <v>#VALUE!</v>
      </c>
      <c r="FP187" t="e">
        <f>AND(ТитЛист!P32,"AAAAAHB+M6s=")</f>
        <v>#VALUE!</v>
      </c>
      <c r="FQ187" t="e">
        <f>AND(ТитЛист!Q32,"AAAAAHB+M6w=")</f>
        <v>#VALUE!</v>
      </c>
      <c r="FR187" t="e">
        <f>AND(ТитЛист!R32,"AAAAAHB+M60=")</f>
        <v>#VALUE!</v>
      </c>
      <c r="FS187" t="e">
        <f>AND(ТитЛист!S32,"AAAAAHB+M64=")</f>
        <v>#VALUE!</v>
      </c>
      <c r="FT187" t="e">
        <f>AND(ТитЛист!T32,"AAAAAHB+M68=")</f>
        <v>#VALUE!</v>
      </c>
      <c r="FU187" t="e">
        <f>AND(ТитЛист!U32,"AAAAAHB+M7A=")</f>
        <v>#VALUE!</v>
      </c>
      <c r="FV187" t="e">
        <f>AND(ТитЛист!V32,"AAAAAHB+M7E=")</f>
        <v>#VALUE!</v>
      </c>
      <c r="FW187" t="e">
        <f>AND(ТитЛист!W32,"AAAAAHB+M7I=")</f>
        <v>#VALUE!</v>
      </c>
      <c r="FX187" t="e">
        <f>AND(ТитЛист!X32,"AAAAAHB+M7M=")</f>
        <v>#VALUE!</v>
      </c>
      <c r="FY187" t="e">
        <f>AND(ТитЛист!Y32,"AAAAAHB+M7Q=")</f>
        <v>#VALUE!</v>
      </c>
      <c r="FZ187" t="e">
        <f>AND(ТитЛист!Z32,"AAAAAHB+M7U=")</f>
        <v>#VALUE!</v>
      </c>
      <c r="GA187" t="e">
        <f>AND(ТитЛист!AA32,"AAAAAHB+M7Y=")</f>
        <v>#VALUE!</v>
      </c>
      <c r="GB187" t="e">
        <f>AND(ТитЛист!AB32,"AAAAAHB+M7c=")</f>
        <v>#VALUE!</v>
      </c>
      <c r="GC187" t="e">
        <f>AND(ТитЛист!AC32,"AAAAAHB+M7g=")</f>
        <v>#VALUE!</v>
      </c>
      <c r="GD187" t="e">
        <f>AND(ТитЛист!AD32,"AAAAAHB+M7k=")</f>
        <v>#VALUE!</v>
      </c>
      <c r="GE187" t="e">
        <f>AND(ТитЛист!AE32,"AAAAAHB+M7o=")</f>
        <v>#VALUE!</v>
      </c>
      <c r="GF187" t="e">
        <f>AND(ТитЛист!AF32,"AAAAAHB+M7s=")</f>
        <v>#VALUE!</v>
      </c>
      <c r="GG187" t="e">
        <f>AND(ТитЛист!AG32,"AAAAAHB+M7w=")</f>
        <v>#VALUE!</v>
      </c>
      <c r="GH187" t="e">
        <f>AND(ТитЛист!AH32,"AAAAAHB+M70=")</f>
        <v>#VALUE!</v>
      </c>
      <c r="GI187" t="e">
        <f>AND(ТитЛист!AI32,"AAAAAHB+M74=")</f>
        <v>#VALUE!</v>
      </c>
      <c r="GJ187" t="e">
        <f>AND(ТитЛист!AJ32,"AAAAAHB+M78=")</f>
        <v>#VALUE!</v>
      </c>
      <c r="GK187" t="e">
        <f>AND(ТитЛист!AK32,"AAAAAHB+M8A=")</f>
        <v>#VALUE!</v>
      </c>
      <c r="GL187">
        <f>IF(ТитЛист!33:33,"AAAAAHB+M8E=",0)</f>
        <v>0</v>
      </c>
      <c r="GM187" t="e">
        <f>AND(ТитЛист!A33,"AAAAAHB+M8I=")</f>
        <v>#VALUE!</v>
      </c>
      <c r="GN187" t="e">
        <f>AND(ТитЛист!B33,"AAAAAHB+M8M=")</f>
        <v>#VALUE!</v>
      </c>
      <c r="GO187" t="e">
        <f>AND(ТитЛист!C33,"AAAAAHB+M8Q=")</f>
        <v>#VALUE!</v>
      </c>
      <c r="GP187" t="e">
        <f>AND(ТитЛист!D33,"AAAAAHB+M8U=")</f>
        <v>#VALUE!</v>
      </c>
      <c r="GQ187" t="e">
        <f>AND(ТитЛист!E33,"AAAAAHB+M8Y=")</f>
        <v>#VALUE!</v>
      </c>
      <c r="GR187" t="e">
        <f>AND(ТитЛист!F33,"AAAAAHB+M8c=")</f>
        <v>#VALUE!</v>
      </c>
      <c r="GS187" t="e">
        <f>AND(ТитЛист!G33,"AAAAAHB+M8g=")</f>
        <v>#VALUE!</v>
      </c>
      <c r="GT187" t="e">
        <f>AND(ТитЛист!H33,"AAAAAHB+M8k=")</f>
        <v>#VALUE!</v>
      </c>
      <c r="GU187" t="e">
        <f>AND(ТитЛист!I33,"AAAAAHB+M8o=")</f>
        <v>#VALUE!</v>
      </c>
      <c r="GV187" t="e">
        <f>AND(ТитЛист!J33,"AAAAAHB+M8s=")</f>
        <v>#VALUE!</v>
      </c>
      <c r="GW187" t="e">
        <f>AND(ТитЛист!K33,"AAAAAHB+M8w=")</f>
        <v>#VALUE!</v>
      </c>
      <c r="GX187" t="e">
        <f>AND(ТитЛист!L33,"AAAAAHB+M80=")</f>
        <v>#VALUE!</v>
      </c>
      <c r="GY187" t="e">
        <f>AND(ТитЛист!M33,"AAAAAHB+M84=")</f>
        <v>#VALUE!</v>
      </c>
      <c r="GZ187" t="e">
        <f>AND(ТитЛист!N33,"AAAAAHB+M88=")</f>
        <v>#VALUE!</v>
      </c>
      <c r="HA187" t="e">
        <f>AND(ТитЛист!O33,"AAAAAHB+M9A=")</f>
        <v>#VALUE!</v>
      </c>
      <c r="HB187" t="e">
        <f>AND(ТитЛист!P33,"AAAAAHB+M9E=")</f>
        <v>#VALUE!</v>
      </c>
      <c r="HC187" t="e">
        <f>AND(ТитЛист!Q33,"AAAAAHB+M9I=")</f>
        <v>#VALUE!</v>
      </c>
      <c r="HD187" t="e">
        <f>AND(ТитЛист!R33,"AAAAAHB+M9M=")</f>
        <v>#VALUE!</v>
      </c>
      <c r="HE187" t="e">
        <f>AND(ТитЛист!S33,"AAAAAHB+M9Q=")</f>
        <v>#VALUE!</v>
      </c>
      <c r="HF187" t="e">
        <f>AND(ТитЛист!T33,"AAAAAHB+M9U=")</f>
        <v>#VALUE!</v>
      </c>
      <c r="HG187" t="e">
        <f>AND(ТитЛист!U33,"AAAAAHB+M9Y=")</f>
        <v>#VALUE!</v>
      </c>
      <c r="HH187" t="e">
        <f>AND(ТитЛист!V33,"AAAAAHB+M9c=")</f>
        <v>#VALUE!</v>
      </c>
      <c r="HI187" t="e">
        <f>AND(ТитЛист!W33,"AAAAAHB+M9g=")</f>
        <v>#VALUE!</v>
      </c>
      <c r="HJ187" t="e">
        <f>AND(ТитЛист!X33,"AAAAAHB+M9k=")</f>
        <v>#VALUE!</v>
      </c>
      <c r="HK187" t="e">
        <f>AND(ТитЛист!Y33,"AAAAAHB+M9o=")</f>
        <v>#VALUE!</v>
      </c>
      <c r="HL187" t="e">
        <f>AND(ТитЛист!Z33,"AAAAAHB+M9s=")</f>
        <v>#VALUE!</v>
      </c>
      <c r="HM187" t="e">
        <f>AND(ТитЛист!AA33,"AAAAAHB+M9w=")</f>
        <v>#VALUE!</v>
      </c>
      <c r="HN187" t="e">
        <f>AND(ТитЛист!AB33,"AAAAAHB+M90=")</f>
        <v>#VALUE!</v>
      </c>
      <c r="HO187" t="e">
        <f>AND(ТитЛист!AC33,"AAAAAHB+M94=")</f>
        <v>#VALUE!</v>
      </c>
      <c r="HP187" t="e">
        <f>AND(ТитЛист!AD33,"AAAAAHB+M98=")</f>
        <v>#VALUE!</v>
      </c>
      <c r="HQ187" t="e">
        <f>AND(ТитЛист!AE33,"AAAAAHB+M+A=")</f>
        <v>#VALUE!</v>
      </c>
      <c r="HR187" t="e">
        <f>AND(ТитЛист!AF33,"AAAAAHB+M+E=")</f>
        <v>#VALUE!</v>
      </c>
      <c r="HS187" t="e">
        <f>AND(ТитЛист!AG33,"AAAAAHB+M+I=")</f>
        <v>#VALUE!</v>
      </c>
      <c r="HT187" t="e">
        <f>AND(ТитЛист!AH33,"AAAAAHB+M+M=")</f>
        <v>#VALUE!</v>
      </c>
      <c r="HU187" t="e">
        <f>AND(ТитЛист!AI33,"AAAAAHB+M+Q=")</f>
        <v>#VALUE!</v>
      </c>
      <c r="HV187" t="e">
        <f>AND(ТитЛист!AJ33,"AAAAAHB+M+U=")</f>
        <v>#VALUE!</v>
      </c>
      <c r="HW187" t="e">
        <f>AND(ТитЛист!AK33,"AAAAAHB+M+Y=")</f>
        <v>#VALUE!</v>
      </c>
      <c r="HX187">
        <f>IF(ТитЛист!34:34,"AAAAAHB+M+c=",0)</f>
        <v>0</v>
      </c>
      <c r="HY187" t="e">
        <f>AND(ТитЛист!A34,"AAAAAHB+M+g=")</f>
        <v>#VALUE!</v>
      </c>
      <c r="HZ187" t="e">
        <f>AND(ТитЛист!B34,"AAAAAHB+M+k=")</f>
        <v>#VALUE!</v>
      </c>
      <c r="IA187" t="e">
        <f>AND(ТитЛист!C34,"AAAAAHB+M+o=")</f>
        <v>#VALUE!</v>
      </c>
      <c r="IB187" t="e">
        <f>AND(ТитЛист!D34,"AAAAAHB+M+s=")</f>
        <v>#VALUE!</v>
      </c>
      <c r="IC187" t="e">
        <f>AND(ТитЛист!E34,"AAAAAHB+M+w=")</f>
        <v>#VALUE!</v>
      </c>
      <c r="ID187" t="e">
        <f>AND(ТитЛист!F34,"AAAAAHB+M+0=")</f>
        <v>#VALUE!</v>
      </c>
      <c r="IE187" t="e">
        <f>AND(ТитЛист!G34,"AAAAAHB+M+4=")</f>
        <v>#VALUE!</v>
      </c>
      <c r="IF187" t="e">
        <f>AND(ТитЛист!H34,"AAAAAHB+M+8=")</f>
        <v>#VALUE!</v>
      </c>
      <c r="IG187" t="e">
        <f>AND(ТитЛист!I34,"AAAAAHB+M/A=")</f>
        <v>#VALUE!</v>
      </c>
      <c r="IH187" t="e">
        <f>AND(ТитЛист!J34,"AAAAAHB+M/E=")</f>
        <v>#VALUE!</v>
      </c>
      <c r="II187" t="e">
        <f>AND(ТитЛист!K34,"AAAAAHB+M/I=")</f>
        <v>#VALUE!</v>
      </c>
      <c r="IJ187" t="e">
        <f>AND(ТитЛист!L34,"AAAAAHB+M/M=")</f>
        <v>#VALUE!</v>
      </c>
      <c r="IK187" t="e">
        <f>AND(ТитЛист!M34,"AAAAAHB+M/Q=")</f>
        <v>#VALUE!</v>
      </c>
      <c r="IL187" t="e">
        <f>AND(ТитЛист!N34,"AAAAAHB+M/U=")</f>
        <v>#VALUE!</v>
      </c>
      <c r="IM187" t="e">
        <f>AND(ТитЛист!O34,"AAAAAHB+M/Y=")</f>
        <v>#VALUE!</v>
      </c>
      <c r="IN187" t="e">
        <f>AND(ТитЛист!P34,"AAAAAHB+M/c=")</f>
        <v>#VALUE!</v>
      </c>
      <c r="IO187" t="e">
        <f>AND(ТитЛист!Q34,"AAAAAHB+M/g=")</f>
        <v>#VALUE!</v>
      </c>
      <c r="IP187" t="e">
        <f>AND(ТитЛист!R34,"AAAAAHB+M/k=")</f>
        <v>#VALUE!</v>
      </c>
      <c r="IQ187" t="e">
        <f>AND(ТитЛист!S34,"AAAAAHB+M/o=")</f>
        <v>#VALUE!</v>
      </c>
      <c r="IR187" t="e">
        <f>AND(ТитЛист!T34,"AAAAAHB+M/s=")</f>
        <v>#VALUE!</v>
      </c>
      <c r="IS187" t="e">
        <f>AND(ТитЛист!U34,"AAAAAHB+M/w=")</f>
        <v>#VALUE!</v>
      </c>
      <c r="IT187" t="e">
        <f>AND(ТитЛист!V34,"AAAAAHB+M/0=")</f>
        <v>#VALUE!</v>
      </c>
      <c r="IU187" t="e">
        <f>AND(ТитЛист!W34,"AAAAAHB+M/4=")</f>
        <v>#VALUE!</v>
      </c>
      <c r="IV187" t="e">
        <f>AND(ТитЛист!X34,"AAAAAHB+M/8=")</f>
        <v>#VALUE!</v>
      </c>
    </row>
    <row r="188" spans="1:256" ht="15">
      <c r="A188" t="e">
        <f>AND(ТитЛист!Y34,"AAAAAHrv1QA=")</f>
        <v>#VALUE!</v>
      </c>
      <c r="B188" t="e">
        <f>AND(ТитЛист!Z34,"AAAAAHrv1QE=")</f>
        <v>#VALUE!</v>
      </c>
      <c r="C188" t="e">
        <f>AND(ТитЛист!AA34,"AAAAAHrv1QI=")</f>
        <v>#VALUE!</v>
      </c>
      <c r="D188" t="e">
        <f>AND(ТитЛист!AB34,"AAAAAHrv1QM=")</f>
        <v>#VALUE!</v>
      </c>
      <c r="E188" t="e">
        <f>AND(ТитЛист!AC34,"AAAAAHrv1QQ=")</f>
        <v>#VALUE!</v>
      </c>
      <c r="F188" t="e">
        <f>AND(ТитЛист!AD34,"AAAAAHrv1QU=")</f>
        <v>#VALUE!</v>
      </c>
      <c r="G188" t="e">
        <f>AND(ТитЛист!AE34,"AAAAAHrv1QY=")</f>
        <v>#VALUE!</v>
      </c>
      <c r="H188" t="e">
        <f>AND(ТитЛист!AF34,"AAAAAHrv1Qc=")</f>
        <v>#VALUE!</v>
      </c>
      <c r="I188" t="e">
        <f>AND(ТитЛист!AG34,"AAAAAHrv1Qg=")</f>
        <v>#VALUE!</v>
      </c>
      <c r="J188" t="e">
        <f>AND(ТитЛист!AH34,"AAAAAHrv1Qk=")</f>
        <v>#VALUE!</v>
      </c>
      <c r="K188" t="e">
        <f>AND(ТитЛист!AI34,"AAAAAHrv1Qo=")</f>
        <v>#VALUE!</v>
      </c>
      <c r="L188" t="e">
        <f>AND(ТитЛист!AJ34,"AAAAAHrv1Qs=")</f>
        <v>#VALUE!</v>
      </c>
      <c r="M188" t="e">
        <f>AND(ТитЛист!AK34,"AAAAAHrv1Qw=")</f>
        <v>#VALUE!</v>
      </c>
      <c r="N188">
        <f>IF(ТитЛист!35:35,"AAAAAHrv1Q0=",0)</f>
        <v>0</v>
      </c>
      <c r="O188" t="e">
        <f>AND(ТитЛист!A35,"AAAAAHrv1Q4=")</f>
        <v>#VALUE!</v>
      </c>
      <c r="P188" t="e">
        <f>AND(ТитЛист!B35,"AAAAAHrv1Q8=")</f>
        <v>#VALUE!</v>
      </c>
      <c r="Q188" t="e">
        <f>AND(ТитЛист!C35,"AAAAAHrv1RA=")</f>
        <v>#VALUE!</v>
      </c>
      <c r="R188" t="e">
        <f>AND(ТитЛист!D35,"AAAAAHrv1RE=")</f>
        <v>#VALUE!</v>
      </c>
      <c r="S188" t="e">
        <f>AND(ТитЛист!E35,"AAAAAHrv1RI=")</f>
        <v>#VALUE!</v>
      </c>
      <c r="T188" t="e">
        <f>AND(ТитЛист!F35,"AAAAAHrv1RM=")</f>
        <v>#VALUE!</v>
      </c>
      <c r="U188" t="e">
        <f>AND(ТитЛист!G35,"AAAAAHrv1RQ=")</f>
        <v>#VALUE!</v>
      </c>
      <c r="V188" t="e">
        <f>AND(ТитЛист!H35,"AAAAAHrv1RU=")</f>
        <v>#VALUE!</v>
      </c>
      <c r="W188" t="e">
        <f>AND(ТитЛист!I35,"AAAAAHrv1RY=")</f>
        <v>#VALUE!</v>
      </c>
      <c r="X188" t="e">
        <f>AND(ТитЛист!J35,"AAAAAHrv1Rc=")</f>
        <v>#VALUE!</v>
      </c>
      <c r="Y188" t="e">
        <f>AND(ТитЛист!K35,"AAAAAHrv1Rg=")</f>
        <v>#VALUE!</v>
      </c>
      <c r="Z188" t="e">
        <f>AND(ТитЛист!L35,"AAAAAHrv1Rk=")</f>
        <v>#VALUE!</v>
      </c>
      <c r="AA188" t="e">
        <f>AND(ТитЛист!M35,"AAAAAHrv1Ro=")</f>
        <v>#VALUE!</v>
      </c>
      <c r="AB188" t="e">
        <f>AND(ТитЛист!N35,"AAAAAHrv1Rs=")</f>
        <v>#VALUE!</v>
      </c>
      <c r="AC188" t="e">
        <f>AND(ТитЛист!O35,"AAAAAHrv1Rw=")</f>
        <v>#VALUE!</v>
      </c>
      <c r="AD188" t="e">
        <f>AND(ТитЛист!P35,"AAAAAHrv1R0=")</f>
        <v>#VALUE!</v>
      </c>
      <c r="AE188" t="e">
        <f>AND(ТитЛист!Q35,"AAAAAHrv1R4=")</f>
        <v>#VALUE!</v>
      </c>
      <c r="AF188" t="e">
        <f>AND(ТитЛист!R35,"AAAAAHrv1R8=")</f>
        <v>#VALUE!</v>
      </c>
      <c r="AG188" t="e">
        <f>AND(ТитЛист!S35,"AAAAAHrv1SA=")</f>
        <v>#VALUE!</v>
      </c>
      <c r="AH188" t="e">
        <f>AND(ТитЛист!T35,"AAAAAHrv1SE=")</f>
        <v>#VALUE!</v>
      </c>
      <c r="AI188" t="e">
        <f>AND(ТитЛист!U35,"AAAAAHrv1SI=")</f>
        <v>#VALUE!</v>
      </c>
      <c r="AJ188" t="e">
        <f>AND(ТитЛист!V35,"AAAAAHrv1SM=")</f>
        <v>#VALUE!</v>
      </c>
      <c r="AK188" t="e">
        <f>AND(ТитЛист!W35,"AAAAAHrv1SQ=")</f>
        <v>#VALUE!</v>
      </c>
      <c r="AL188" t="e">
        <f>AND(ТитЛист!X35,"AAAAAHrv1SU=")</f>
        <v>#VALUE!</v>
      </c>
      <c r="AM188" t="e">
        <f>AND(ТитЛист!Y35,"AAAAAHrv1SY=")</f>
        <v>#VALUE!</v>
      </c>
      <c r="AN188" t="e">
        <f>AND(ТитЛист!Z35,"AAAAAHrv1Sc=")</f>
        <v>#VALUE!</v>
      </c>
      <c r="AO188" t="e">
        <f>AND(ТитЛист!AA35,"AAAAAHrv1Sg=")</f>
        <v>#VALUE!</v>
      </c>
      <c r="AP188" t="e">
        <f>AND(ТитЛист!AB35,"AAAAAHrv1Sk=")</f>
        <v>#VALUE!</v>
      </c>
      <c r="AQ188" t="e">
        <f>AND(ТитЛист!AC35,"AAAAAHrv1So=")</f>
        <v>#VALUE!</v>
      </c>
      <c r="AR188" t="e">
        <f>AND(ТитЛист!AD35,"AAAAAHrv1Ss=")</f>
        <v>#VALUE!</v>
      </c>
      <c r="AS188" t="e">
        <f>AND(ТитЛист!AE35,"AAAAAHrv1Sw=")</f>
        <v>#VALUE!</v>
      </c>
      <c r="AT188" t="e">
        <f>AND(ТитЛист!AF35,"AAAAAHrv1S0=")</f>
        <v>#VALUE!</v>
      </c>
      <c r="AU188" t="e">
        <f>AND(ТитЛист!AG35,"AAAAAHrv1S4=")</f>
        <v>#VALUE!</v>
      </c>
      <c r="AV188" t="e">
        <f>AND(ТитЛист!AH35,"AAAAAHrv1S8=")</f>
        <v>#VALUE!</v>
      </c>
      <c r="AW188" t="e">
        <f>AND(ТитЛист!AI35,"AAAAAHrv1TA=")</f>
        <v>#VALUE!</v>
      </c>
      <c r="AX188" t="e">
        <f>AND(ТитЛист!AJ35,"AAAAAHrv1TE=")</f>
        <v>#VALUE!</v>
      </c>
      <c r="AY188" t="e">
        <f>AND(ТитЛист!AK35,"AAAAAHrv1TI=")</f>
        <v>#VALUE!</v>
      </c>
      <c r="AZ188">
        <f>IF(ТитЛист!36:36,"AAAAAHrv1TM=",0)</f>
        <v>0</v>
      </c>
      <c r="BA188">
        <f>IF(ТитЛист!37:37,"AAAAAHrv1TQ=",0)</f>
        <v>0</v>
      </c>
      <c r="BB188">
        <f>IF(ТитЛист!38:38,"AAAAAHrv1TU=",0)</f>
        <v>0</v>
      </c>
      <c r="BC188">
        <f>IF(ТитЛист!39:39,"AAAAAHrv1TY=",0)</f>
        <v>0</v>
      </c>
      <c r="BD188">
        <f>IF(ТитЛист!A:A,"AAAAAHrv1Tc=",0)</f>
        <v>0</v>
      </c>
      <c r="BE188">
        <f>IF(ТитЛист!B:B,"AAAAAHrv1Tg=",0)</f>
        <v>0</v>
      </c>
      <c r="BF188">
        <f>IF(ТитЛист!C:C,"AAAAAHrv1Tk=",0)</f>
        <v>0</v>
      </c>
      <c r="BG188">
        <f>IF(ТитЛист!D:D,"AAAAAHrv1To=",0)</f>
        <v>0</v>
      </c>
      <c r="BH188">
        <f>IF(ТитЛист!E:E,"AAAAAHrv1Ts=",0)</f>
        <v>0</v>
      </c>
      <c r="BI188">
        <f>IF(ТитЛист!F:F,"AAAAAHrv1Tw=",0)</f>
        <v>0</v>
      </c>
      <c r="BJ188">
        <f>IF(ТитЛист!G:G,"AAAAAHrv1T0=",0)</f>
        <v>0</v>
      </c>
      <c r="BK188">
        <f>IF(ТитЛист!H:H,"AAAAAHrv1T4=",0)</f>
        <v>0</v>
      </c>
      <c r="BL188">
        <f>IF(ТитЛист!I:I,"AAAAAHrv1T8=",0)</f>
        <v>0</v>
      </c>
      <c r="BM188">
        <f>IF(ТитЛист!J:J,"AAAAAHrv1UA=",0)</f>
        <v>0</v>
      </c>
      <c r="BN188">
        <f>IF(ТитЛист!K:K,"AAAAAHrv1UE=",0)</f>
        <v>0</v>
      </c>
      <c r="BO188">
        <f>IF(ТитЛист!L:L,"AAAAAHrv1UI=",0)</f>
        <v>0</v>
      </c>
      <c r="BP188">
        <f>IF(ТитЛист!M:M,"AAAAAHrv1UM=",0)</f>
        <v>0</v>
      </c>
      <c r="BQ188">
        <f>IF(ТитЛист!N:N,"AAAAAHrv1UQ=",0)</f>
        <v>0</v>
      </c>
      <c r="BR188">
        <f>IF(ТитЛист!O:O,"AAAAAHrv1UU=",0)</f>
        <v>0</v>
      </c>
      <c r="BS188">
        <f>IF(ТитЛист!P:P,"AAAAAHrv1UY=",0)</f>
        <v>0</v>
      </c>
      <c r="BT188">
        <f>IF(ТитЛист!Q:Q,"AAAAAHrv1Uc=",0)</f>
        <v>0</v>
      </c>
      <c r="BU188">
        <f>IF(ТитЛист!R:R,"AAAAAHrv1Ug=",0)</f>
        <v>0</v>
      </c>
      <c r="BV188">
        <f>IF(ТитЛист!S:S,"AAAAAHrv1Uk=",0)</f>
        <v>0</v>
      </c>
      <c r="BW188">
        <f>IF(ТитЛист!T:T,"AAAAAHrv1Uo=",0)</f>
        <v>0</v>
      </c>
      <c r="BX188">
        <f>IF(ТитЛист!U:U,"AAAAAHrv1Us=",0)</f>
        <v>0</v>
      </c>
      <c r="BY188">
        <f>IF(ТитЛист!V:V,"AAAAAHrv1Uw=",0)</f>
        <v>0</v>
      </c>
      <c r="BZ188">
        <f>IF(ТитЛист!W:W,"AAAAAHrv1U0=",0)</f>
        <v>0</v>
      </c>
      <c r="CA188">
        <f>IF(ТитЛист!X:X,"AAAAAHrv1U4=",0)</f>
        <v>0</v>
      </c>
      <c r="CB188">
        <f>IF(ТитЛист!Y:Y,"AAAAAHrv1U8=",0)</f>
        <v>0</v>
      </c>
      <c r="CC188">
        <f>IF(ТитЛист!Z:Z,"AAAAAHrv1VA=",0)</f>
        <v>0</v>
      </c>
      <c r="CD188">
        <f>IF(ТитЛист!AA:AA,"AAAAAHrv1VE=",0)</f>
        <v>0</v>
      </c>
      <c r="CE188">
        <f>IF(ТитЛист!AB:AB,"AAAAAHrv1VI=",0)</f>
        <v>0</v>
      </c>
      <c r="CF188">
        <f>IF(ТитЛист!AC:AC,"AAAAAHrv1VM=",0)</f>
        <v>0</v>
      </c>
      <c r="CG188">
        <f>IF(ТитЛист!AD:AD,"AAAAAHrv1VQ=",0)</f>
        <v>0</v>
      </c>
      <c r="CH188">
        <f>IF(ТитЛист!AE:AE,"AAAAAHrv1VU=",0)</f>
        <v>0</v>
      </c>
      <c r="CI188">
        <f>IF(ТитЛист!AF:AF,"AAAAAHrv1VY=",0)</f>
        <v>0</v>
      </c>
      <c r="CJ188">
        <f>IF(ТитЛист!AG:AG,"AAAAAHrv1Vc=",0)</f>
        <v>0</v>
      </c>
      <c r="CK188">
        <f>IF(ТитЛист!AH:AH,"AAAAAHrv1Vg=",0)</f>
        <v>0</v>
      </c>
      <c r="CL188">
        <f>IF(ТитЛист!AI:AI,"AAAAAHrv1Vk=",0)</f>
        <v>0</v>
      </c>
      <c r="CM188">
        <f>IF(ТитЛист!AJ:AJ,"AAAAAHrv1Vo=",0)</f>
        <v>0</v>
      </c>
      <c r="CN188">
        <f>IF(ТитЛист!AK:AK,"AAAAAHrv1Vs=",0)</f>
        <v>0</v>
      </c>
      <c r="CO188" s="907" t="s">
        <v>696</v>
      </c>
      <c r="CP188" s="908" t="s">
        <v>697</v>
      </c>
      <c r="CQ188" s="909" t="s">
        <v>698</v>
      </c>
      <c r="CR188" s="905" t="s">
        <v>699</v>
      </c>
      <c r="CS188" t="e">
        <f>IF("N",'UP133'!_xlnm._FilterDatabase,"AAAAAHrv1WA=")</f>
        <v>#VALUE!</v>
      </c>
      <c r="CT188" t="e">
        <f>IF("N",'UP133'!_xlnm.Database,"AAAAAHrv1WE=")</f>
        <v>#VALUE!</v>
      </c>
      <c r="CU188" t="e">
        <f>IF("N",ТитЛист!_xlnm.Database,"AAAAAHrv1WI=")</f>
        <v>#VALUE!</v>
      </c>
      <c r="CV188" t="e">
        <f>IF("N",ТС!_xlnm.Database,"AAAAAHrv1WM=")</f>
        <v>#VALUE!</v>
      </c>
      <c r="CW188" t="e">
        <f>IF("N",_xlnm.Database,"AAAAAHrv1WQ=")</f>
        <v>#VALUE!</v>
      </c>
      <c r="CX188" t="e">
        <f>IF("N",'UP133'!ж,"AAAAAHrv1WU=")</f>
        <v>#VALUE!</v>
      </c>
      <c r="CY188" t="e">
        <f>IF("N",ТитЛист!ж,"AAAAAHrv1WY=")</f>
        <v>#VALUE!</v>
      </c>
      <c r="CZ188" t="e">
        <f>IF("N",ТС!ж,"AAAAAHrv1Wc=")</f>
        <v>#VALUE!</v>
      </c>
      <c r="DA188" t="e">
        <f>IF("N",ж,"AAAAAHrv1Wg=")</f>
        <v>#VALUE!</v>
      </c>
      <c r="DB188" t="e">
        <f>IF("N",'UP133'!_xlnm.Print_Titles,"AAAAAHrv1Wk=")</f>
        <v>#VALUE!</v>
      </c>
      <c r="DC188" t="e">
        <f>IF("N",ПрилШахм!_xlnm.Print_Area,"AAAAAHrv1Wo=")</f>
        <v>#VALUE!</v>
      </c>
      <c r="DD188" t="e">
        <f>IF("N",ТС!_xlnm.Print_Area,"AAAAAHrv1Ws=")</f>
        <v>#VALUE!</v>
      </c>
      <c r="DE188" t="e">
        <f>IF("N",ТС_ППС!_xlnm.Print_Area,"AAAAAHrv1Ww=")</f>
        <v>#VALUE!</v>
      </c>
      <c r="DF188" t="e">
        <f>IF("N",Шахм!_xlnm.Print_Area,"AAAAAHrv1W0=")</f>
        <v>#VALUE!</v>
      </c>
    </row>
    <row r="189" spans="1:256">
      <c r="A189" s="906" t="s">
        <v>700</v>
      </c>
      <c r="B189" t="e">
        <f>IF("N",'UP133'!_xlnm._FilterDatabase,"AAAAAFn3xwE=")</f>
        <v>#VALUE!</v>
      </c>
      <c r="C189" t="e">
        <f>IF("N",'UP133'!_xlnm.Database,"AAAAAFn3xwI=")</f>
        <v>#VALUE!</v>
      </c>
      <c r="D189" t="e">
        <f>IF("N",ТитЛист!_xlnm.Database,"AAAAAFn3xwM=")</f>
        <v>#VALUE!</v>
      </c>
      <c r="E189" t="e">
        <f>IF("N",ТС!_xlnm.Database,"AAAAAFn3xwQ=")</f>
        <v>#VALUE!</v>
      </c>
      <c r="F189" t="e">
        <f>IF("N",_xlnm.Database,"AAAAAFn3xwU=")</f>
        <v>#VALUE!</v>
      </c>
      <c r="G189" t="e">
        <f>IF("N",'UP133'!_xlnm.Print_Titles,"AAAAAFn3xwY=")</f>
        <v>#VALUE!</v>
      </c>
      <c r="H189" t="e">
        <f>IF("N",ПрилШахм!_xlnm.Print_Area,"AAAAAFn3xwc=")</f>
        <v>#VALUE!</v>
      </c>
      <c r="I189" t="e">
        <f>IF("N",ТС!_xlnm.Print_Area,"AAAAAFn3xwg=")</f>
        <v>#VALUE!</v>
      </c>
      <c r="J189" t="e">
        <f>IF("N",ТС_ППС!_xlnm.Print_Area,"AAAAAFn3xwk=")</f>
        <v>#VALUE!</v>
      </c>
      <c r="K189" t="e">
        <f>IF("N",Шахм!_xlnm.Print_Area,"AAAAAFn3xwo=")</f>
        <v>#VALUE!</v>
      </c>
    </row>
    <row r="190" spans="1:256">
      <c r="A190" s="910" t="s">
        <v>701</v>
      </c>
      <c r="B190" t="e">
        <f>IF("N",'UP133'!_xlnm._FilterDatabase,"AAAAAD3x3gE=")</f>
        <v>#VALUE!</v>
      </c>
      <c r="C190" t="e">
        <f>IF("N",'UP133'!_xlnm.Database,"AAAAAD3x3gI=")</f>
        <v>#VALUE!</v>
      </c>
      <c r="D190" t="e">
        <f>IF("N",ТитЛист!_xlnm.Database,"AAAAAD3x3gM=")</f>
        <v>#VALUE!</v>
      </c>
      <c r="E190" t="e">
        <f>IF("N",ТС!_xlnm.Database,"AAAAAD3x3gQ=")</f>
        <v>#VALUE!</v>
      </c>
      <c r="F190" t="e">
        <f>IF("N",_xlnm.Database,"AAAAAD3x3gU=")</f>
        <v>#VALUE!</v>
      </c>
      <c r="G190" t="e">
        <f>IF("N",'UP133'!_xlnm.Print_Titles,"AAAAAD3x3gY=")</f>
        <v>#VALUE!</v>
      </c>
      <c r="H190" t="e">
        <f>IF("N",ПрилШахм!_xlnm.Print_Area,"AAAAAD3x3gc=")</f>
        <v>#VALUE!</v>
      </c>
      <c r="I190" t="e">
        <f>IF("N",ТС!_xlnm.Print_Area,"AAAAAD3x3gg=")</f>
        <v>#VALUE!</v>
      </c>
      <c r="J190" t="e">
        <f>IF("N",ТС_ППС!_xlnm.Print_Area,"AAAAAD3x3gk=")</f>
        <v>#VALUE!</v>
      </c>
      <c r="K190" t="e">
        <f>IF("N",Шахм!_xlnm.Print_Area,"AAAAAD3x3go=")</f>
        <v>#VALUE!</v>
      </c>
    </row>
    <row r="191" spans="1:256">
      <c r="A191" s="911" t="s">
        <v>702</v>
      </c>
      <c r="B191" t="e">
        <f>IF("N",'UP133'!_xlnm._FilterDatabase,"AAAAAEv7nwE=")</f>
        <v>#VALUE!</v>
      </c>
      <c r="C191" t="e">
        <f>IF("N",'UP133'!_xlnm.Database,"AAAAAEv7nwI=")</f>
        <v>#VALUE!</v>
      </c>
      <c r="D191" t="e">
        <f>IF("N",ТитЛист!_xlnm.Database,"AAAAAEv7nwM=")</f>
        <v>#VALUE!</v>
      </c>
      <c r="E191" t="e">
        <f>IF("N",ТС!_xlnm.Database,"AAAAAEv7nwQ=")</f>
        <v>#VALUE!</v>
      </c>
      <c r="F191" t="e">
        <f>IF("N",_xlnm.Database,"AAAAAEv7nwU=")</f>
        <v>#VALUE!</v>
      </c>
      <c r="G191" t="e">
        <f>IF("N",'UP133'!_xlnm.Print_Titles,"AAAAAEv7nwY=")</f>
        <v>#VALUE!</v>
      </c>
      <c r="H191" t="e">
        <f>IF("N",ПрилШахм!_xlnm.Print_Area,"AAAAAEv7nwc=")</f>
        <v>#VALUE!</v>
      </c>
      <c r="I191" t="e">
        <f>IF("N",ТС!_xlnm.Print_Area,"AAAAAEv7nwg=")</f>
        <v>#VALUE!</v>
      </c>
      <c r="J191" t="e">
        <f>IF("N",ТС_ППС!_xlnm.Print_Area,"AAAAAEv7nwk=")</f>
        <v>#VALUE!</v>
      </c>
      <c r="K191" t="e">
        <f>IF("N",Шахм!_xlnm.Print_Area,"AAAAAEv7nwo=")</f>
        <v>#VALUE!</v>
      </c>
    </row>
    <row r="192" spans="1:256">
      <c r="A192" s="912" t="s">
        <v>703</v>
      </c>
      <c r="B192" t="e">
        <f>IF("N",'UP133'!_xlnm._FilterDatabase,"AAAAAHO/uQE=")</f>
        <v>#VALUE!</v>
      </c>
      <c r="C192" t="e">
        <f>IF("N",'UP133'!_xlnm.Database,"AAAAAHO/uQI=")</f>
        <v>#VALUE!</v>
      </c>
      <c r="D192" t="e">
        <f>IF("N",ТитЛист!_xlnm.Database,"AAAAAHO/uQM=")</f>
        <v>#VALUE!</v>
      </c>
      <c r="E192" t="e">
        <f>IF("N",ТС!_xlnm.Database,"AAAAAHO/uQQ=")</f>
        <v>#VALUE!</v>
      </c>
      <c r="F192" t="e">
        <f>IF("N",_xlnm.Database,"AAAAAHO/uQU=")</f>
        <v>#VALUE!</v>
      </c>
      <c r="G192" t="e">
        <f>IF("N",'UP133'!_xlnm.Print_Titles,"AAAAAHO/uQY=")</f>
        <v>#VALUE!</v>
      </c>
      <c r="H192" t="e">
        <f>IF("N",ПрилШахм!_xlnm.Print_Area,"AAAAAHO/uQc=")</f>
        <v>#VALUE!</v>
      </c>
      <c r="I192" t="e">
        <f>IF("N",ТС!_xlnm.Print_Area,"AAAAAHO/uQg=")</f>
        <v>#VALUE!</v>
      </c>
      <c r="J192" t="e">
        <f>IF("N",ТС_ППС!_xlnm.Print_Area,"AAAAAHO/uQk=")</f>
        <v>#VALUE!</v>
      </c>
      <c r="K192" t="e">
        <f>IF("N",Шахм!_xlnm.Print_Area,"AAAAAHO/uQo=")</f>
        <v>#VALUE!</v>
      </c>
    </row>
    <row r="193" spans="1:11">
      <c r="A193" s="912" t="s">
        <v>704</v>
      </c>
      <c r="B193" t="e">
        <f>IF("N",'UP133'!_xlnm._FilterDatabase,"AAAAAHr/yAE=")</f>
        <v>#VALUE!</v>
      </c>
      <c r="C193" t="e">
        <f>IF("N",'UP133'!_xlnm.Database,"AAAAAHr/yAI=")</f>
        <v>#VALUE!</v>
      </c>
      <c r="D193" t="e">
        <f>IF("N",ТитЛист!_xlnm.Database,"AAAAAHr/yAM=")</f>
        <v>#VALUE!</v>
      </c>
      <c r="E193" t="e">
        <f>IF("N",ТС!_xlnm.Database,"AAAAAHr/yAQ=")</f>
        <v>#VALUE!</v>
      </c>
      <c r="F193" t="e">
        <f>IF("N",_xlnm.Database,"AAAAAHr/yAU=")</f>
        <v>#VALUE!</v>
      </c>
      <c r="G193" t="e">
        <f>IF("N",'UP133'!_xlnm.Print_Titles,"AAAAAHr/yAY=")</f>
        <v>#VALUE!</v>
      </c>
      <c r="H193" t="e">
        <f>IF("N",ПрилШахм!_xlnm.Print_Area,"AAAAAHr/yAc=")</f>
        <v>#VALUE!</v>
      </c>
      <c r="I193" t="e">
        <f>IF("N",ТС!_xlnm.Print_Area,"AAAAAHr/yAg=")</f>
        <v>#VALUE!</v>
      </c>
      <c r="J193" t="e">
        <f>IF("N",ТС_ППС!_xlnm.Print_Area,"AAAAAHr/yAk=")</f>
        <v>#VALUE!</v>
      </c>
      <c r="K193" t="e">
        <f>IF("N",Шахм!_xlnm.Print_Area,"AAAAAHr/yAo=")</f>
        <v>#VALUE!</v>
      </c>
    </row>
    <row r="194" spans="1:11">
      <c r="A194" s="912" t="s">
        <v>705</v>
      </c>
      <c r="B194" t="e">
        <f>IF("N",'UP133'!_xlnm._FilterDatabase,"AAAAAHWz/QE=")</f>
        <v>#VALUE!</v>
      </c>
      <c r="C194" t="e">
        <f>IF("N",'UP133'!_xlnm.Database,"AAAAAHWz/QI=")</f>
        <v>#VALUE!</v>
      </c>
      <c r="D194" t="e">
        <f>IF("N",ТитЛист!_xlnm.Database,"AAAAAHWz/QM=")</f>
        <v>#VALUE!</v>
      </c>
      <c r="E194" t="e">
        <f>IF("N",ТС!_xlnm.Database,"AAAAAHWz/QQ=")</f>
        <v>#VALUE!</v>
      </c>
      <c r="F194" t="e">
        <f>IF("N",_xlnm.Database,"AAAAAHWz/QU=")</f>
        <v>#VALUE!</v>
      </c>
      <c r="G194" t="e">
        <f>IF("N",'UP133'!_xlnm.Print_Titles,"AAAAAHWz/QY=")</f>
        <v>#VALUE!</v>
      </c>
      <c r="H194" t="e">
        <f>IF("N",ПрилШахм!_xlnm.Print_Area,"AAAAAHWz/Qc=")</f>
        <v>#VALUE!</v>
      </c>
      <c r="I194" t="e">
        <f>IF("N",ТС!_xlnm.Print_Area,"AAAAAHWz/Qg=")</f>
        <v>#VALUE!</v>
      </c>
      <c r="J194" t="e">
        <f>IF("N",ТС_ППС!_xlnm.Print_Area,"AAAAAHWz/Qk=")</f>
        <v>#VALUE!</v>
      </c>
      <c r="K194" t="e">
        <f>IF("N",Шахм!_xlnm.Print_Area,"AAAAAHWz/Qo=")</f>
        <v>#VALUE!</v>
      </c>
    </row>
    <row r="195" spans="1:11">
      <c r="A195" s="912" t="s">
        <v>706</v>
      </c>
      <c r="B195" t="e">
        <f>IF("N",'UP133'!_xlnm._FilterDatabase,"AAAAAHnkzQE=")</f>
        <v>#VALUE!</v>
      </c>
      <c r="C195" t="e">
        <f>IF("N",'UP133'!_xlnm.Database,"AAAAAHnkzQI=")</f>
        <v>#VALUE!</v>
      </c>
      <c r="D195" t="e">
        <f>IF("N",ТитЛист!_xlnm.Database,"AAAAAHnkzQM=")</f>
        <v>#VALUE!</v>
      </c>
      <c r="E195" t="e">
        <f>IF("N",ТС!_xlnm.Database,"AAAAAHnkzQQ=")</f>
        <v>#VALUE!</v>
      </c>
      <c r="F195" t="e">
        <f>IF("N",_xlnm.Database,"AAAAAHnkzQU=")</f>
        <v>#VALUE!</v>
      </c>
      <c r="G195" t="e">
        <f>IF("N",'UP133'!_xlnm.Print_Titles,"AAAAAHnkzQY=")</f>
        <v>#VALUE!</v>
      </c>
      <c r="H195" t="e">
        <f>IF("N",ПрилШахм!_xlnm.Print_Area,"AAAAAHnkzQc=")</f>
        <v>#VALUE!</v>
      </c>
      <c r="I195" t="e">
        <f>IF("N",ТС!_xlnm.Print_Area,"AAAAAHnkzQg=")</f>
        <v>#VALUE!</v>
      </c>
      <c r="J195" t="e">
        <f>IF("N",ТС_ППС!_xlnm.Print_Area,"AAAAAHnkzQk=")</f>
        <v>#VALUE!</v>
      </c>
      <c r="K195" t="e">
        <f>IF("N",Шахм!_xlnm.Print_Area,"AAAAAHnkzQo=")</f>
        <v>#VALUE!</v>
      </c>
    </row>
  </sheetData>
  <pageMargins left="0.7" right="0.7" top="0.75" bottom="0.75" header="0.3" footer="0.3"/>
  <customProperties>
    <customPr name="DVSECTION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6</vt:i4>
      </vt:variant>
    </vt:vector>
  </HeadingPairs>
  <TitlesOfParts>
    <vt:vector size="12" baseType="lpstr">
      <vt:lpstr>Шахм</vt:lpstr>
      <vt:lpstr>ПрилШахм</vt:lpstr>
      <vt:lpstr>ТС_ППС</vt:lpstr>
      <vt:lpstr>ТС</vt:lpstr>
      <vt:lpstr>UP133</vt:lpstr>
      <vt:lpstr>ТитЛист</vt:lpstr>
      <vt:lpstr>'UP133'!База_данных</vt:lpstr>
      <vt:lpstr>'UP133'!Заголовки_для_печати</vt:lpstr>
      <vt:lpstr>ПрилШахм!Область_печати</vt:lpstr>
      <vt:lpstr>ТС!Область_печати</vt:lpstr>
      <vt:lpstr>ТС_ППС!Область_печати</vt:lpstr>
      <vt:lpstr>Шахм!Область_печати</vt:lpstr>
    </vt:vector>
  </TitlesOfParts>
  <Company>ETU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Nazarov</dc:creator>
  <cp:lastModifiedBy>Scvere</cp:lastModifiedBy>
  <cp:lastPrinted>2011-05-12T11:00:51Z</cp:lastPrinted>
  <dcterms:created xsi:type="dcterms:W3CDTF">2003-10-10T07:27:05Z</dcterms:created>
  <dcterms:modified xsi:type="dcterms:W3CDTF">2011-09-19T11:59:13Z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oogle.Documents.Tracking">
    <vt:lpwstr>true</vt:lpwstr>
  </property>
  <property fmtid="{D5CDD505-2E9C-101B-9397-08002B2CF9AE}" pid="3" name="Google.Documents.DocumentId">
    <vt:lpwstr>1-Zdn7kCd0_9EHcEMBd6VlQ_GEWbg54dyPv0JAoz4ii0</vt:lpwstr>
  </property>
  <property fmtid="{D5CDD505-2E9C-101B-9397-08002B2CF9AE}" pid="4" name="Google.Documents.RevisionId">
    <vt:lpwstr>09511994927964917318</vt:lpwstr>
  </property>
  <property fmtid="{D5CDD505-2E9C-101B-9397-08002B2CF9AE}" pid="5" name="Google.Documents.PreviousRevisionId">
    <vt:lpwstr>04912059785197446499</vt:lpwstr>
  </property>
  <property fmtid="{D5CDD505-2E9C-101B-9397-08002B2CF9AE}" pid="6" name="Google.Documents.PluginVersion">
    <vt:lpwstr>2.0.2154.5604</vt:lpwstr>
  </property>
  <property fmtid="{D5CDD505-2E9C-101B-9397-08002B2CF9AE}" pid="7" name="Google.Documents.MergeIncapabilityFlags">
    <vt:i4>0</vt:i4>
  </property>
</Properties>
</file>