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C:\Users\steed\Desktop\王力申\"/>
    </mc:Choice>
  </mc:AlternateContent>
  <xr:revisionPtr revIDLastSave="0" documentId="13_ncr:1_{39C263A8-76C7-4D33-9A7D-C009286A76D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emi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9" i="2" l="1"/>
  <c r="L39" i="2"/>
  <c r="J39" i="2"/>
  <c r="H39" i="2"/>
  <c r="D39" i="2"/>
  <c r="B39" i="2"/>
  <c r="R38" i="2"/>
  <c r="L38" i="2"/>
  <c r="J38" i="2"/>
  <c r="H38" i="2"/>
  <c r="D38" i="2"/>
  <c r="B38" i="2"/>
  <c r="R37" i="2"/>
  <c r="L37" i="2"/>
  <c r="J37" i="2"/>
  <c r="H37" i="2"/>
  <c r="D37" i="2"/>
  <c r="B37" i="2"/>
  <c r="R36" i="2"/>
  <c r="L36" i="2"/>
  <c r="J36" i="2"/>
  <c r="H36" i="2"/>
  <c r="D36" i="2"/>
  <c r="B36" i="2"/>
  <c r="S34" i="2"/>
  <c r="AR34" i="2" s="1"/>
  <c r="N34" i="2"/>
  <c r="K34" i="2"/>
  <c r="I34" i="2"/>
  <c r="F34" i="2"/>
  <c r="E34" i="2"/>
  <c r="C34" i="2"/>
  <c r="S33" i="2"/>
  <c r="V33" i="2" s="1"/>
  <c r="N33" i="2"/>
  <c r="K33" i="2"/>
  <c r="F33" i="2"/>
  <c r="C33" i="2"/>
  <c r="S32" i="2"/>
  <c r="AR32" i="2" s="1"/>
  <c r="N32" i="2"/>
  <c r="K32" i="2"/>
  <c r="I32" i="2"/>
  <c r="F32" i="2"/>
  <c r="C32" i="2"/>
  <c r="S31" i="2"/>
  <c r="V31" i="2" s="1"/>
  <c r="N31" i="2"/>
  <c r="K31" i="2"/>
  <c r="F31" i="2"/>
  <c r="E31" i="2"/>
  <c r="X31" i="2" s="1"/>
  <c r="C31" i="2"/>
  <c r="S30" i="2"/>
  <c r="AR30" i="2" s="1"/>
  <c r="N30" i="2"/>
  <c r="K30" i="2"/>
  <c r="I30" i="2"/>
  <c r="F30" i="2"/>
  <c r="E30" i="2"/>
  <c r="C30" i="2"/>
  <c r="S29" i="2"/>
  <c r="V29" i="2" s="1"/>
  <c r="N29" i="2"/>
  <c r="K29" i="2"/>
  <c r="F29" i="2"/>
  <c r="E29" i="2"/>
  <c r="X29" i="2" s="1"/>
  <c r="C29" i="2"/>
  <c r="S28" i="2"/>
  <c r="N28" i="2"/>
  <c r="K28" i="2"/>
  <c r="AD28" i="2" s="1"/>
  <c r="I28" i="2"/>
  <c r="F28" i="2"/>
  <c r="E28" i="2"/>
  <c r="C28" i="2"/>
  <c r="X27" i="2"/>
  <c r="S27" i="2"/>
  <c r="V27" i="2" s="1"/>
  <c r="N27" i="2"/>
  <c r="K27" i="2"/>
  <c r="F27" i="2"/>
  <c r="E27" i="2"/>
  <c r="AL27" i="2" s="1"/>
  <c r="C27" i="2"/>
  <c r="S26" i="2"/>
  <c r="AR26" i="2" s="1"/>
  <c r="N26" i="2"/>
  <c r="K26" i="2"/>
  <c r="I26" i="2"/>
  <c r="F26" i="2"/>
  <c r="E26" i="2"/>
  <c r="C26" i="2"/>
  <c r="AP25" i="2"/>
  <c r="AD25" i="2"/>
  <c r="S25" i="2"/>
  <c r="N25" i="2"/>
  <c r="K25" i="2"/>
  <c r="AR25" i="2" s="1"/>
  <c r="I25" i="2"/>
  <c r="F25" i="2"/>
  <c r="C25" i="2"/>
  <c r="AD24" i="2"/>
  <c r="S24" i="2"/>
  <c r="N24" i="2"/>
  <c r="K24" i="2"/>
  <c r="AR24" i="2" s="1"/>
  <c r="I24" i="2"/>
  <c r="F24" i="2"/>
  <c r="C24" i="2"/>
  <c r="AJ23" i="2"/>
  <c r="AD23" i="2"/>
  <c r="S23" i="2"/>
  <c r="Q23" i="2"/>
  <c r="O23" i="2"/>
  <c r="N23" i="2"/>
  <c r="M23" i="2"/>
  <c r="K23" i="2"/>
  <c r="AR23" i="2" s="1"/>
  <c r="I23" i="2"/>
  <c r="F23" i="2"/>
  <c r="E23" i="2"/>
  <c r="C23" i="2"/>
  <c r="AD22" i="2"/>
  <c r="V22" i="2"/>
  <c r="S22" i="2"/>
  <c r="Q22" i="2"/>
  <c r="O22" i="2"/>
  <c r="N22" i="2"/>
  <c r="K22" i="2"/>
  <c r="I22" i="2"/>
  <c r="F22" i="2"/>
  <c r="C22" i="2"/>
  <c r="AJ22" i="2" s="1"/>
  <c r="AR21" i="2"/>
  <c r="AJ21" i="2"/>
  <c r="S21" i="2"/>
  <c r="Q21" i="2"/>
  <c r="O21" i="2"/>
  <c r="N21" i="2"/>
  <c r="M21" i="2"/>
  <c r="K21" i="2"/>
  <c r="I21" i="2"/>
  <c r="F21" i="2"/>
  <c r="E21" i="2"/>
  <c r="C21" i="2"/>
  <c r="AD20" i="2"/>
  <c r="V20" i="2"/>
  <c r="S20" i="2"/>
  <c r="Q20" i="2"/>
  <c r="O20" i="2" s="1"/>
  <c r="N20" i="2"/>
  <c r="K20" i="2"/>
  <c r="AR20" i="2" s="1"/>
  <c r="F20" i="2"/>
  <c r="E20" i="2"/>
  <c r="C20" i="2"/>
  <c r="AR19" i="2"/>
  <c r="AJ19" i="2"/>
  <c r="AD19" i="2"/>
  <c r="S19" i="2"/>
  <c r="Q19" i="2"/>
  <c r="N19" i="2"/>
  <c r="M19" i="2"/>
  <c r="K19" i="2"/>
  <c r="I19" i="2"/>
  <c r="F19" i="2"/>
  <c r="E19" i="2"/>
  <c r="C19" i="2"/>
  <c r="S18" i="2"/>
  <c r="Q18" i="2"/>
  <c r="N18" i="2"/>
  <c r="O18" i="2" s="1"/>
  <c r="K18" i="2"/>
  <c r="AR18" i="2" s="1"/>
  <c r="I18" i="2"/>
  <c r="F18" i="2"/>
  <c r="E18" i="2"/>
  <c r="C18" i="2"/>
  <c r="AP17" i="2"/>
  <c r="AJ17" i="2"/>
  <c r="S17" i="2"/>
  <c r="Q17" i="2"/>
  <c r="N17" i="2"/>
  <c r="O17" i="2" s="1"/>
  <c r="K17" i="2"/>
  <c r="AR17" i="2" s="1"/>
  <c r="I17" i="2"/>
  <c r="F17" i="2"/>
  <c r="E17" i="2"/>
  <c r="C17" i="2"/>
  <c r="S16" i="2"/>
  <c r="AR16" i="2" s="1"/>
  <c r="Q16" i="2"/>
  <c r="N16" i="2"/>
  <c r="O16" i="2" s="1"/>
  <c r="K16" i="2"/>
  <c r="I16" i="2"/>
  <c r="F16" i="2"/>
  <c r="C16" i="2"/>
  <c r="AJ16" i="2" s="1"/>
  <c r="AR15" i="2"/>
  <c r="S15" i="2"/>
  <c r="Q15" i="2"/>
  <c r="O15" i="2"/>
  <c r="N15" i="2"/>
  <c r="K15" i="2"/>
  <c r="I15" i="2"/>
  <c r="F15" i="2"/>
  <c r="E15" i="2"/>
  <c r="C15" i="2"/>
  <c r="AJ15" i="2" s="1"/>
  <c r="S14" i="2"/>
  <c r="Q14" i="2"/>
  <c r="N14" i="2"/>
  <c r="O14" i="2" s="1"/>
  <c r="K14" i="2"/>
  <c r="AR14" i="2" s="1"/>
  <c r="I14" i="2"/>
  <c r="F14" i="2"/>
  <c r="E14" i="2"/>
  <c r="C14" i="2"/>
  <c r="AP13" i="2"/>
  <c r="AJ13" i="2"/>
  <c r="S13" i="2"/>
  <c r="Q13" i="2"/>
  <c r="N13" i="2"/>
  <c r="K13" i="2"/>
  <c r="AR13" i="2" s="1"/>
  <c r="I13" i="2"/>
  <c r="F13" i="2"/>
  <c r="E13" i="2"/>
  <c r="C13" i="2"/>
  <c r="X13" i="2" l="1"/>
  <c r="V14" i="2"/>
  <c r="AB14" i="2"/>
  <c r="AD16" i="2"/>
  <c r="X17" i="2"/>
  <c r="AP18" i="2"/>
  <c r="V18" i="2"/>
  <c r="AB18" i="2"/>
  <c r="AL20" i="2"/>
  <c r="X20" i="2"/>
  <c r="AP21" i="2"/>
  <c r="AB21" i="2"/>
  <c r="AP22" i="2"/>
  <c r="AB22" i="2"/>
  <c r="AB23" i="2"/>
  <c r="AP23" i="2"/>
  <c r="AP26" i="2"/>
  <c r="AB26" i="2"/>
  <c r="V28" i="2"/>
  <c r="AJ28" i="2"/>
  <c r="AL30" i="2"/>
  <c r="X30" i="2"/>
  <c r="AL31" i="2"/>
  <c r="AP34" i="2"/>
  <c r="AB34" i="2"/>
  <c r="N38" i="2"/>
  <c r="N36" i="2"/>
  <c r="N39" i="2"/>
  <c r="AD13" i="2"/>
  <c r="AD37" i="2" s="1"/>
  <c r="J9" i="2" s="1"/>
  <c r="AL13" i="2"/>
  <c r="X14" i="2"/>
  <c r="AJ14" i="2"/>
  <c r="AJ37" i="2" s="1"/>
  <c r="B10" i="2" s="1"/>
  <c r="AP14" i="2"/>
  <c r="V15" i="2"/>
  <c r="AB15" i="2"/>
  <c r="AD17" i="2"/>
  <c r="AL17" i="2"/>
  <c r="X18" i="2"/>
  <c r="AJ18" i="2"/>
  <c r="AL19" i="2"/>
  <c r="X19" i="2"/>
  <c r="AT19" i="2"/>
  <c r="AF19" i="2"/>
  <c r="G20" i="2"/>
  <c r="AD21" i="2"/>
  <c r="V21" i="2"/>
  <c r="AB25" i="2"/>
  <c r="V26" i="2"/>
  <c r="AJ26" i="2"/>
  <c r="AD26" i="2"/>
  <c r="AL28" i="2"/>
  <c r="X28" i="2"/>
  <c r="AL29" i="2"/>
  <c r="AP32" i="2"/>
  <c r="AB32" i="2"/>
  <c r="V34" i="2"/>
  <c r="AJ34" i="2"/>
  <c r="AD34" i="2"/>
  <c r="O13" i="2"/>
  <c r="AD14" i="2"/>
  <c r="AL14" i="2"/>
  <c r="X15" i="2"/>
  <c r="AP15" i="2"/>
  <c r="V16" i="2"/>
  <c r="AB16" i="2"/>
  <c r="AD18" i="2"/>
  <c r="AL18" i="2"/>
  <c r="G19" i="2"/>
  <c r="F39" i="2"/>
  <c r="AL21" i="2"/>
  <c r="X21" i="2"/>
  <c r="AT21" i="2"/>
  <c r="AF21" i="2"/>
  <c r="X23" i="2"/>
  <c r="AF23" i="2"/>
  <c r="AT23" i="2"/>
  <c r="AB24" i="2"/>
  <c r="AP24" i="2"/>
  <c r="V25" i="2"/>
  <c r="AJ25" i="2"/>
  <c r="AL26" i="2"/>
  <c r="X26" i="2"/>
  <c r="AP30" i="2"/>
  <c r="AB30" i="2"/>
  <c r="V32" i="2"/>
  <c r="AJ32" i="2"/>
  <c r="AD32" i="2"/>
  <c r="AL34" i="2"/>
  <c r="X34" i="2"/>
  <c r="E24" i="2"/>
  <c r="E22" i="2"/>
  <c r="E25" i="2"/>
  <c r="M34" i="2"/>
  <c r="M33" i="2"/>
  <c r="M32" i="2"/>
  <c r="M31" i="2"/>
  <c r="M30" i="2"/>
  <c r="M29" i="2"/>
  <c r="M28" i="2"/>
  <c r="M27" i="2"/>
  <c r="M26" i="2"/>
  <c r="M25" i="2"/>
  <c r="M24" i="2"/>
  <c r="M22" i="2"/>
  <c r="M18" i="2"/>
  <c r="M17" i="2"/>
  <c r="M16" i="2"/>
  <c r="M15" i="2"/>
  <c r="M14" i="2"/>
  <c r="M13" i="2"/>
  <c r="V13" i="2"/>
  <c r="AB13" i="2"/>
  <c r="AD15" i="2"/>
  <c r="AL15" i="2"/>
  <c r="E16" i="2"/>
  <c r="AP16" i="2"/>
  <c r="V17" i="2"/>
  <c r="AB17" i="2"/>
  <c r="AP19" i="2"/>
  <c r="AB19" i="2"/>
  <c r="O19" i="2"/>
  <c r="M20" i="2"/>
  <c r="AJ20" i="2"/>
  <c r="G22" i="2"/>
  <c r="AR22" i="2"/>
  <c r="G23" i="2"/>
  <c r="AL23" i="2"/>
  <c r="AJ24" i="2"/>
  <c r="V24" i="2"/>
  <c r="AP28" i="2"/>
  <c r="AB28" i="2"/>
  <c r="AR28" i="2"/>
  <c r="V30" i="2"/>
  <c r="AJ30" i="2"/>
  <c r="AD30" i="2"/>
  <c r="E32" i="2"/>
  <c r="E33" i="2"/>
  <c r="F37" i="2"/>
  <c r="G21" i="2" s="1"/>
  <c r="N37" i="2"/>
  <c r="AD27" i="2"/>
  <c r="AD29" i="2"/>
  <c r="AD31" i="2"/>
  <c r="AD33" i="2"/>
  <c r="I33" i="2"/>
  <c r="I31" i="2"/>
  <c r="I29" i="2"/>
  <c r="I27" i="2"/>
  <c r="F38" i="2"/>
  <c r="F36" i="2"/>
  <c r="V19" i="2"/>
  <c r="I20" i="2"/>
  <c r="V23" i="2"/>
  <c r="AJ27" i="2"/>
  <c r="AR27" i="2"/>
  <c r="AR37" i="2" s="1"/>
  <c r="J10" i="2" s="1"/>
  <c r="AJ29" i="2"/>
  <c r="AR29" i="2"/>
  <c r="AJ31" i="2"/>
  <c r="AR31" i="2"/>
  <c r="AJ33" i="2"/>
  <c r="AR33" i="2"/>
  <c r="Q34" i="2"/>
  <c r="O34" i="2" s="1"/>
  <c r="Q33" i="2"/>
  <c r="O33" i="2" s="1"/>
  <c r="Q32" i="2"/>
  <c r="O32" i="2" s="1"/>
  <c r="Q31" i="2"/>
  <c r="O31" i="2" s="1"/>
  <c r="Q30" i="2"/>
  <c r="O30" i="2" s="1"/>
  <c r="Q29" i="2"/>
  <c r="O29" i="2" s="1"/>
  <c r="Q28" i="2"/>
  <c r="O28" i="2" s="1"/>
  <c r="Q27" i="2"/>
  <c r="O27" i="2" s="1"/>
  <c r="Q26" i="2"/>
  <c r="O26" i="2" s="1"/>
  <c r="Q25" i="2"/>
  <c r="O25" i="2" s="1"/>
  <c r="Q24" i="2"/>
  <c r="O24" i="2" s="1"/>
  <c r="P29" i="2" l="1"/>
  <c r="Z21" i="2"/>
  <c r="AN21" i="2"/>
  <c r="AP37" i="2"/>
  <c r="H10" i="2" s="1"/>
  <c r="P19" i="2"/>
  <c r="AS13" i="2"/>
  <c r="AT13" i="2"/>
  <c r="AF13" i="2"/>
  <c r="AS25" i="2"/>
  <c r="AF25" i="2"/>
  <c r="AT25" i="2"/>
  <c r="AT33" i="2"/>
  <c r="AF33" i="2"/>
  <c r="O38" i="2"/>
  <c r="O39" i="2"/>
  <c r="O37" i="2"/>
  <c r="P13" i="2"/>
  <c r="O36" i="2"/>
  <c r="Z20" i="2"/>
  <c r="AN20" i="2"/>
  <c r="Z22" i="2"/>
  <c r="AN22" i="2"/>
  <c r="V37" i="2"/>
  <c r="B9" i="2" s="1"/>
  <c r="AF14" i="2"/>
  <c r="AT14" i="2"/>
  <c r="AT30" i="2"/>
  <c r="AF30" i="2"/>
  <c r="P26" i="2"/>
  <c r="P30" i="2"/>
  <c r="AS30" i="2" s="1"/>
  <c r="P34" i="2"/>
  <c r="AS34" i="2" s="1"/>
  <c r="Q39" i="2"/>
  <c r="AB29" i="2"/>
  <c r="AP29" i="2"/>
  <c r="AL33" i="2"/>
  <c r="X33" i="2"/>
  <c r="AT15" i="2"/>
  <c r="AF15" i="2"/>
  <c r="AT22" i="2"/>
  <c r="AF22" i="2"/>
  <c r="AT27" i="2"/>
  <c r="AF27" i="2"/>
  <c r="AT31" i="2"/>
  <c r="AF31" i="2"/>
  <c r="AL25" i="2"/>
  <c r="X25" i="2"/>
  <c r="P28" i="2"/>
  <c r="AB33" i="2"/>
  <c r="AP33" i="2"/>
  <c r="Q36" i="2"/>
  <c r="AT17" i="2"/>
  <c r="AF17" i="2"/>
  <c r="AS29" i="2"/>
  <c r="AE29" i="2"/>
  <c r="AT29" i="2"/>
  <c r="AF29" i="2"/>
  <c r="AL24" i="2"/>
  <c r="X24" i="2"/>
  <c r="AN19" i="2"/>
  <c r="AM19" i="2"/>
  <c r="Z19" i="2"/>
  <c r="P25" i="2"/>
  <c r="Q37" i="2"/>
  <c r="AB27" i="2"/>
  <c r="AP27" i="2"/>
  <c r="Z23" i="2"/>
  <c r="AN23" i="2"/>
  <c r="AT20" i="2"/>
  <c r="AF20" i="2"/>
  <c r="X16" i="2"/>
  <c r="AL16" i="2"/>
  <c r="AL37" i="2" s="1"/>
  <c r="D10" i="2" s="1"/>
  <c r="AT18" i="2"/>
  <c r="AF18" i="2"/>
  <c r="AS26" i="2"/>
  <c r="AE26" i="2"/>
  <c r="AT26" i="2"/>
  <c r="AF26" i="2"/>
  <c r="AE34" i="2"/>
  <c r="AT34" i="2"/>
  <c r="AF34" i="2"/>
  <c r="P31" i="2"/>
  <c r="AP20" i="2"/>
  <c r="AB20" i="2"/>
  <c r="AB31" i="2"/>
  <c r="AB37" i="2" s="1"/>
  <c r="H9" i="2" s="1"/>
  <c r="AP31" i="2"/>
  <c r="G34" i="2"/>
  <c r="G32" i="2"/>
  <c r="G30" i="2"/>
  <c r="G28" i="2"/>
  <c r="G26" i="2"/>
  <c r="G33" i="2"/>
  <c r="G31" i="2"/>
  <c r="G29" i="2"/>
  <c r="G27" i="2"/>
  <c r="G18" i="2"/>
  <c r="G14" i="2"/>
  <c r="G17" i="2"/>
  <c r="G13" i="2"/>
  <c r="G24" i="2"/>
  <c r="G16" i="2"/>
  <c r="G25" i="2"/>
  <c r="G15" i="2"/>
  <c r="AL32" i="2"/>
  <c r="X32" i="2"/>
  <c r="X37" i="2" s="1"/>
  <c r="D9" i="2" s="1"/>
  <c r="AT16" i="2"/>
  <c r="AF16" i="2"/>
  <c r="AF24" i="2"/>
  <c r="AT24" i="2"/>
  <c r="AE28" i="2"/>
  <c r="AT28" i="2"/>
  <c r="AF28" i="2"/>
  <c r="AT32" i="2"/>
  <c r="AF32" i="2"/>
  <c r="AL22" i="2"/>
  <c r="X22" i="2"/>
  <c r="Q38" i="2"/>
  <c r="AN16" i="2" l="1"/>
  <c r="Z16" i="2"/>
  <c r="Y16" i="2"/>
  <c r="AN31" i="2"/>
  <c r="Z31" i="2"/>
  <c r="Z18" i="2"/>
  <c r="AN18" i="2"/>
  <c r="AA25" i="2"/>
  <c r="U25" i="2"/>
  <c r="AC25" i="2"/>
  <c r="AQ25" i="2"/>
  <c r="AI25" i="2"/>
  <c r="AO25" i="2"/>
  <c r="AE30" i="2"/>
  <c r="AF37" i="2"/>
  <c r="L9" i="2" s="1"/>
  <c r="AC19" i="2"/>
  <c r="U19" i="2"/>
  <c r="AQ19" i="2"/>
  <c r="AO19" i="2"/>
  <c r="AE19" i="2"/>
  <c r="W19" i="2"/>
  <c r="AA19" i="2"/>
  <c r="AK19" i="2"/>
  <c r="AI19" i="2"/>
  <c r="AS19" i="2"/>
  <c r="AQ29" i="2"/>
  <c r="AC29" i="2"/>
  <c r="AM14" i="2"/>
  <c r="Z14" i="2"/>
  <c r="AN14" i="2"/>
  <c r="AN30" i="2"/>
  <c r="Z30" i="2"/>
  <c r="AQ34" i="2"/>
  <c r="AC34" i="2"/>
  <c r="AN33" i="2"/>
  <c r="Z33" i="2"/>
  <c r="AQ31" i="2"/>
  <c r="AC31" i="2"/>
  <c r="AE31" i="2"/>
  <c r="AK25" i="2"/>
  <c r="P20" i="2"/>
  <c r="P22" i="2"/>
  <c r="P21" i="2"/>
  <c r="P15" i="2"/>
  <c r="P16" i="2"/>
  <c r="P23" i="2"/>
  <c r="P18" i="2"/>
  <c r="P14" i="2"/>
  <c r="P17" i="2"/>
  <c r="AT37" i="2"/>
  <c r="L10" i="2" s="1"/>
  <c r="P32" i="2"/>
  <c r="P27" i="2"/>
  <c r="Z24" i="2"/>
  <c r="Y24" i="2"/>
  <c r="AN24" i="2"/>
  <c r="AN32" i="2"/>
  <c r="Z32" i="2"/>
  <c r="W25" i="2"/>
  <c r="AQ30" i="2"/>
  <c r="AC30" i="2"/>
  <c r="U13" i="2"/>
  <c r="AC13" i="2"/>
  <c r="AO13" i="2"/>
  <c r="AI13" i="2"/>
  <c r="AK13" i="2"/>
  <c r="AQ13" i="2"/>
  <c r="AA13" i="2"/>
  <c r="W13" i="2"/>
  <c r="Y15" i="2"/>
  <c r="AN15" i="2"/>
  <c r="AM15" i="2"/>
  <c r="Z15" i="2"/>
  <c r="AN13" i="2"/>
  <c r="AM13" i="2"/>
  <c r="Z13" i="2"/>
  <c r="Y13" i="2"/>
  <c r="AN27" i="2"/>
  <c r="Z27" i="2"/>
  <c r="AN26" i="2"/>
  <c r="Z26" i="2"/>
  <c r="AN34" i="2"/>
  <c r="Z34" i="2"/>
  <c r="Y19" i="2"/>
  <c r="AQ28" i="2"/>
  <c r="AC28" i="2"/>
  <c r="AS31" i="2"/>
  <c r="AQ26" i="2"/>
  <c r="AC26" i="2"/>
  <c r="AS28" i="2"/>
  <c r="AM25" i="2"/>
  <c r="Z25" i="2"/>
  <c r="AN25" i="2"/>
  <c r="Y25" i="2"/>
  <c r="AN17" i="2"/>
  <c r="AM17" i="2"/>
  <c r="Z17" i="2"/>
  <c r="Y17" i="2"/>
  <c r="AN29" i="2"/>
  <c r="Z29" i="2"/>
  <c r="AN28" i="2"/>
  <c r="Z28" i="2"/>
  <c r="AE25" i="2"/>
  <c r="AE13" i="2"/>
  <c r="P24" i="2"/>
  <c r="AM24" i="2" s="1"/>
  <c r="P33" i="2"/>
  <c r="AK18" i="2" l="1"/>
  <c r="AA18" i="2"/>
  <c r="U18" i="2"/>
  <c r="AO18" i="2"/>
  <c r="AI18" i="2"/>
  <c r="W18" i="2"/>
  <c r="AQ18" i="2"/>
  <c r="AC18" i="2"/>
  <c r="AS18" i="2"/>
  <c r="AE18" i="2"/>
  <c r="AS21" i="2"/>
  <c r="U21" i="2"/>
  <c r="AI21" i="2"/>
  <c r="AC21" i="2"/>
  <c r="AK21" i="2"/>
  <c r="AE21" i="2"/>
  <c r="AA21" i="2"/>
  <c r="AQ21" i="2"/>
  <c r="AO21" i="2"/>
  <c r="W21" i="2"/>
  <c r="AM21" i="2"/>
  <c r="Y21" i="2"/>
  <c r="AN37" i="2"/>
  <c r="F10" i="2" s="1"/>
  <c r="AO22" i="2"/>
  <c r="AA22" i="2"/>
  <c r="AQ22" i="2"/>
  <c r="AC22" i="2"/>
  <c r="AI22" i="2"/>
  <c r="U22" i="2"/>
  <c r="AS22" i="2"/>
  <c r="Y22" i="2"/>
  <c r="W22" i="2"/>
  <c r="AM22" i="2"/>
  <c r="AE22" i="2"/>
  <c r="AK22" i="2"/>
  <c r="U17" i="2"/>
  <c r="AC17" i="2"/>
  <c r="AI17" i="2"/>
  <c r="AK17" i="2"/>
  <c r="AO17" i="2"/>
  <c r="AQ17" i="2"/>
  <c r="W17" i="2"/>
  <c r="W37" i="2" s="1"/>
  <c r="D7" i="2" s="1"/>
  <c r="AA17" i="2"/>
  <c r="AS17" i="2"/>
  <c r="AE17" i="2"/>
  <c r="U16" i="2"/>
  <c r="AQ16" i="2"/>
  <c r="AC16" i="2"/>
  <c r="AO16" i="2"/>
  <c r="AI16" i="2"/>
  <c r="AA16" i="2"/>
  <c r="AS16" i="2"/>
  <c r="AE16" i="2"/>
  <c r="AK16" i="2"/>
  <c r="W16" i="2"/>
  <c r="AI20" i="2"/>
  <c r="AC20" i="2"/>
  <c r="W20" i="2"/>
  <c r="AQ20" i="2"/>
  <c r="U20" i="2"/>
  <c r="AK20" i="2"/>
  <c r="AM20" i="2"/>
  <c r="AE20" i="2"/>
  <c r="AA20" i="2"/>
  <c r="AS20" i="2"/>
  <c r="Y20" i="2"/>
  <c r="AO20" i="2"/>
  <c r="AM16" i="2"/>
  <c r="AM37" i="2" s="1"/>
  <c r="F8" i="2" s="1"/>
  <c r="AQ32" i="2"/>
  <c r="AC32" i="2"/>
  <c r="AS32" i="2"/>
  <c r="AE32" i="2"/>
  <c r="AQ33" i="2"/>
  <c r="AC33" i="2"/>
  <c r="AE33" i="2"/>
  <c r="AS33" i="2"/>
  <c r="AC23" i="2"/>
  <c r="U23" i="2"/>
  <c r="AQ23" i="2"/>
  <c r="AE23" i="2"/>
  <c r="W23" i="2"/>
  <c r="AA23" i="2"/>
  <c r="AI23" i="2"/>
  <c r="AK23" i="2"/>
  <c r="AK37" i="2" s="1"/>
  <c r="D8" i="2" s="1"/>
  <c r="AO23" i="2"/>
  <c r="AS23" i="2"/>
  <c r="Y23" i="2"/>
  <c r="AM23" i="2"/>
  <c r="AM18" i="2"/>
  <c r="AC24" i="2"/>
  <c r="AO24" i="2"/>
  <c r="U24" i="2"/>
  <c r="AI24" i="2"/>
  <c r="AQ24" i="2"/>
  <c r="AA24" i="2"/>
  <c r="AS24" i="2"/>
  <c r="AE24" i="2"/>
  <c r="AK24" i="2"/>
  <c r="W24" i="2"/>
  <c r="AE37" i="2"/>
  <c r="L7" i="2" s="1"/>
  <c r="Z37" i="2"/>
  <c r="F9" i="2" s="1"/>
  <c r="AQ27" i="2"/>
  <c r="AC27" i="2"/>
  <c r="AS27" i="2"/>
  <c r="AE27" i="2"/>
  <c r="AA14" i="2"/>
  <c r="AA37" i="2" s="1"/>
  <c r="H7" i="2" s="1"/>
  <c r="U14" i="2"/>
  <c r="U37" i="2" s="1"/>
  <c r="B7" i="2" s="1"/>
  <c r="AQ14" i="2"/>
  <c r="AC14" i="2"/>
  <c r="AC37" i="2" s="1"/>
  <c r="J7" i="2" s="1"/>
  <c r="AO14" i="2"/>
  <c r="AO37" i="2" s="1"/>
  <c r="H8" i="2" s="1"/>
  <c r="AI14" i="2"/>
  <c r="AI37" i="2" s="1"/>
  <c r="B8" i="2" s="1"/>
  <c r="AK14" i="2"/>
  <c r="W14" i="2"/>
  <c r="AS14" i="2"/>
  <c r="AS37" i="2" s="1"/>
  <c r="L8" i="2" s="1"/>
  <c r="AE14" i="2"/>
  <c r="U15" i="2"/>
  <c r="AO15" i="2"/>
  <c r="AI15" i="2"/>
  <c r="W15" i="2"/>
  <c r="AK15" i="2"/>
  <c r="AQ15" i="2"/>
  <c r="AQ37" i="2" s="1"/>
  <c r="J8" i="2" s="1"/>
  <c r="AA15" i="2"/>
  <c r="AC15" i="2"/>
  <c r="AS15" i="2"/>
  <c r="AE15" i="2"/>
  <c r="Y14" i="2"/>
  <c r="Y37" i="2" s="1"/>
  <c r="F7" i="2" s="1"/>
  <c r="Y18" i="2"/>
</calcChain>
</file>

<file path=xl/sharedStrings.xml><?xml version="1.0" encoding="utf-8"?>
<sst xmlns="http://schemas.openxmlformats.org/spreadsheetml/2006/main" count="119" uniqueCount="54">
  <si>
    <t>Total</t>
  </si>
  <si>
    <t>https://rady.ucsd.edu/people/faculty/markowitz/</t>
  </si>
  <si>
    <t>Forest Coverage (2014)</t>
  </si>
  <si>
    <t>intermediate calculation results：</t>
  </si>
  <si>
    <t>upper</t>
  </si>
  <si>
    <t>forest</t>
  </si>
  <si>
    <t>covid</t>
  </si>
  <si>
    <t>down</t>
  </si>
  <si>
    <t>pesticides</t>
  </si>
  <si>
    <t>precipitation</t>
  </si>
  <si>
    <t>diff</t>
  </si>
  <si>
    <t>adjusted</t>
  </si>
  <si>
    <t>Brazil</t>
  </si>
  <si>
    <t>Canada</t>
  </si>
  <si>
    <t>China</t>
  </si>
  <si>
    <t>France</t>
  </si>
  <si>
    <t>Germany</t>
  </si>
  <si>
    <t>India</t>
  </si>
  <si>
    <t>Japan</t>
  </si>
  <si>
    <t>Malaysia</t>
  </si>
  <si>
    <t>Papua New Guinea</t>
  </si>
  <si>
    <t>Russia</t>
  </si>
  <si>
    <t>South Africa</t>
  </si>
  <si>
    <t>USA</t>
  </si>
  <si>
    <t>UK</t>
  </si>
  <si>
    <t>Peru</t>
  </si>
  <si>
    <t>Australia</t>
  </si>
  <si>
    <t>Argentina</t>
  </si>
  <si>
    <t>Italy</t>
  </si>
  <si>
    <t>Indonesia</t>
  </si>
  <si>
    <t>Mexico</t>
  </si>
  <si>
    <t>Saudi Arabia</t>
  </si>
  <si>
    <t>South Korea</t>
  </si>
  <si>
    <t>Turkey</t>
  </si>
  <si>
    <t>Average</t>
  </si>
  <si>
    <t>Std</t>
  </si>
  <si>
    <t>min</t>
  </si>
  <si>
    <t xml:space="preserve"> </t>
  </si>
  <si>
    <t>This spread sheet uses semi correlation coefficient to analysis COVID-19 toll related to forest health scientist and dog economy consensus.</t>
  </si>
  <si>
    <t>Country</t>
  </si>
  <si>
    <t>GDP（2020）</t>
  </si>
  <si>
    <t>COVID-19 Toll Recovery Ratio(2021)</t>
  </si>
  <si>
    <t>Life Span (2015)</t>
  </si>
  <si>
    <t>Pesticide</t>
  </si>
  <si>
    <t>Precipitation</t>
  </si>
  <si>
    <t>Nobel Scientist (2017)</t>
  </si>
  <si>
    <t>Pet Ownership (2016)</t>
  </si>
  <si>
    <t>gdp</t>
  </si>
  <si>
    <t>life</t>
  </si>
  <si>
    <t>nobel</t>
  </si>
  <si>
    <t>pet</t>
  </si>
  <si>
    <t>spray</t>
  </si>
  <si>
    <t>rain</t>
  </si>
  <si>
    <t>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</si>
</sst>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0"/>
    <numFmt numFmtId="165" formatCode="0.0"/>
    <numFmt numFmtId="166" formatCode="0.0000"/>
    <numFmt numFmtId="167" formatCode="_(* #,##0_);_(* \(#,##0\);_(* &quot;-&quot;??_);_(@_)"/>
  </numFmts>
  <fonts count="38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C00000"/>
      <name val="Calibri"/>
      <charset val="134"/>
      <scheme val="minor"/>
    </font>
    <font>
      <sz val="12"/>
      <color rgb="FF7030A0"/>
      <name val="Calibri"/>
      <charset val="134"/>
      <scheme val="minor"/>
    </font>
    <font>
      <sz val="12"/>
      <color theme="3"/>
      <name val="Calibri"/>
      <charset val="134"/>
      <scheme val="minor"/>
    </font>
    <font>
      <sz val="12"/>
      <color theme="9" tint="-0.499984740745262"/>
      <name val="Calibri"/>
      <charset val="134"/>
      <scheme val="minor"/>
    </font>
    <font>
      <sz val="12"/>
      <color theme="5" tint="-0.499984740745262"/>
      <name val="Calibri"/>
      <charset val="134"/>
      <scheme val="minor"/>
    </font>
    <font>
      <sz val="12"/>
      <color rgb="FFFF0000"/>
      <name val="Calibri"/>
      <charset val="134"/>
      <scheme val="minor"/>
    </font>
    <font>
      <sz val="12"/>
      <color rgb="FF0070C0"/>
      <name val="Calibri"/>
      <charset val="134"/>
      <scheme val="minor"/>
    </font>
    <font>
      <sz val="12"/>
      <color theme="8" tint="-0.499984740745262"/>
      <name val="Calibri"/>
      <charset val="134"/>
      <scheme val="minor"/>
    </font>
    <font>
      <b/>
      <i/>
      <sz val="12"/>
      <color rgb="FF0000FF"/>
      <name val="Calibri"/>
      <charset val="134"/>
      <scheme val="minor"/>
    </font>
    <font>
      <sz val="12"/>
      <color rgb="FF00B05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i/>
      <sz val="12"/>
      <color rgb="FFC00000"/>
      <name val="Calibri"/>
      <charset val="134"/>
      <scheme val="minor"/>
    </font>
    <font>
      <b/>
      <sz val="12"/>
      <color rgb="FFC00000"/>
      <name val="Calibri"/>
      <charset val="134"/>
      <scheme val="minor"/>
    </font>
    <font>
      <b/>
      <sz val="12"/>
      <color rgb="FF00B050"/>
      <name val="Arial"/>
      <charset val="134"/>
    </font>
    <font>
      <b/>
      <sz val="12"/>
      <color rgb="FF262626"/>
      <name val="Arial"/>
      <charset val="134"/>
    </font>
    <font>
      <sz val="12"/>
      <color rgb="FFC00000"/>
      <name val="Arial"/>
      <charset val="134"/>
    </font>
    <font>
      <b/>
      <sz val="12"/>
      <color rgb="FF7030A0"/>
      <name val="Arial"/>
      <charset val="134"/>
    </font>
    <font>
      <b/>
      <sz val="12"/>
      <color rgb="FFFF0000"/>
      <name val="Arial"/>
      <charset val="134"/>
    </font>
    <font>
      <sz val="12"/>
      <name val="Calibri"/>
      <charset val="134"/>
      <scheme val="minor"/>
    </font>
    <font>
      <b/>
      <i/>
      <sz val="12"/>
      <color rgb="FF7030A0"/>
      <name val="Calibri"/>
      <charset val="134"/>
      <scheme val="minor"/>
    </font>
    <font>
      <b/>
      <sz val="12"/>
      <color rgb="FF7030A0"/>
      <name val="Calibri"/>
      <charset val="134"/>
      <scheme val="minor"/>
    </font>
    <font>
      <sz val="12"/>
      <color rgb="FF7030A0"/>
      <name val="Arial"/>
      <charset val="134"/>
    </font>
    <font>
      <sz val="12"/>
      <color rgb="FF00B050"/>
      <name val="Arial"/>
      <charset val="134"/>
    </font>
    <font>
      <sz val="12"/>
      <color theme="7" tint="-0.499984740745262"/>
      <name val="Calibri"/>
      <charset val="134"/>
      <scheme val="minor"/>
    </font>
    <font>
      <b/>
      <i/>
      <sz val="12"/>
      <color theme="5" tint="-0.499984740745262"/>
      <name val="Calibri"/>
      <charset val="134"/>
      <scheme val="minor"/>
    </font>
    <font>
      <b/>
      <i/>
      <sz val="12"/>
      <color theme="3"/>
      <name val="Calibri"/>
      <charset val="134"/>
      <scheme val="minor"/>
    </font>
    <font>
      <b/>
      <sz val="12"/>
      <color theme="3"/>
      <name val="Calibri"/>
      <charset val="134"/>
      <scheme val="minor"/>
    </font>
    <font>
      <b/>
      <sz val="12"/>
      <color theme="5" tint="-0.499984740745262"/>
      <name val="Calibri"/>
      <charset val="134"/>
      <scheme val="minor"/>
    </font>
    <font>
      <sz val="12"/>
      <color theme="9" tint="-0.499984740745262"/>
      <name val="Arial"/>
      <charset val="134"/>
    </font>
    <font>
      <sz val="11"/>
      <color theme="5" tint="-0.499984740745262"/>
      <name val="Calibri"/>
      <charset val="134"/>
      <scheme val="minor"/>
    </font>
    <font>
      <sz val="12"/>
      <color theme="2" tint="-0.749992370372631"/>
      <name val="Calibri"/>
      <charset val="134"/>
      <scheme val="minor"/>
    </font>
    <font>
      <sz val="12"/>
      <color theme="5" tint="-0.499984740745262"/>
      <name val="Arial"/>
      <charset val="134"/>
    </font>
    <font>
      <sz val="12"/>
      <color rgb="FF0070C0"/>
      <name val="Arial"/>
      <charset val="134"/>
    </font>
    <font>
      <sz val="12"/>
      <color rgb="FFFF0000"/>
      <name val="Arial"/>
      <charset val="134"/>
    </font>
    <font>
      <sz val="12"/>
      <color theme="8" tint="-0.499984740745262"/>
      <name val="Arial"/>
      <charset val="134"/>
    </font>
    <font>
      <sz val="11"/>
      <color theme="1"/>
      <name val="Calibri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4F4F4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FF99FF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FFFFFF"/>
      </left>
      <right style="medium">
        <color rgb="FFDDDDDD"/>
      </right>
      <top style="medium">
        <color rgb="FFDDDDDD"/>
      </top>
      <bottom/>
      <diagonal/>
    </border>
    <border>
      <left/>
      <right/>
      <top style="medium">
        <color rgb="FFFFFFFF"/>
      </top>
      <bottom/>
      <diagonal/>
    </border>
    <border>
      <left/>
      <right/>
      <top style="medium">
        <color rgb="FFDDDDDD"/>
      </top>
      <bottom/>
      <diagonal/>
    </border>
    <border>
      <left style="medium">
        <color rgb="FFFFFFFF"/>
      </left>
      <right style="medium">
        <color rgb="FFDDDDDD"/>
      </right>
      <top style="medium">
        <color rgb="FFFFFFFF"/>
      </top>
      <bottom/>
      <diagonal/>
    </border>
    <border>
      <left style="medium">
        <color rgb="FFDDDDDD"/>
      </left>
      <right style="medium">
        <color rgb="FFFFFFFF"/>
      </right>
      <top style="medium">
        <color rgb="FFDDDDDD"/>
      </top>
      <bottom/>
      <diagonal/>
    </border>
    <border>
      <left style="medium">
        <color rgb="FFDDDDDD"/>
      </left>
      <right style="medium">
        <color rgb="FFFFFFFF"/>
      </right>
      <top style="medium">
        <color rgb="FFFFFFFF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37" fillId="0" borderId="0" applyFont="0" applyFill="0" applyBorder="0" applyAlignment="0" applyProtection="0"/>
    <xf numFmtId="43" fontId="37" fillId="0" borderId="0" applyFont="0" applyFill="0" applyBorder="0" applyAlignment="0" applyProtection="0"/>
  </cellStyleXfs>
  <cellXfs count="115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7" fontId="1" fillId="0" borderId="0" xfId="2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9" fontId="2" fillId="0" borderId="2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9" fontId="13" fillId="0" borderId="0" xfId="0" applyNumberFormat="1" applyFont="1" applyBorder="1" applyAlignment="1">
      <alignment horizontal="center"/>
    </xf>
    <xf numFmtId="9" fontId="2" fillId="0" borderId="0" xfId="0" applyNumberFormat="1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9" fontId="14" fillId="0" borderId="0" xfId="1" applyFont="1" applyBorder="1" applyAlignment="1">
      <alignment horizontal="center"/>
    </xf>
    <xf numFmtId="9" fontId="2" fillId="0" borderId="0" xfId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9" fontId="2" fillId="0" borderId="5" xfId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9" fontId="2" fillId="0" borderId="0" xfId="1" applyFont="1" applyAlignment="1">
      <alignment horizontal="center"/>
    </xf>
    <xf numFmtId="0" fontId="15" fillId="2" borderId="6" xfId="0" applyFont="1" applyFill="1" applyBorder="1" applyAlignment="1">
      <alignment horizontal="center" vertical="top" wrapText="1"/>
    </xf>
    <xf numFmtId="0" fontId="16" fillId="2" borderId="7" xfId="0" applyFont="1" applyFill="1" applyBorder="1" applyAlignment="1">
      <alignment horizontal="center" vertical="top" wrapText="1"/>
    </xf>
    <xf numFmtId="165" fontId="17" fillId="2" borderId="8" xfId="0" applyNumberFormat="1" applyFont="1" applyFill="1" applyBorder="1" applyAlignment="1">
      <alignment horizontal="center" vertical="top" wrapText="1"/>
    </xf>
    <xf numFmtId="0" fontId="17" fillId="3" borderId="7" xfId="0" applyFont="1" applyFill="1" applyBorder="1" applyAlignment="1">
      <alignment horizontal="center" vertical="top" wrapText="1"/>
    </xf>
    <xf numFmtId="0" fontId="16" fillId="3" borderId="9" xfId="0" applyFont="1" applyFill="1" applyBorder="1" applyAlignment="1">
      <alignment horizontal="center" vertical="top" wrapText="1"/>
    </xf>
    <xf numFmtId="0" fontId="18" fillId="2" borderId="9" xfId="0" applyFont="1" applyFill="1" applyBorder="1" applyAlignment="1">
      <alignment horizontal="center" vertical="top" wrapText="1"/>
    </xf>
    <xf numFmtId="0" fontId="15" fillId="3" borderId="9" xfId="0" applyFont="1" applyFill="1" applyBorder="1" applyAlignment="1">
      <alignment horizontal="center" vertical="top" wrapText="1"/>
    </xf>
    <xf numFmtId="0" fontId="19" fillId="3" borderId="9" xfId="0" applyFont="1" applyFill="1" applyBorder="1" applyAlignment="1">
      <alignment horizontal="center" vertical="top" wrapText="1"/>
    </xf>
    <xf numFmtId="165" fontId="20" fillId="0" borderId="0" xfId="0" applyNumberFormat="1" applyFont="1" applyAlignment="1">
      <alignment horizontal="center"/>
    </xf>
    <xf numFmtId="0" fontId="1" fillId="4" borderId="0" xfId="0" applyFont="1" applyFill="1" applyAlignment="1">
      <alignment horizontal="left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3" fillId="0" borderId="0" xfId="0" applyFont="1" applyAlignment="1">
      <alignment horizontal="left"/>
    </xf>
    <xf numFmtId="9" fontId="3" fillId="0" borderId="2" xfId="0" applyNumberFormat="1" applyFont="1" applyBorder="1" applyAlignment="1">
      <alignment horizontal="center"/>
    </xf>
    <xf numFmtId="9" fontId="21" fillId="0" borderId="0" xfId="0" applyNumberFormat="1" applyFont="1" applyBorder="1" applyAlignment="1">
      <alignment horizontal="center"/>
    </xf>
    <xf numFmtId="9" fontId="22" fillId="0" borderId="0" xfId="0" applyNumberFormat="1" applyFont="1" applyBorder="1" applyAlignment="1">
      <alignment horizontal="center"/>
    </xf>
    <xf numFmtId="9" fontId="3" fillId="0" borderId="5" xfId="0" applyNumberFormat="1" applyFont="1" applyBorder="1" applyAlignment="1">
      <alignment horizontal="center"/>
    </xf>
    <xf numFmtId="9" fontId="3" fillId="0" borderId="0" xfId="0" applyNumberFormat="1" applyFont="1" applyBorder="1" applyAlignment="1">
      <alignment horizontal="center"/>
    </xf>
    <xf numFmtId="0" fontId="17" fillId="2" borderId="8" xfId="0" applyFont="1" applyFill="1" applyBorder="1" applyAlignment="1">
      <alignment horizontal="center" vertical="top" wrapText="1"/>
    </xf>
    <xf numFmtId="166" fontId="17" fillId="2" borderId="8" xfId="0" applyNumberFormat="1" applyFont="1" applyFill="1" applyBorder="1" applyAlignment="1">
      <alignment horizontal="center" vertical="top" wrapText="1"/>
    </xf>
    <xf numFmtId="0" fontId="23" fillId="2" borderId="10" xfId="0" applyFont="1" applyFill="1" applyBorder="1" applyAlignment="1">
      <alignment horizontal="center" vertical="top" wrapText="1"/>
    </xf>
    <xf numFmtId="0" fontId="23" fillId="3" borderId="11" xfId="0" applyFont="1" applyFill="1" applyBorder="1" applyAlignment="1">
      <alignment horizontal="center" vertical="top" wrapText="1"/>
    </xf>
    <xf numFmtId="166" fontId="24" fillId="2" borderId="8" xfId="0" applyNumberFormat="1" applyFont="1" applyFill="1" applyBorder="1" applyAlignment="1">
      <alignment horizontal="center" vertical="top" wrapText="1"/>
    </xf>
    <xf numFmtId="0" fontId="23" fillId="2" borderId="11" xfId="0" applyFont="1" applyFill="1" applyBorder="1" applyAlignment="1">
      <alignment horizontal="center" vertical="top" wrapText="1"/>
    </xf>
    <xf numFmtId="0" fontId="23" fillId="5" borderId="11" xfId="0" applyFont="1" applyFill="1" applyBorder="1" applyAlignment="1">
      <alignment horizontal="center" vertical="top" wrapText="1"/>
    </xf>
    <xf numFmtId="164" fontId="20" fillId="0" borderId="0" xfId="0" applyNumberFormat="1" applyFont="1" applyAlignment="1">
      <alignment horizontal="center"/>
    </xf>
    <xf numFmtId="0" fontId="25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7" fontId="1" fillId="0" borderId="0" xfId="2" applyNumberFormat="1" applyFont="1" applyAlignment="1">
      <alignment horizontal="left"/>
    </xf>
    <xf numFmtId="167" fontId="6" fillId="0" borderId="0" xfId="2" applyNumberFormat="1" applyFont="1" applyAlignment="1">
      <alignment horizontal="center"/>
    </xf>
    <xf numFmtId="9" fontId="4" fillId="0" borderId="2" xfId="0" applyNumberFormat="1" applyFont="1" applyBorder="1" applyAlignment="1">
      <alignment horizontal="center"/>
    </xf>
    <xf numFmtId="9" fontId="5" fillId="0" borderId="2" xfId="0" applyNumberFormat="1" applyFont="1" applyBorder="1" applyAlignment="1">
      <alignment horizontal="center"/>
    </xf>
    <xf numFmtId="9" fontId="26" fillId="0" borderId="2" xfId="0" applyNumberFormat="1" applyFont="1" applyBorder="1" applyAlignment="1">
      <alignment horizontal="center"/>
    </xf>
    <xf numFmtId="9" fontId="27" fillId="0" borderId="0" xfId="0" applyNumberFormat="1" applyFont="1" applyBorder="1" applyAlignment="1">
      <alignment horizontal="center"/>
    </xf>
    <xf numFmtId="9" fontId="5" fillId="0" borderId="0" xfId="0" applyNumberFormat="1" applyFont="1" applyBorder="1" applyAlignment="1">
      <alignment horizontal="center"/>
    </xf>
    <xf numFmtId="9" fontId="6" fillId="0" borderId="0" xfId="0" applyNumberFormat="1" applyFont="1" applyBorder="1" applyAlignment="1">
      <alignment horizontal="center"/>
    </xf>
    <xf numFmtId="9" fontId="3" fillId="0" borderId="0" xfId="1" applyFont="1" applyBorder="1" applyAlignment="1">
      <alignment horizontal="center"/>
    </xf>
    <xf numFmtId="9" fontId="28" fillId="0" borderId="0" xfId="0" applyNumberFormat="1" applyFont="1" applyBorder="1" applyAlignment="1">
      <alignment horizontal="center"/>
    </xf>
    <xf numFmtId="9" fontId="5" fillId="0" borderId="0" xfId="1" applyFont="1" applyBorder="1" applyAlignment="1">
      <alignment horizontal="center"/>
    </xf>
    <xf numFmtId="9" fontId="3" fillId="0" borderId="5" xfId="1" applyFont="1" applyBorder="1" applyAlignment="1">
      <alignment horizontal="center"/>
    </xf>
    <xf numFmtId="9" fontId="4" fillId="0" borderId="5" xfId="0" applyNumberFormat="1" applyFont="1" applyBorder="1" applyAlignment="1">
      <alignment horizontal="center"/>
    </xf>
    <xf numFmtId="9" fontId="5" fillId="0" borderId="5" xfId="1" applyFont="1" applyBorder="1" applyAlignment="1">
      <alignment horizontal="center"/>
    </xf>
    <xf numFmtId="9" fontId="29" fillId="0" borderId="5" xfId="0" applyNumberFormat="1" applyFont="1" applyBorder="1" applyAlignment="1">
      <alignment horizontal="center"/>
    </xf>
    <xf numFmtId="9" fontId="3" fillId="0" borderId="0" xfId="1" applyFont="1" applyAlignment="1">
      <alignment horizontal="center"/>
    </xf>
    <xf numFmtId="9" fontId="4" fillId="0" borderId="0" xfId="0" applyNumberFormat="1" applyFont="1" applyAlignment="1">
      <alignment horizontal="center"/>
    </xf>
    <xf numFmtId="9" fontId="5" fillId="0" borderId="0" xfId="1" applyFont="1" applyAlignment="1">
      <alignment horizontal="center"/>
    </xf>
    <xf numFmtId="9" fontId="6" fillId="0" borderId="0" xfId="0" applyNumberFormat="1" applyFont="1" applyAlignment="1">
      <alignment horizontal="center"/>
    </xf>
    <xf numFmtId="165" fontId="23" fillId="2" borderId="8" xfId="0" applyNumberFormat="1" applyFont="1" applyFill="1" applyBorder="1" applyAlignment="1">
      <alignment horizontal="center" vertical="top" wrapText="1"/>
    </xf>
    <xf numFmtId="0" fontId="4" fillId="6" borderId="0" xfId="0" applyFont="1" applyFill="1" applyAlignment="1">
      <alignment horizontal="center"/>
    </xf>
    <xf numFmtId="165" fontId="30" fillId="2" borderId="8" xfId="0" applyNumberFormat="1" applyFont="1" applyFill="1" applyBorder="1" applyAlignment="1">
      <alignment horizontal="center" vertical="top" wrapText="1"/>
    </xf>
    <xf numFmtId="4" fontId="31" fillId="7" borderId="0" xfId="0" applyNumberFormat="1" applyFont="1" applyFill="1" applyAlignment="1">
      <alignment horizontal="center"/>
    </xf>
    <xf numFmtId="4" fontId="31" fillId="0" borderId="0" xfId="0" applyNumberFormat="1" applyFont="1" applyAlignment="1">
      <alignment horizontal="center"/>
    </xf>
    <xf numFmtId="3" fontId="4" fillId="6" borderId="0" xfId="0" applyNumberFormat="1" applyFont="1" applyFill="1" applyAlignment="1">
      <alignment horizontal="center"/>
    </xf>
    <xf numFmtId="0" fontId="4" fillId="7" borderId="0" xfId="0" applyFont="1" applyFill="1" applyAlignment="1">
      <alignment horizontal="center"/>
    </xf>
    <xf numFmtId="165" fontId="30" fillId="2" borderId="0" xfId="0" applyNumberFormat="1" applyFont="1" applyFill="1" applyBorder="1" applyAlignment="1">
      <alignment horizontal="center" vertical="top" wrapText="1"/>
    </xf>
    <xf numFmtId="0" fontId="32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3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9" fontId="6" fillId="0" borderId="12" xfId="0" applyNumberFormat="1" applyFont="1" applyBorder="1" applyAlignment="1">
      <alignment horizontal="center"/>
    </xf>
    <xf numFmtId="9" fontId="7" fillId="0" borderId="0" xfId="0" applyNumberFormat="1" applyFont="1" applyAlignment="1">
      <alignment horizontal="center"/>
    </xf>
    <xf numFmtId="9" fontId="6" fillId="0" borderId="13" xfId="0" applyNumberFormat="1" applyFont="1" applyBorder="1" applyAlignment="1">
      <alignment horizontal="center"/>
    </xf>
    <xf numFmtId="9" fontId="6" fillId="0" borderId="13" xfId="1" applyFont="1" applyBorder="1" applyAlignment="1">
      <alignment horizontal="center"/>
    </xf>
    <xf numFmtId="9" fontId="7" fillId="0" borderId="0" xfId="1" applyFont="1" applyAlignment="1">
      <alignment horizontal="center"/>
    </xf>
    <xf numFmtId="9" fontId="6" fillId="0" borderId="14" xfId="1" applyFont="1" applyBorder="1" applyAlignment="1">
      <alignment horizontal="center"/>
    </xf>
    <xf numFmtId="9" fontId="6" fillId="0" borderId="0" xfId="1" applyFont="1" applyAlignment="1">
      <alignment horizontal="center"/>
    </xf>
    <xf numFmtId="165" fontId="33" fillId="2" borderId="8" xfId="0" applyNumberFormat="1" applyFont="1" applyFill="1" applyBorder="1" applyAlignment="1">
      <alignment horizontal="center" vertical="top" wrapText="1"/>
    </xf>
    <xf numFmtId="165" fontId="34" fillId="2" borderId="8" xfId="0" applyNumberFormat="1" applyFont="1" applyFill="1" applyBorder="1" applyAlignment="1">
      <alignment horizontal="center" vertical="top" wrapText="1"/>
    </xf>
    <xf numFmtId="165" fontId="35" fillId="2" borderId="8" xfId="0" applyNumberFormat="1" applyFont="1" applyFill="1" applyBorder="1" applyAlignment="1">
      <alignment horizontal="center" vertical="top" wrapText="1"/>
    </xf>
    <xf numFmtId="165" fontId="33" fillId="2" borderId="0" xfId="0" applyNumberFormat="1" applyFont="1" applyFill="1" applyBorder="1" applyAlignment="1">
      <alignment horizontal="center" vertical="top" wrapText="1"/>
    </xf>
    <xf numFmtId="165" fontId="6" fillId="0" borderId="0" xfId="0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0" fontId="6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9" fontId="9" fillId="0" borderId="0" xfId="0" applyNumberFormat="1" applyFont="1" applyAlignment="1">
      <alignment horizontal="center"/>
    </xf>
    <xf numFmtId="9" fontId="9" fillId="0" borderId="0" xfId="1" applyFont="1" applyAlignment="1">
      <alignment horizontal="center"/>
    </xf>
    <xf numFmtId="165" fontId="36" fillId="2" borderId="8" xfId="0" applyNumberFormat="1" applyFont="1" applyFill="1" applyBorder="1" applyAlignment="1">
      <alignment horizontal="center" vertical="top" wrapText="1"/>
    </xf>
    <xf numFmtId="165" fontId="36" fillId="2" borderId="0" xfId="0" applyNumberFormat="1" applyFont="1" applyFill="1" applyBorder="1" applyAlignment="1">
      <alignment horizontal="center" vertical="top" wrapText="1"/>
    </xf>
    <xf numFmtId="165" fontId="9" fillId="0" borderId="0" xfId="0" applyNumberFormat="1" applyFont="1" applyAlignment="1">
      <alignment horizontal="center"/>
    </xf>
    <xf numFmtId="0" fontId="9" fillId="4" borderId="0" xfId="0" applyFont="1" applyFill="1" applyAlignment="1">
      <alignment horizontal="center"/>
    </xf>
    <xf numFmtId="165" fontId="1" fillId="0" borderId="0" xfId="0" applyNumberFormat="1" applyFont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9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</a:t>
            </a:r>
            <a:r>
              <a:rPr lang="en-US"/>
              <a:t>2021.7.7 COVID-19 Sum</a:t>
            </a:r>
            <a:r>
              <a:rPr lang="en-US" baseline="0"/>
              <a:t> </a:t>
            </a:r>
            <a:r>
              <a:rPr lang="en-US" altLang="zh-CN"/>
              <a:t>Toll/Recovery</a:t>
            </a:r>
            <a:r>
              <a:rPr lang="en-US" altLang="zh-CN" baseline="0"/>
              <a:t> </a:t>
            </a:r>
            <a:r>
              <a:rPr lang="en-US" sz="1400" b="0" i="0" u="none" strike="noStrike" baseline="0">
                <a:effectLst/>
              </a:rPr>
              <a:t>versus </a:t>
            </a: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1990-2018 Pesticides Kg/Ha Sum </a:t>
            </a:r>
            <a:r>
              <a:rPr lang="en-US" altLang="zh-CN" baseline="0"/>
              <a:t>for 22 countries</a:t>
            </a:r>
          </a:p>
        </c:rich>
      </c:tx>
      <c:layout>
        <c:manualLayout>
          <c:xMode val="edge"/>
          <c:yMode val="edge"/>
          <c:x val="0.1884362217924036"/>
          <c:y val="4.27426977410271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745468023441799E-2"/>
          <c:y val="0.221433412330657"/>
          <c:w val="0.85275699912510905"/>
          <c:h val="0.6845151568745360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Semi!$P$13:$P$34</c:f>
              <c:numCache>
                <c:formatCode>0.0</c:formatCode>
                <c:ptCount val="22"/>
                <c:pt idx="0">
                  <c:v>6.8016595811931646E-2</c:v>
                </c:pt>
                <c:pt idx="1">
                  <c:v>-0.44115099791374557</c:v>
                </c:pt>
                <c:pt idx="2">
                  <c:v>5.8879614089090548</c:v>
                </c:pt>
                <c:pt idx="3">
                  <c:v>0.45173400472350522</c:v>
                </c:pt>
                <c:pt idx="4">
                  <c:v>0.2675039702850861</c:v>
                </c:pt>
                <c:pt idx="5">
                  <c:v>-1.7591542398887929</c:v>
                </c:pt>
                <c:pt idx="6">
                  <c:v>2.2552031513947934</c:v>
                </c:pt>
                <c:pt idx="7">
                  <c:v>-1.1222442448143957</c:v>
                </c:pt>
                <c:pt idx="8">
                  <c:v>-1.9095523427957877</c:v>
                </c:pt>
                <c:pt idx="9">
                  <c:v>-1.5125671315085516</c:v>
                </c:pt>
                <c:pt idx="10">
                  <c:v>-0.52339947174878176</c:v>
                </c:pt>
                <c:pt idx="11">
                  <c:v>-0.45814149856919384</c:v>
                </c:pt>
                <c:pt idx="12">
                  <c:v>-0.5064723666796529</c:v>
                </c:pt>
                <c:pt idx="13">
                  <c:v>-1.5824916108641922</c:v>
                </c:pt>
                <c:pt idx="14">
                  <c:v>-0.63522563045456693</c:v>
                </c:pt>
                <c:pt idx="15">
                  <c:v>0.71544482143368171</c:v>
                </c:pt>
                <c:pt idx="16">
                  <c:v>1.2867160296354001</c:v>
                </c:pt>
                <c:pt idx="17">
                  <c:v>-1.9165537421305974</c:v>
                </c:pt>
                <c:pt idx="18">
                  <c:v>-0.79443346490540079</c:v>
                </c:pt>
                <c:pt idx="19">
                  <c:v>-0.61320883201811949</c:v>
                </c:pt>
                <c:pt idx="20">
                  <c:v>3.173336189349806</c:v>
                </c:pt>
                <c:pt idx="21">
                  <c:v>-0.33132059725149654</c:v>
                </c:pt>
              </c:numCache>
            </c:numRef>
          </c:xVal>
          <c:yVal>
            <c:numRef>
              <c:f>Semi!$G$13:$G$34</c:f>
              <c:numCache>
                <c:formatCode>0.0000</c:formatCode>
                <c:ptCount val="22"/>
                <c:pt idx="0">
                  <c:v>-1.9232642677394669E-3</c:v>
                </c:pt>
                <c:pt idx="1">
                  <c:v>-1.3421576987634555E-2</c:v>
                </c:pt>
                <c:pt idx="2">
                  <c:v>1.8163072153469267E-2</c:v>
                </c:pt>
                <c:pt idx="3">
                  <c:v>-7.2135875854155047E-3</c:v>
                </c:pt>
                <c:pt idx="4">
                  <c:v>-7.2135875854155047E-3</c:v>
                </c:pt>
                <c:pt idx="5">
                  <c:v>-1.8883777072118933E-2</c:v>
                </c:pt>
                <c:pt idx="6">
                  <c:v>-1.3281638995797148E-2</c:v>
                </c:pt>
                <c:pt idx="7">
                  <c:v>-8.9233704999309924E-3</c:v>
                </c:pt>
                <c:pt idx="8">
                  <c:v>-2.1979112456189956E-2</c:v>
                </c:pt>
                <c:pt idx="9">
                  <c:v>-5.1455888132695138E-3</c:v>
                </c:pt>
                <c:pt idx="10">
                  <c:v>1.4914809404545995E-3</c:v>
                </c:pt>
                <c:pt idx="11">
                  <c:v>-1.1121506472825914E-2</c:v>
                </c:pt>
                <c:pt idx="12">
                  <c:v>-2.906914368209626E-3</c:v>
                </c:pt>
                <c:pt idx="13">
                  <c:v>7.9939475839468616E-2</c:v>
                </c:pt>
                <c:pt idx="14">
                  <c:v>-1.5054175516458455E-3</c:v>
                </c:pt>
                <c:pt idx="15">
                  <c:v>-9.3202906858876333E-3</c:v>
                </c:pt>
                <c:pt idx="16">
                  <c:v>-1.2627774229700683E-3</c:v>
                </c:pt>
                <c:pt idx="17">
                  <c:v>-8.639084789838769E-4</c:v>
                </c:pt>
                <c:pt idx="18">
                  <c:v>8.3289636169332465E-2</c:v>
                </c:pt>
                <c:pt idx="19">
                  <c:v>-1.5821904909705455E-2</c:v>
                </c:pt>
                <c:pt idx="20">
                  <c:v>-1.9033393474556959E-2</c:v>
                </c:pt>
                <c:pt idx="21">
                  <c:v>-2.3062047474428034E-2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AE-49A9-8F21-ADAEC7E80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514031"/>
        <c:axId val="839621087"/>
      </c:scatterChart>
      <c:valAx>
        <c:axId val="93651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Kg/Ha</a:t>
                </a:r>
              </a:p>
            </c:rich>
          </c:tx>
          <c:layout>
            <c:manualLayout>
              <c:xMode val="edge"/>
              <c:yMode val="edge"/>
              <c:x val="0.44264164092402197"/>
              <c:y val="0.923917512645466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621087"/>
        <c:crosses val="autoZero"/>
        <c:crossBetween val="midCat"/>
      </c:valAx>
      <c:valAx>
        <c:axId val="83962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Death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514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Nobel Scientist</a:t>
            </a:r>
          </a:p>
        </c:rich>
      </c:tx>
      <c:layout>
        <c:manualLayout>
          <c:xMode val="edge"/>
          <c:yMode val="edge"/>
          <c:x val="0.43547285763059101"/>
          <c:y val="2.52047889098928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000341258104903E-2"/>
          <c:y val="0.16005040957781999"/>
          <c:w val="0.89978386986690895"/>
          <c:h val="0.7315689981096410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Semi!$S$13:$S$34</c:f>
              <c:numCache>
                <c:formatCode>0.0</c:formatCode>
                <c:ptCount val="22"/>
                <c:pt idx="0">
                  <c:v>613.31818181818176</c:v>
                </c:pt>
                <c:pt idx="1">
                  <c:v>-610.68181818181824</c:v>
                </c:pt>
                <c:pt idx="2">
                  <c:v>-502.68181818181824</c:v>
                </c:pt>
                <c:pt idx="3">
                  <c:v>-280.68181818181824</c:v>
                </c:pt>
                <c:pt idx="4">
                  <c:v>-447.68181818181824</c:v>
                </c:pt>
                <c:pt idx="5">
                  <c:v>-64.681818181818244</c:v>
                </c:pt>
                <c:pt idx="6">
                  <c:v>520.31818181818176</c:v>
                </c:pt>
                <c:pt idx="7">
                  <c:v>1727.3181818181818</c:v>
                </c:pt>
                <c:pt idx="8">
                  <c:v>1994.3181818181818</c:v>
                </c:pt>
                <c:pt idx="9">
                  <c:v>-687.68181818181824</c:v>
                </c:pt>
                <c:pt idx="10">
                  <c:v>-652.68181818181824</c:v>
                </c:pt>
                <c:pt idx="11">
                  <c:v>-432.68181818181824</c:v>
                </c:pt>
                <c:pt idx="12">
                  <c:v>72.318181818181756</c:v>
                </c:pt>
                <c:pt idx="13">
                  <c:v>590.31818181818176</c:v>
                </c:pt>
                <c:pt idx="14">
                  <c:v>-613.68181818181824</c:v>
                </c:pt>
                <c:pt idx="15">
                  <c:v>-556.68181818181824</c:v>
                </c:pt>
                <c:pt idx="16">
                  <c:v>-315.68181818181824</c:v>
                </c:pt>
                <c:pt idx="17">
                  <c:v>1554.3181818181818</c:v>
                </c:pt>
                <c:pt idx="18">
                  <c:v>-389.68181818181824</c:v>
                </c:pt>
                <c:pt idx="19">
                  <c:v>-1088.6818181818182</c:v>
                </c:pt>
                <c:pt idx="20">
                  <c:v>126.31818181818176</c:v>
                </c:pt>
                <c:pt idx="21">
                  <c:v>-554.68181818181824</c:v>
                </c:pt>
              </c:numCache>
            </c:numRef>
          </c:xVal>
          <c:yVal>
            <c:numRef>
              <c:f>Semi!$K$13:$K$34</c:f>
              <c:numCache>
                <c:formatCode>0.0</c:formatCode>
                <c:ptCount val="22"/>
                <c:pt idx="0">
                  <c:v>-33.5</c:v>
                </c:pt>
                <c:pt idx="1">
                  <c:v>-11.5</c:v>
                </c:pt>
                <c:pt idx="2">
                  <c:v>-21.5</c:v>
                </c:pt>
                <c:pt idx="3">
                  <c:v>2.5</c:v>
                </c:pt>
                <c:pt idx="4">
                  <c:v>55.5</c:v>
                </c:pt>
                <c:pt idx="5">
                  <c:v>-28.5</c:v>
                </c:pt>
                <c:pt idx="6">
                  <c:v>-12.5</c:v>
                </c:pt>
                <c:pt idx="7">
                  <c:v>-34.5</c:v>
                </c:pt>
                <c:pt idx="8">
                  <c:v>-34.5</c:v>
                </c:pt>
                <c:pt idx="9">
                  <c:v>-18.5</c:v>
                </c:pt>
                <c:pt idx="10">
                  <c:v>-24.5</c:v>
                </c:pt>
                <c:pt idx="11">
                  <c:v>331.5</c:v>
                </c:pt>
                <c:pt idx="12">
                  <c:v>96.5</c:v>
                </c:pt>
                <c:pt idx="13">
                  <c:v>-33.5</c:v>
                </c:pt>
                <c:pt idx="14">
                  <c:v>-22.5</c:v>
                </c:pt>
                <c:pt idx="15">
                  <c:v>-29.5</c:v>
                </c:pt>
                <c:pt idx="16">
                  <c:v>-14.5</c:v>
                </c:pt>
                <c:pt idx="17">
                  <c:v>-34.5</c:v>
                </c:pt>
                <c:pt idx="18">
                  <c:v>-31.5</c:v>
                </c:pt>
                <c:pt idx="19">
                  <c:v>-34.5</c:v>
                </c:pt>
                <c:pt idx="20">
                  <c:v>-33.5</c:v>
                </c:pt>
                <c:pt idx="21">
                  <c:v>-32.5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46-43F2-82D5-148320917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311327"/>
        <c:axId val="792613167"/>
      </c:scatterChart>
      <c:valAx>
        <c:axId val="93931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Rain</a:t>
                </a:r>
                <a:r>
                  <a:rPr lang="en-US"/>
                  <a:t> Rate</a:t>
                </a:r>
              </a:p>
            </c:rich>
          </c:tx>
          <c:layout>
            <c:manualLayout>
              <c:xMode val="edge"/>
              <c:yMode val="edge"/>
              <c:x val="0.44372270124913699"/>
              <c:y val="0.919792510148805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613167"/>
        <c:crosses val="autoZero"/>
        <c:crossBetween val="midCat"/>
      </c:valAx>
      <c:valAx>
        <c:axId val="79261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Persons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1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Pet (2016)</a:t>
            </a:r>
          </a:p>
        </c:rich>
      </c:tx>
      <c:layout>
        <c:manualLayout>
          <c:xMode val="edge"/>
          <c:yMode val="edge"/>
          <c:x val="0.437407754056723"/>
          <c:y val="2.52047889098928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000341258104903E-2"/>
          <c:y val="0.16005040957781999"/>
          <c:w val="0.89978386986690895"/>
          <c:h val="0.7315689981096410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Semi!$P$13:$P$34</c:f>
              <c:numCache>
                <c:formatCode>0.0</c:formatCode>
                <c:ptCount val="22"/>
                <c:pt idx="0">
                  <c:v>6.8016595811931646E-2</c:v>
                </c:pt>
                <c:pt idx="1">
                  <c:v>-0.44115099791374557</c:v>
                </c:pt>
                <c:pt idx="2">
                  <c:v>5.8879614089090548</c:v>
                </c:pt>
                <c:pt idx="3">
                  <c:v>0.45173400472350522</c:v>
                </c:pt>
                <c:pt idx="4">
                  <c:v>0.2675039702850861</c:v>
                </c:pt>
                <c:pt idx="5">
                  <c:v>-1.7591542398887929</c:v>
                </c:pt>
                <c:pt idx="6">
                  <c:v>2.2552031513947934</c:v>
                </c:pt>
                <c:pt idx="7">
                  <c:v>-1.1222442448143957</c:v>
                </c:pt>
                <c:pt idx="8">
                  <c:v>-1.9095523427957877</c:v>
                </c:pt>
                <c:pt idx="9">
                  <c:v>-1.5125671315085516</c:v>
                </c:pt>
                <c:pt idx="10">
                  <c:v>-0.52339947174878176</c:v>
                </c:pt>
                <c:pt idx="11">
                  <c:v>-0.45814149856919384</c:v>
                </c:pt>
                <c:pt idx="12">
                  <c:v>-0.5064723666796529</c:v>
                </c:pt>
                <c:pt idx="13">
                  <c:v>-1.5824916108641922</c:v>
                </c:pt>
                <c:pt idx="14">
                  <c:v>-0.63522563045456693</c:v>
                </c:pt>
                <c:pt idx="15">
                  <c:v>0.71544482143368171</c:v>
                </c:pt>
                <c:pt idx="16">
                  <c:v>1.2867160296354001</c:v>
                </c:pt>
                <c:pt idx="17">
                  <c:v>-1.9165537421305974</c:v>
                </c:pt>
                <c:pt idx="18">
                  <c:v>-0.79443346490540079</c:v>
                </c:pt>
                <c:pt idx="19">
                  <c:v>-0.61320883201811949</c:v>
                </c:pt>
                <c:pt idx="20">
                  <c:v>3.173336189349806</c:v>
                </c:pt>
                <c:pt idx="21">
                  <c:v>-0.33132059725149654</c:v>
                </c:pt>
              </c:numCache>
            </c:numRef>
          </c:xVal>
          <c:yVal>
            <c:numRef>
              <c:f>Semi!$M$13:$M$34</c:f>
              <c:numCache>
                <c:formatCode>0.0</c:formatCode>
                <c:ptCount val="22"/>
                <c:pt idx="0">
                  <c:v>0.24818181818181817</c:v>
                </c:pt>
                <c:pt idx="1">
                  <c:v>1.8181818181818188E-2</c:v>
                </c:pt>
                <c:pt idx="2">
                  <c:v>-8.181818181818179E-2</c:v>
                </c:pt>
                <c:pt idx="3">
                  <c:v>7.8181818181818186E-2</c:v>
                </c:pt>
                <c:pt idx="4">
                  <c:v>-4.181818181818181E-2</c:v>
                </c:pt>
                <c:pt idx="5">
                  <c:v>-0.16181818181818178</c:v>
                </c:pt>
                <c:pt idx="6">
                  <c:v>-0.16181818181818178</c:v>
                </c:pt>
                <c:pt idx="7">
                  <c:v>8.1818181818182345E-3</c:v>
                </c:pt>
                <c:pt idx="8">
                  <c:v>-0.1818181818181818</c:v>
                </c:pt>
                <c:pt idx="9">
                  <c:v>-4.181818181818181E-2</c:v>
                </c:pt>
                <c:pt idx="10">
                  <c:v>-0.20181818181818179</c:v>
                </c:pt>
                <c:pt idx="11">
                  <c:v>0.16818181818181821</c:v>
                </c:pt>
                <c:pt idx="12">
                  <c:v>-6.1818181818181772E-2</c:v>
                </c:pt>
                <c:pt idx="13">
                  <c:v>0.44818181818181824</c:v>
                </c:pt>
                <c:pt idx="14">
                  <c:v>-0.1818181818181818</c:v>
                </c:pt>
                <c:pt idx="15">
                  <c:v>0.32818181818181824</c:v>
                </c:pt>
                <c:pt idx="16">
                  <c:v>5.8181818181818223E-2</c:v>
                </c:pt>
                <c:pt idx="17">
                  <c:v>3.8181818181818206E-2</c:v>
                </c:pt>
                <c:pt idx="18">
                  <c:v>0.30818181818181822</c:v>
                </c:pt>
                <c:pt idx="19">
                  <c:v>-0.32181818181818178</c:v>
                </c:pt>
                <c:pt idx="20">
                  <c:v>-0.13181818181818178</c:v>
                </c:pt>
                <c:pt idx="21">
                  <c:v>-0.13181818181818178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D8-4E1C-9B3F-BCDB6622B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311327"/>
        <c:axId val="792613167"/>
      </c:scatterChart>
      <c:valAx>
        <c:axId val="93931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Kg/Ha</a:t>
                </a:r>
              </a:p>
            </c:rich>
          </c:tx>
          <c:layout>
            <c:manualLayout>
              <c:xMode val="edge"/>
              <c:yMode val="edge"/>
              <c:x val="0.44372270124913699"/>
              <c:y val="0.919792510148805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613167"/>
        <c:crosses val="autoZero"/>
        <c:crossBetween val="midCat"/>
      </c:valAx>
      <c:valAx>
        <c:axId val="79261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1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Pet (2016)</a:t>
            </a:r>
          </a:p>
        </c:rich>
      </c:tx>
      <c:layout>
        <c:manualLayout>
          <c:xMode val="edge"/>
          <c:yMode val="edge"/>
          <c:x val="0.43547285763059101"/>
          <c:y val="2.52047889098928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000341258104903E-2"/>
          <c:y val="0.16005040957781999"/>
          <c:w val="0.89978386986690895"/>
          <c:h val="0.7315689981096410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Semi!$S$13:$S$34</c:f>
              <c:numCache>
                <c:formatCode>0.0</c:formatCode>
                <c:ptCount val="22"/>
                <c:pt idx="0">
                  <c:v>613.31818181818176</c:v>
                </c:pt>
                <c:pt idx="1">
                  <c:v>-610.68181818181824</c:v>
                </c:pt>
                <c:pt idx="2">
                  <c:v>-502.68181818181824</c:v>
                </c:pt>
                <c:pt idx="3">
                  <c:v>-280.68181818181824</c:v>
                </c:pt>
                <c:pt idx="4">
                  <c:v>-447.68181818181824</c:v>
                </c:pt>
                <c:pt idx="5">
                  <c:v>-64.681818181818244</c:v>
                </c:pt>
                <c:pt idx="6">
                  <c:v>520.31818181818176</c:v>
                </c:pt>
                <c:pt idx="7">
                  <c:v>1727.3181818181818</c:v>
                </c:pt>
                <c:pt idx="8">
                  <c:v>1994.3181818181818</c:v>
                </c:pt>
                <c:pt idx="9">
                  <c:v>-687.68181818181824</c:v>
                </c:pt>
                <c:pt idx="10">
                  <c:v>-652.68181818181824</c:v>
                </c:pt>
                <c:pt idx="11">
                  <c:v>-432.68181818181824</c:v>
                </c:pt>
                <c:pt idx="12">
                  <c:v>72.318181818181756</c:v>
                </c:pt>
                <c:pt idx="13">
                  <c:v>590.31818181818176</c:v>
                </c:pt>
                <c:pt idx="14">
                  <c:v>-613.68181818181824</c:v>
                </c:pt>
                <c:pt idx="15">
                  <c:v>-556.68181818181824</c:v>
                </c:pt>
                <c:pt idx="16">
                  <c:v>-315.68181818181824</c:v>
                </c:pt>
                <c:pt idx="17">
                  <c:v>1554.3181818181818</c:v>
                </c:pt>
                <c:pt idx="18">
                  <c:v>-389.68181818181824</c:v>
                </c:pt>
                <c:pt idx="19">
                  <c:v>-1088.6818181818182</c:v>
                </c:pt>
                <c:pt idx="20">
                  <c:v>126.31818181818176</c:v>
                </c:pt>
                <c:pt idx="21">
                  <c:v>-554.68181818181824</c:v>
                </c:pt>
              </c:numCache>
            </c:numRef>
          </c:xVal>
          <c:yVal>
            <c:numRef>
              <c:f>Semi!$M$13:$M$34</c:f>
              <c:numCache>
                <c:formatCode>0.0</c:formatCode>
                <c:ptCount val="22"/>
                <c:pt idx="0">
                  <c:v>0.24818181818181817</c:v>
                </c:pt>
                <c:pt idx="1">
                  <c:v>1.8181818181818188E-2</c:v>
                </c:pt>
                <c:pt idx="2">
                  <c:v>-8.181818181818179E-2</c:v>
                </c:pt>
                <c:pt idx="3">
                  <c:v>7.8181818181818186E-2</c:v>
                </c:pt>
                <c:pt idx="4">
                  <c:v>-4.181818181818181E-2</c:v>
                </c:pt>
                <c:pt idx="5">
                  <c:v>-0.16181818181818178</c:v>
                </c:pt>
                <c:pt idx="6">
                  <c:v>-0.16181818181818178</c:v>
                </c:pt>
                <c:pt idx="7">
                  <c:v>8.1818181818182345E-3</c:v>
                </c:pt>
                <c:pt idx="8">
                  <c:v>-0.1818181818181818</c:v>
                </c:pt>
                <c:pt idx="9">
                  <c:v>-4.181818181818181E-2</c:v>
                </c:pt>
                <c:pt idx="10">
                  <c:v>-0.20181818181818179</c:v>
                </c:pt>
                <c:pt idx="11">
                  <c:v>0.16818181818181821</c:v>
                </c:pt>
                <c:pt idx="12">
                  <c:v>-6.1818181818181772E-2</c:v>
                </c:pt>
                <c:pt idx="13">
                  <c:v>0.44818181818181824</c:v>
                </c:pt>
                <c:pt idx="14">
                  <c:v>-0.1818181818181818</c:v>
                </c:pt>
                <c:pt idx="15">
                  <c:v>0.32818181818181824</c:v>
                </c:pt>
                <c:pt idx="16">
                  <c:v>5.8181818181818223E-2</c:v>
                </c:pt>
                <c:pt idx="17">
                  <c:v>3.8181818181818206E-2</c:v>
                </c:pt>
                <c:pt idx="18">
                  <c:v>0.30818181818181822</c:v>
                </c:pt>
                <c:pt idx="19">
                  <c:v>-0.32181818181818178</c:v>
                </c:pt>
                <c:pt idx="20">
                  <c:v>-0.13181818181818178</c:v>
                </c:pt>
                <c:pt idx="21">
                  <c:v>-0.13181818181818178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B6-47FF-81D8-998C4CF7E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311327"/>
        <c:axId val="792613167"/>
      </c:scatterChart>
      <c:valAx>
        <c:axId val="93931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Rain </a:t>
                </a:r>
                <a:r>
                  <a:rPr lang="en-US"/>
                  <a:t>Rate</a:t>
                </a:r>
              </a:p>
            </c:rich>
          </c:tx>
          <c:layout>
            <c:manualLayout>
              <c:xMode val="edge"/>
              <c:yMode val="edge"/>
              <c:x val="0.44372270124913699"/>
              <c:y val="0.919792510148805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613167"/>
        <c:crosses val="autoZero"/>
        <c:crossBetween val="midCat"/>
      </c:valAx>
      <c:valAx>
        <c:axId val="79261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1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Forest Pest</a:t>
            </a:r>
          </a:p>
        </c:rich>
      </c:tx>
      <c:layout>
        <c:manualLayout>
          <c:xMode val="edge"/>
          <c:yMode val="edge"/>
          <c:x val="0.24824858757062099"/>
          <c:y val="2.5000000000000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65849301839253"/>
          <c:y val="0.21772965879265097"/>
          <c:w val="0.85275699912510905"/>
          <c:h val="0.6521710586820419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Semi!$P$13:$P$34</c:f>
              <c:numCache>
                <c:formatCode>0.0</c:formatCode>
                <c:ptCount val="22"/>
                <c:pt idx="0">
                  <c:v>6.8016595811931646E-2</c:v>
                </c:pt>
                <c:pt idx="1">
                  <c:v>-0.44115099791374557</c:v>
                </c:pt>
                <c:pt idx="2">
                  <c:v>5.8879614089090548</c:v>
                </c:pt>
                <c:pt idx="3">
                  <c:v>0.45173400472350522</c:v>
                </c:pt>
                <c:pt idx="4">
                  <c:v>0.2675039702850861</c:v>
                </c:pt>
                <c:pt idx="5">
                  <c:v>-1.7591542398887929</c:v>
                </c:pt>
                <c:pt idx="6">
                  <c:v>2.2552031513947934</c:v>
                </c:pt>
                <c:pt idx="7">
                  <c:v>-1.1222442448143957</c:v>
                </c:pt>
                <c:pt idx="8">
                  <c:v>-1.9095523427957877</c:v>
                </c:pt>
                <c:pt idx="9">
                  <c:v>-1.5125671315085516</c:v>
                </c:pt>
                <c:pt idx="10">
                  <c:v>-0.52339947174878176</c:v>
                </c:pt>
                <c:pt idx="11">
                  <c:v>-0.45814149856919384</c:v>
                </c:pt>
                <c:pt idx="12">
                  <c:v>-0.5064723666796529</c:v>
                </c:pt>
                <c:pt idx="13">
                  <c:v>-1.5824916108641922</c:v>
                </c:pt>
                <c:pt idx="14">
                  <c:v>-0.63522563045456693</c:v>
                </c:pt>
                <c:pt idx="15">
                  <c:v>0.71544482143368171</c:v>
                </c:pt>
                <c:pt idx="16">
                  <c:v>1.2867160296354001</c:v>
                </c:pt>
                <c:pt idx="17">
                  <c:v>-1.9165537421305974</c:v>
                </c:pt>
                <c:pt idx="18">
                  <c:v>-0.79443346490540079</c:v>
                </c:pt>
                <c:pt idx="19">
                  <c:v>-0.61320883201811949</c:v>
                </c:pt>
                <c:pt idx="20">
                  <c:v>3.173336189349806</c:v>
                </c:pt>
                <c:pt idx="21">
                  <c:v>-0.33132059725149654</c:v>
                </c:pt>
              </c:numCache>
            </c:numRef>
          </c:xVal>
          <c:yVal>
            <c:numRef>
              <c:f>Semi!$C$13:$C$34</c:f>
              <c:numCache>
                <c:formatCode>0.0</c:formatCode>
                <c:ptCount val="22"/>
                <c:pt idx="0">
                  <c:v>26.368181818181817</c:v>
                </c:pt>
                <c:pt idx="1">
                  <c:v>-1.4318181818181799</c:v>
                </c:pt>
                <c:pt idx="2">
                  <c:v>-13.93181818181818</c:v>
                </c:pt>
                <c:pt idx="3">
                  <c:v>-3.7318181818181806</c:v>
                </c:pt>
                <c:pt idx="4">
                  <c:v>-3.7318181818181806</c:v>
                </c:pt>
                <c:pt idx="5">
                  <c:v>-12.631818181818183</c:v>
                </c:pt>
                <c:pt idx="6">
                  <c:v>32.968181818181819</c:v>
                </c:pt>
                <c:pt idx="7">
                  <c:v>27.268181818181816</c:v>
                </c:pt>
                <c:pt idx="8">
                  <c:v>28.568181818181813</c:v>
                </c:pt>
                <c:pt idx="9">
                  <c:v>13.868181818181817</c:v>
                </c:pt>
                <c:pt idx="10">
                  <c:v>-27.93181818181818</c:v>
                </c:pt>
                <c:pt idx="11">
                  <c:v>-2.3318181818181785</c:v>
                </c:pt>
                <c:pt idx="12">
                  <c:v>-23.731818181818181</c:v>
                </c:pt>
                <c:pt idx="13">
                  <c:v>17.868181818181817</c:v>
                </c:pt>
                <c:pt idx="14">
                  <c:v>-15.831818181818182</c:v>
                </c:pt>
                <c:pt idx="15">
                  <c:v>-24.631818181818183</c:v>
                </c:pt>
                <c:pt idx="16">
                  <c:v>-4.9318181818181799</c:v>
                </c:pt>
                <c:pt idx="17">
                  <c:v>17.368181818181817</c:v>
                </c:pt>
                <c:pt idx="18">
                  <c:v>-2.0318181818181813</c:v>
                </c:pt>
                <c:pt idx="19">
                  <c:v>-35.031818181818181</c:v>
                </c:pt>
                <c:pt idx="20">
                  <c:v>28.768181818181816</c:v>
                </c:pt>
                <c:pt idx="21">
                  <c:v>-21.131818181818183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89-4737-A7A4-61D0033BD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514031"/>
        <c:axId val="839621087"/>
      </c:scatterChart>
      <c:valAx>
        <c:axId val="93651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Kg/Ha</a:t>
                </a:r>
              </a:p>
            </c:rich>
          </c:tx>
          <c:layout>
            <c:manualLayout>
              <c:xMode val="edge"/>
              <c:yMode val="edge"/>
              <c:x val="0.47835810599844614"/>
              <c:y val="0.89582677165354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621087"/>
        <c:crosses val="autoZero"/>
        <c:crossBetween val="midCat"/>
      </c:valAx>
      <c:valAx>
        <c:axId val="83962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layout>
            <c:manualLayout>
              <c:xMode val="edge"/>
              <c:yMode val="edge"/>
              <c:x val="2.6106964180686761E-2"/>
              <c:y val="0.443991251093613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514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Life Pest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000341258104903E-2"/>
          <c:y val="0.16005040957781999"/>
          <c:w val="0.89978386986690895"/>
          <c:h val="0.7315689981096410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Semi!$P$13:$P$34</c:f>
              <c:numCache>
                <c:formatCode>0.0</c:formatCode>
                <c:ptCount val="22"/>
                <c:pt idx="0">
                  <c:v>6.8016595811931646E-2</c:v>
                </c:pt>
                <c:pt idx="1">
                  <c:v>-0.44115099791374557</c:v>
                </c:pt>
                <c:pt idx="2">
                  <c:v>5.8879614089090548</c:v>
                </c:pt>
                <c:pt idx="3">
                  <c:v>0.45173400472350522</c:v>
                </c:pt>
                <c:pt idx="4">
                  <c:v>0.2675039702850861</c:v>
                </c:pt>
                <c:pt idx="5">
                  <c:v>-1.7591542398887929</c:v>
                </c:pt>
                <c:pt idx="6">
                  <c:v>2.2552031513947934</c:v>
                </c:pt>
                <c:pt idx="7">
                  <c:v>-1.1222442448143957</c:v>
                </c:pt>
                <c:pt idx="8">
                  <c:v>-1.9095523427957877</c:v>
                </c:pt>
                <c:pt idx="9">
                  <c:v>-1.5125671315085516</c:v>
                </c:pt>
                <c:pt idx="10">
                  <c:v>-0.52339947174878176</c:v>
                </c:pt>
                <c:pt idx="11">
                  <c:v>-0.45814149856919384</c:v>
                </c:pt>
                <c:pt idx="12">
                  <c:v>-0.5064723666796529</c:v>
                </c:pt>
                <c:pt idx="13">
                  <c:v>-1.5824916108641922</c:v>
                </c:pt>
                <c:pt idx="14">
                  <c:v>-0.63522563045456693</c:v>
                </c:pt>
                <c:pt idx="15">
                  <c:v>0.71544482143368171</c:v>
                </c:pt>
                <c:pt idx="16">
                  <c:v>1.2867160296354001</c:v>
                </c:pt>
                <c:pt idx="17">
                  <c:v>-1.9165537421305974</c:v>
                </c:pt>
                <c:pt idx="18">
                  <c:v>-0.79443346490540079</c:v>
                </c:pt>
                <c:pt idx="19">
                  <c:v>-0.61320883201811949</c:v>
                </c:pt>
                <c:pt idx="20">
                  <c:v>3.173336189349806</c:v>
                </c:pt>
                <c:pt idx="21">
                  <c:v>-0.33132059725149654</c:v>
                </c:pt>
              </c:numCache>
            </c:numRef>
          </c:xVal>
          <c:yVal>
            <c:numRef>
              <c:f>Semi!$I$13:$I$34</c:f>
              <c:numCache>
                <c:formatCode>0.0</c:formatCode>
                <c:ptCount val="22"/>
                <c:pt idx="0">
                  <c:v>-1.1227272727272606</c:v>
                </c:pt>
                <c:pt idx="1">
                  <c:v>6.0772727272727423</c:v>
                </c:pt>
                <c:pt idx="2">
                  <c:v>-2.2727272727266268E-2</c:v>
                </c:pt>
                <c:pt idx="3">
                  <c:v>6.2772727272727451</c:v>
                </c:pt>
                <c:pt idx="4">
                  <c:v>4.8772727272727394</c:v>
                </c:pt>
                <c:pt idx="5">
                  <c:v>-7.8227272727272634</c:v>
                </c:pt>
                <c:pt idx="6">
                  <c:v>7.5772727272727423</c:v>
                </c:pt>
                <c:pt idx="7">
                  <c:v>-1.1227272727272606</c:v>
                </c:pt>
                <c:pt idx="8">
                  <c:v>-13.222727272727262</c:v>
                </c:pt>
                <c:pt idx="9">
                  <c:v>-5.6227272727272606</c:v>
                </c:pt>
                <c:pt idx="10">
                  <c:v>-13.222727272727262</c:v>
                </c:pt>
                <c:pt idx="11">
                  <c:v>1.6772727272727366</c:v>
                </c:pt>
                <c:pt idx="12">
                  <c:v>5.0772727272727423</c:v>
                </c:pt>
                <c:pt idx="13">
                  <c:v>-0.62272727272726058</c:v>
                </c:pt>
                <c:pt idx="14">
                  <c:v>6.6772727272727366</c:v>
                </c:pt>
                <c:pt idx="15">
                  <c:v>0.17727272727273657</c:v>
                </c:pt>
                <c:pt idx="16">
                  <c:v>6.5772727272727423</c:v>
                </c:pt>
                <c:pt idx="17">
                  <c:v>-7.0227272727272663</c:v>
                </c:pt>
                <c:pt idx="18">
                  <c:v>0.57727272727274226</c:v>
                </c:pt>
                <c:pt idx="19">
                  <c:v>-1.6227272727272606</c:v>
                </c:pt>
                <c:pt idx="20">
                  <c:v>6.1772727272727366</c:v>
                </c:pt>
                <c:pt idx="21">
                  <c:v>-0.32272727272726343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E8-41D7-8375-651B4A7B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311327"/>
        <c:axId val="792613167"/>
      </c:scatterChart>
      <c:valAx>
        <c:axId val="93931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Kg/Ha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4372270124913699"/>
              <c:y val="0.919792510148805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613167"/>
        <c:crosses val="autoZero"/>
        <c:crossBetween val="midCat"/>
      </c:valAx>
      <c:valAx>
        <c:axId val="79261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1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GDP</a:t>
            </a:r>
            <a:r>
              <a:rPr lang="en-US"/>
              <a:t> Pest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177627019972372E-2"/>
          <c:y val="0.13843247699672234"/>
          <c:w val="0.88748853902147695"/>
          <c:h val="0.7770965851851380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Semi!$P$13:$P$34</c:f>
              <c:numCache>
                <c:formatCode>0.0</c:formatCode>
                <c:ptCount val="22"/>
                <c:pt idx="0">
                  <c:v>6.8016595811931646E-2</c:v>
                </c:pt>
                <c:pt idx="1">
                  <c:v>-0.44115099791374557</c:v>
                </c:pt>
                <c:pt idx="2">
                  <c:v>5.8879614089090548</c:v>
                </c:pt>
                <c:pt idx="3">
                  <c:v>0.45173400472350522</c:v>
                </c:pt>
                <c:pt idx="4">
                  <c:v>0.2675039702850861</c:v>
                </c:pt>
                <c:pt idx="5">
                  <c:v>-1.7591542398887929</c:v>
                </c:pt>
                <c:pt idx="6">
                  <c:v>2.2552031513947934</c:v>
                </c:pt>
                <c:pt idx="7">
                  <c:v>-1.1222442448143957</c:v>
                </c:pt>
                <c:pt idx="8">
                  <c:v>-1.9095523427957877</c:v>
                </c:pt>
                <c:pt idx="9">
                  <c:v>-1.5125671315085516</c:v>
                </c:pt>
                <c:pt idx="10">
                  <c:v>-0.52339947174878176</c:v>
                </c:pt>
                <c:pt idx="11">
                  <c:v>-0.45814149856919384</c:v>
                </c:pt>
                <c:pt idx="12">
                  <c:v>-0.5064723666796529</c:v>
                </c:pt>
                <c:pt idx="13">
                  <c:v>-1.5824916108641922</c:v>
                </c:pt>
                <c:pt idx="14">
                  <c:v>-0.63522563045456693</c:v>
                </c:pt>
                <c:pt idx="15">
                  <c:v>0.71544482143368171</c:v>
                </c:pt>
                <c:pt idx="16">
                  <c:v>1.2867160296354001</c:v>
                </c:pt>
                <c:pt idx="17">
                  <c:v>-1.9165537421305974</c:v>
                </c:pt>
                <c:pt idx="18">
                  <c:v>-0.79443346490540079</c:v>
                </c:pt>
                <c:pt idx="19">
                  <c:v>-0.61320883201811949</c:v>
                </c:pt>
                <c:pt idx="20">
                  <c:v>3.173336189349806</c:v>
                </c:pt>
                <c:pt idx="21">
                  <c:v>-0.33132059725149654</c:v>
                </c:pt>
              </c:numCache>
            </c:numRef>
          </c:xVal>
          <c:yVal>
            <c:numRef>
              <c:f>Semi!$E$13:$E$34</c:f>
              <c:numCache>
                <c:formatCode>0.0</c:formatCode>
                <c:ptCount val="22"/>
                <c:pt idx="0">
                  <c:v>-15557.68181818182</c:v>
                </c:pt>
                <c:pt idx="1">
                  <c:v>20937.31818181818</c:v>
                </c:pt>
                <c:pt idx="2">
                  <c:v>-11856.68181818182</c:v>
                </c:pt>
                <c:pt idx="3">
                  <c:v>17566.31818181818</c:v>
                </c:pt>
                <c:pt idx="4">
                  <c:v>23392.31818181818</c:v>
                </c:pt>
                <c:pt idx="5">
                  <c:v>-20375.68181818182</c:v>
                </c:pt>
                <c:pt idx="6">
                  <c:v>17805.31818181818</c:v>
                </c:pt>
                <c:pt idx="7">
                  <c:v>-12070.68181818182</c:v>
                </c:pt>
                <c:pt idx="8">
                  <c:v>-19655.68181818182</c:v>
                </c:pt>
                <c:pt idx="9">
                  <c:v>-12303.68181818182</c:v>
                </c:pt>
                <c:pt idx="10">
                  <c:v>-17273.68181818182</c:v>
                </c:pt>
                <c:pt idx="11">
                  <c:v>41075.318181818177</c:v>
                </c:pt>
                <c:pt idx="12">
                  <c:v>18065.31818181818</c:v>
                </c:pt>
                <c:pt idx="13">
                  <c:v>-16256.68181818182</c:v>
                </c:pt>
                <c:pt idx="14">
                  <c:v>30484.31818181818</c:v>
                </c:pt>
                <c:pt idx="15">
                  <c:v>-13785.68181818182</c:v>
                </c:pt>
                <c:pt idx="16">
                  <c:v>8947.3181818181802</c:v>
                </c:pt>
                <c:pt idx="17">
                  <c:v>-18418.68181818182</c:v>
                </c:pt>
                <c:pt idx="18">
                  <c:v>-13919.68181818182</c:v>
                </c:pt>
                <c:pt idx="19">
                  <c:v>-2162.6818181818198</c:v>
                </c:pt>
                <c:pt idx="20">
                  <c:v>9156.3181818181802</c:v>
                </c:pt>
                <c:pt idx="21">
                  <c:v>-13792.68181818182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4A-4963-B70D-F409A5DB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311327"/>
        <c:axId val="792613167"/>
      </c:scatterChart>
      <c:valAx>
        <c:axId val="93931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Kg/Ha</a:t>
                </a:r>
              </a:p>
            </c:rich>
          </c:tx>
          <c:layout>
            <c:manualLayout>
              <c:xMode val="edge"/>
              <c:yMode val="edge"/>
              <c:x val="0.44372270124913699"/>
              <c:y val="0.919792510148805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613167"/>
        <c:crosses val="autoZero"/>
        <c:crossBetween val="midCat"/>
      </c:valAx>
      <c:valAx>
        <c:axId val="79261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GDP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1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2014 Forest Coverage versus </a:t>
            </a:r>
          </a:p>
          <a:p>
            <a:pPr>
              <a:defRPr/>
            </a:pPr>
            <a:r>
              <a:rPr lang="en-US"/>
              <a:t>2014</a:t>
            </a:r>
            <a:r>
              <a:rPr lang="en-US" baseline="0"/>
              <a:t> Precipitation</a:t>
            </a:r>
            <a:r>
              <a:rPr lang="en-US" altLang="zh-CN" baseline="0"/>
              <a:t> for 22 countries</a:t>
            </a:r>
          </a:p>
        </c:rich>
      </c:tx>
      <c:layout>
        <c:manualLayout>
          <c:xMode val="edge"/>
          <c:yMode val="edge"/>
          <c:x val="0.2847516394744605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03775896888969"/>
          <c:y val="0.22143336249635462"/>
          <c:w val="0.85275699912510905"/>
          <c:h val="0.6521710586820419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Semi!$S$13:$S$34</c:f>
              <c:numCache>
                <c:formatCode>0.0</c:formatCode>
                <c:ptCount val="22"/>
                <c:pt idx="0">
                  <c:v>613.31818181818176</c:v>
                </c:pt>
                <c:pt idx="1">
                  <c:v>-610.68181818181824</c:v>
                </c:pt>
                <c:pt idx="2">
                  <c:v>-502.68181818181824</c:v>
                </c:pt>
                <c:pt idx="3">
                  <c:v>-280.68181818181824</c:v>
                </c:pt>
                <c:pt idx="4">
                  <c:v>-447.68181818181824</c:v>
                </c:pt>
                <c:pt idx="5">
                  <c:v>-64.681818181818244</c:v>
                </c:pt>
                <c:pt idx="6">
                  <c:v>520.31818181818176</c:v>
                </c:pt>
                <c:pt idx="7">
                  <c:v>1727.3181818181818</c:v>
                </c:pt>
                <c:pt idx="8">
                  <c:v>1994.3181818181818</c:v>
                </c:pt>
                <c:pt idx="9">
                  <c:v>-687.68181818181824</c:v>
                </c:pt>
                <c:pt idx="10">
                  <c:v>-652.68181818181824</c:v>
                </c:pt>
                <c:pt idx="11">
                  <c:v>-432.68181818181824</c:v>
                </c:pt>
                <c:pt idx="12">
                  <c:v>72.318181818181756</c:v>
                </c:pt>
                <c:pt idx="13">
                  <c:v>590.31818181818176</c:v>
                </c:pt>
                <c:pt idx="14">
                  <c:v>-613.68181818181824</c:v>
                </c:pt>
                <c:pt idx="15">
                  <c:v>-556.68181818181824</c:v>
                </c:pt>
                <c:pt idx="16">
                  <c:v>-315.68181818181824</c:v>
                </c:pt>
                <c:pt idx="17">
                  <c:v>1554.3181818181818</c:v>
                </c:pt>
                <c:pt idx="18">
                  <c:v>-389.68181818181824</c:v>
                </c:pt>
                <c:pt idx="19">
                  <c:v>-1088.6818181818182</c:v>
                </c:pt>
                <c:pt idx="20">
                  <c:v>126.31818181818176</c:v>
                </c:pt>
                <c:pt idx="21">
                  <c:v>-554.68181818181824</c:v>
                </c:pt>
              </c:numCache>
            </c:numRef>
          </c:xVal>
          <c:yVal>
            <c:numRef>
              <c:f>Semi!$C$13:$C$34</c:f>
              <c:numCache>
                <c:formatCode>0.0</c:formatCode>
                <c:ptCount val="22"/>
                <c:pt idx="0">
                  <c:v>26.368181818181817</c:v>
                </c:pt>
                <c:pt idx="1">
                  <c:v>-1.4318181818181799</c:v>
                </c:pt>
                <c:pt idx="2">
                  <c:v>-13.93181818181818</c:v>
                </c:pt>
                <c:pt idx="3">
                  <c:v>-3.7318181818181806</c:v>
                </c:pt>
                <c:pt idx="4">
                  <c:v>-3.7318181818181806</c:v>
                </c:pt>
                <c:pt idx="5">
                  <c:v>-12.631818181818183</c:v>
                </c:pt>
                <c:pt idx="6">
                  <c:v>32.968181818181819</c:v>
                </c:pt>
                <c:pt idx="7">
                  <c:v>27.268181818181816</c:v>
                </c:pt>
                <c:pt idx="8">
                  <c:v>28.568181818181813</c:v>
                </c:pt>
                <c:pt idx="9">
                  <c:v>13.868181818181817</c:v>
                </c:pt>
                <c:pt idx="10">
                  <c:v>-27.93181818181818</c:v>
                </c:pt>
                <c:pt idx="11">
                  <c:v>-2.3318181818181785</c:v>
                </c:pt>
                <c:pt idx="12">
                  <c:v>-23.731818181818181</c:v>
                </c:pt>
                <c:pt idx="13">
                  <c:v>17.868181818181817</c:v>
                </c:pt>
                <c:pt idx="14">
                  <c:v>-15.831818181818182</c:v>
                </c:pt>
                <c:pt idx="15">
                  <c:v>-24.631818181818183</c:v>
                </c:pt>
                <c:pt idx="16">
                  <c:v>-4.9318181818181799</c:v>
                </c:pt>
                <c:pt idx="17">
                  <c:v>17.368181818181817</c:v>
                </c:pt>
                <c:pt idx="18">
                  <c:v>-2.0318181818181813</c:v>
                </c:pt>
                <c:pt idx="19">
                  <c:v>-35.031818181818181</c:v>
                </c:pt>
                <c:pt idx="20">
                  <c:v>28.768181818181816</c:v>
                </c:pt>
                <c:pt idx="21">
                  <c:v>-21.131818181818183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5E-4372-846D-7F928BAF9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514031"/>
        <c:axId val="839621087"/>
      </c:scatterChart>
      <c:valAx>
        <c:axId val="93651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mm/Year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621087"/>
        <c:crosses val="autoZero"/>
        <c:crossBetween val="midCat"/>
      </c:valAx>
      <c:valAx>
        <c:axId val="83962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514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Life</a:t>
            </a:r>
            <a:r>
              <a:rPr lang="en-US" baseline="0"/>
              <a:t> </a:t>
            </a:r>
            <a:r>
              <a:rPr lang="en-US" altLang="zh-CN" baseline="0"/>
              <a:t>Rain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000341258104903E-2"/>
          <c:y val="0.16005040957781999"/>
          <c:w val="0.89978386986690895"/>
          <c:h val="0.7315689981096410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Semi!$S$13:$S$34</c:f>
              <c:numCache>
                <c:formatCode>0.0</c:formatCode>
                <c:ptCount val="22"/>
                <c:pt idx="0">
                  <c:v>613.31818181818176</c:v>
                </c:pt>
                <c:pt idx="1">
                  <c:v>-610.68181818181824</c:v>
                </c:pt>
                <c:pt idx="2">
                  <c:v>-502.68181818181824</c:v>
                </c:pt>
                <c:pt idx="3">
                  <c:v>-280.68181818181824</c:v>
                </c:pt>
                <c:pt idx="4">
                  <c:v>-447.68181818181824</c:v>
                </c:pt>
                <c:pt idx="5">
                  <c:v>-64.681818181818244</c:v>
                </c:pt>
                <c:pt idx="6">
                  <c:v>520.31818181818176</c:v>
                </c:pt>
                <c:pt idx="7">
                  <c:v>1727.3181818181818</c:v>
                </c:pt>
                <c:pt idx="8">
                  <c:v>1994.3181818181818</c:v>
                </c:pt>
                <c:pt idx="9">
                  <c:v>-687.68181818181824</c:v>
                </c:pt>
                <c:pt idx="10">
                  <c:v>-652.68181818181824</c:v>
                </c:pt>
                <c:pt idx="11">
                  <c:v>-432.68181818181824</c:v>
                </c:pt>
                <c:pt idx="12">
                  <c:v>72.318181818181756</c:v>
                </c:pt>
                <c:pt idx="13">
                  <c:v>590.31818181818176</c:v>
                </c:pt>
                <c:pt idx="14">
                  <c:v>-613.68181818181824</c:v>
                </c:pt>
                <c:pt idx="15">
                  <c:v>-556.68181818181824</c:v>
                </c:pt>
                <c:pt idx="16">
                  <c:v>-315.68181818181824</c:v>
                </c:pt>
                <c:pt idx="17">
                  <c:v>1554.3181818181818</c:v>
                </c:pt>
                <c:pt idx="18">
                  <c:v>-389.68181818181824</c:v>
                </c:pt>
                <c:pt idx="19">
                  <c:v>-1088.6818181818182</c:v>
                </c:pt>
                <c:pt idx="20">
                  <c:v>126.31818181818176</c:v>
                </c:pt>
                <c:pt idx="21">
                  <c:v>-554.68181818181824</c:v>
                </c:pt>
              </c:numCache>
            </c:numRef>
          </c:xVal>
          <c:yVal>
            <c:numRef>
              <c:f>Semi!$I$13:$I$34</c:f>
              <c:numCache>
                <c:formatCode>0.0</c:formatCode>
                <c:ptCount val="22"/>
                <c:pt idx="0">
                  <c:v>-1.1227272727272606</c:v>
                </c:pt>
                <c:pt idx="1">
                  <c:v>6.0772727272727423</c:v>
                </c:pt>
                <c:pt idx="2">
                  <c:v>-2.2727272727266268E-2</c:v>
                </c:pt>
                <c:pt idx="3">
                  <c:v>6.2772727272727451</c:v>
                </c:pt>
                <c:pt idx="4">
                  <c:v>4.8772727272727394</c:v>
                </c:pt>
                <c:pt idx="5">
                  <c:v>-7.8227272727272634</c:v>
                </c:pt>
                <c:pt idx="6">
                  <c:v>7.5772727272727423</c:v>
                </c:pt>
                <c:pt idx="7">
                  <c:v>-1.1227272727272606</c:v>
                </c:pt>
                <c:pt idx="8">
                  <c:v>-13.222727272727262</c:v>
                </c:pt>
                <c:pt idx="9">
                  <c:v>-5.6227272727272606</c:v>
                </c:pt>
                <c:pt idx="10">
                  <c:v>-13.222727272727262</c:v>
                </c:pt>
                <c:pt idx="11">
                  <c:v>1.6772727272727366</c:v>
                </c:pt>
                <c:pt idx="12">
                  <c:v>5.0772727272727423</c:v>
                </c:pt>
                <c:pt idx="13">
                  <c:v>-0.62272727272726058</c:v>
                </c:pt>
                <c:pt idx="14">
                  <c:v>6.6772727272727366</c:v>
                </c:pt>
                <c:pt idx="15">
                  <c:v>0.17727272727273657</c:v>
                </c:pt>
                <c:pt idx="16">
                  <c:v>6.5772727272727423</c:v>
                </c:pt>
                <c:pt idx="17">
                  <c:v>-7.0227272727272663</c:v>
                </c:pt>
                <c:pt idx="18">
                  <c:v>0.57727272727274226</c:v>
                </c:pt>
                <c:pt idx="19">
                  <c:v>-1.6227272727272606</c:v>
                </c:pt>
                <c:pt idx="20">
                  <c:v>6.1772727272727366</c:v>
                </c:pt>
                <c:pt idx="21">
                  <c:v>-0.32272727272726343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63-4BF0-BAFE-4235707B9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311327"/>
        <c:axId val="792613167"/>
      </c:scatterChart>
      <c:valAx>
        <c:axId val="93931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Rain</a:t>
                </a:r>
                <a:r>
                  <a:rPr lang="en-US"/>
                  <a:t> Rate</a:t>
                </a:r>
              </a:p>
            </c:rich>
          </c:tx>
          <c:layout>
            <c:manualLayout>
              <c:xMode val="edge"/>
              <c:yMode val="edge"/>
              <c:x val="0.44372270124913699"/>
              <c:y val="0.919792510148805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613167"/>
        <c:crosses val="autoZero"/>
        <c:crossBetween val="midCat"/>
      </c:valAx>
      <c:valAx>
        <c:axId val="79261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1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GDP</a:t>
            </a:r>
            <a:r>
              <a:rPr lang="en-US"/>
              <a:t> </a:t>
            </a:r>
            <a:r>
              <a:rPr lang="en-US" altLang="zh-CN"/>
              <a:t>Rain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484281756421199E-2"/>
          <c:y val="0.13061825599229299"/>
          <c:w val="0.88748853902147695"/>
          <c:h val="0.7770965851851380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Semi!$S$13:$S$34</c:f>
              <c:numCache>
                <c:formatCode>0.0</c:formatCode>
                <c:ptCount val="22"/>
                <c:pt idx="0">
                  <c:v>613.31818181818176</c:v>
                </c:pt>
                <c:pt idx="1">
                  <c:v>-610.68181818181824</c:v>
                </c:pt>
                <c:pt idx="2">
                  <c:v>-502.68181818181824</c:v>
                </c:pt>
                <c:pt idx="3">
                  <c:v>-280.68181818181824</c:v>
                </c:pt>
                <c:pt idx="4">
                  <c:v>-447.68181818181824</c:v>
                </c:pt>
                <c:pt idx="5">
                  <c:v>-64.681818181818244</c:v>
                </c:pt>
                <c:pt idx="6">
                  <c:v>520.31818181818176</c:v>
                </c:pt>
                <c:pt idx="7">
                  <c:v>1727.3181818181818</c:v>
                </c:pt>
                <c:pt idx="8">
                  <c:v>1994.3181818181818</c:v>
                </c:pt>
                <c:pt idx="9">
                  <c:v>-687.68181818181824</c:v>
                </c:pt>
                <c:pt idx="10">
                  <c:v>-652.68181818181824</c:v>
                </c:pt>
                <c:pt idx="11">
                  <c:v>-432.68181818181824</c:v>
                </c:pt>
                <c:pt idx="12">
                  <c:v>72.318181818181756</c:v>
                </c:pt>
                <c:pt idx="13">
                  <c:v>590.31818181818176</c:v>
                </c:pt>
                <c:pt idx="14">
                  <c:v>-613.68181818181824</c:v>
                </c:pt>
                <c:pt idx="15">
                  <c:v>-556.68181818181824</c:v>
                </c:pt>
                <c:pt idx="16">
                  <c:v>-315.68181818181824</c:v>
                </c:pt>
                <c:pt idx="17">
                  <c:v>1554.3181818181818</c:v>
                </c:pt>
                <c:pt idx="18">
                  <c:v>-389.68181818181824</c:v>
                </c:pt>
                <c:pt idx="19">
                  <c:v>-1088.6818181818182</c:v>
                </c:pt>
                <c:pt idx="20">
                  <c:v>126.31818181818176</c:v>
                </c:pt>
                <c:pt idx="21">
                  <c:v>-554.68181818181824</c:v>
                </c:pt>
              </c:numCache>
            </c:numRef>
          </c:xVal>
          <c:yVal>
            <c:numRef>
              <c:f>Semi!$E$13:$E$34</c:f>
              <c:numCache>
                <c:formatCode>0.0</c:formatCode>
                <c:ptCount val="22"/>
                <c:pt idx="0">
                  <c:v>-15557.68181818182</c:v>
                </c:pt>
                <c:pt idx="1">
                  <c:v>20937.31818181818</c:v>
                </c:pt>
                <c:pt idx="2">
                  <c:v>-11856.68181818182</c:v>
                </c:pt>
                <c:pt idx="3">
                  <c:v>17566.31818181818</c:v>
                </c:pt>
                <c:pt idx="4">
                  <c:v>23392.31818181818</c:v>
                </c:pt>
                <c:pt idx="5">
                  <c:v>-20375.68181818182</c:v>
                </c:pt>
                <c:pt idx="6">
                  <c:v>17805.31818181818</c:v>
                </c:pt>
                <c:pt idx="7">
                  <c:v>-12070.68181818182</c:v>
                </c:pt>
                <c:pt idx="8">
                  <c:v>-19655.68181818182</c:v>
                </c:pt>
                <c:pt idx="9">
                  <c:v>-12303.68181818182</c:v>
                </c:pt>
                <c:pt idx="10">
                  <c:v>-17273.68181818182</c:v>
                </c:pt>
                <c:pt idx="11">
                  <c:v>41075.318181818177</c:v>
                </c:pt>
                <c:pt idx="12">
                  <c:v>18065.31818181818</c:v>
                </c:pt>
                <c:pt idx="13">
                  <c:v>-16256.68181818182</c:v>
                </c:pt>
                <c:pt idx="14">
                  <c:v>30484.31818181818</c:v>
                </c:pt>
                <c:pt idx="15">
                  <c:v>-13785.68181818182</c:v>
                </c:pt>
                <c:pt idx="16">
                  <c:v>8947.3181818181802</c:v>
                </c:pt>
                <c:pt idx="17">
                  <c:v>-18418.68181818182</c:v>
                </c:pt>
                <c:pt idx="18">
                  <c:v>-13919.68181818182</c:v>
                </c:pt>
                <c:pt idx="19">
                  <c:v>-2162.6818181818198</c:v>
                </c:pt>
                <c:pt idx="20">
                  <c:v>9156.3181818181802</c:v>
                </c:pt>
                <c:pt idx="21">
                  <c:v>-13792.68181818182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D0-4283-991E-BF30AE656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311327"/>
        <c:axId val="792613167"/>
      </c:scatterChart>
      <c:valAx>
        <c:axId val="93931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mm/Year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4372270124913699"/>
              <c:y val="0.919792510148805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613167"/>
        <c:crosses val="autoZero"/>
        <c:crossBetween val="midCat"/>
      </c:valAx>
      <c:valAx>
        <c:axId val="79261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1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2021.7.7 COVID-19 Sum Toll/Recovery versus</a:t>
            </a:r>
          </a:p>
          <a:p>
            <a:pPr>
              <a:defRPr/>
            </a:pPr>
            <a:r>
              <a:rPr lang="en-US"/>
              <a:t>2014 Precipitation for 22 countries</a:t>
            </a:r>
          </a:p>
        </c:rich>
      </c:tx>
      <c:layout>
        <c:manualLayout>
          <c:xMode val="edge"/>
          <c:yMode val="edge"/>
          <c:x val="0.24777130494470939"/>
          <c:y val="3.16357538641003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745468023441799E-2"/>
          <c:y val="0.221433412330657"/>
          <c:w val="0.85275699912510905"/>
          <c:h val="0.6845151568745360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Semi!$S$13:$S$34</c:f>
              <c:numCache>
                <c:formatCode>0.0</c:formatCode>
                <c:ptCount val="22"/>
                <c:pt idx="0">
                  <c:v>613.31818181818176</c:v>
                </c:pt>
                <c:pt idx="1">
                  <c:v>-610.68181818181824</c:v>
                </c:pt>
                <c:pt idx="2">
                  <c:v>-502.68181818181824</c:v>
                </c:pt>
                <c:pt idx="3">
                  <c:v>-280.68181818181824</c:v>
                </c:pt>
                <c:pt idx="4">
                  <c:v>-447.68181818181824</c:v>
                </c:pt>
                <c:pt idx="5">
                  <c:v>-64.681818181818244</c:v>
                </c:pt>
                <c:pt idx="6">
                  <c:v>520.31818181818176</c:v>
                </c:pt>
                <c:pt idx="7">
                  <c:v>1727.3181818181818</c:v>
                </c:pt>
                <c:pt idx="8">
                  <c:v>1994.3181818181818</c:v>
                </c:pt>
                <c:pt idx="9">
                  <c:v>-687.68181818181824</c:v>
                </c:pt>
                <c:pt idx="10">
                  <c:v>-652.68181818181824</c:v>
                </c:pt>
                <c:pt idx="11">
                  <c:v>-432.68181818181824</c:v>
                </c:pt>
                <c:pt idx="12">
                  <c:v>72.318181818181756</c:v>
                </c:pt>
                <c:pt idx="13">
                  <c:v>590.31818181818176</c:v>
                </c:pt>
                <c:pt idx="14">
                  <c:v>-613.68181818181824</c:v>
                </c:pt>
                <c:pt idx="15">
                  <c:v>-556.68181818181824</c:v>
                </c:pt>
                <c:pt idx="16">
                  <c:v>-315.68181818181824</c:v>
                </c:pt>
                <c:pt idx="17">
                  <c:v>1554.3181818181818</c:v>
                </c:pt>
                <c:pt idx="18">
                  <c:v>-389.68181818181824</c:v>
                </c:pt>
                <c:pt idx="19">
                  <c:v>-1088.6818181818182</c:v>
                </c:pt>
                <c:pt idx="20">
                  <c:v>126.31818181818176</c:v>
                </c:pt>
                <c:pt idx="21">
                  <c:v>-554.68181818181824</c:v>
                </c:pt>
              </c:numCache>
            </c:numRef>
          </c:xVal>
          <c:yVal>
            <c:numRef>
              <c:f>Semi!$G$13:$G$34</c:f>
              <c:numCache>
                <c:formatCode>0.0000</c:formatCode>
                <c:ptCount val="22"/>
                <c:pt idx="0">
                  <c:v>-1.9232642677394669E-3</c:v>
                </c:pt>
                <c:pt idx="1">
                  <c:v>-1.3421576987634555E-2</c:v>
                </c:pt>
                <c:pt idx="2">
                  <c:v>1.8163072153469267E-2</c:v>
                </c:pt>
                <c:pt idx="3">
                  <c:v>-7.2135875854155047E-3</c:v>
                </c:pt>
                <c:pt idx="4">
                  <c:v>-7.2135875854155047E-3</c:v>
                </c:pt>
                <c:pt idx="5">
                  <c:v>-1.8883777072118933E-2</c:v>
                </c:pt>
                <c:pt idx="6">
                  <c:v>-1.3281638995797148E-2</c:v>
                </c:pt>
                <c:pt idx="7">
                  <c:v>-8.9233704999309924E-3</c:v>
                </c:pt>
                <c:pt idx="8">
                  <c:v>-2.1979112456189956E-2</c:v>
                </c:pt>
                <c:pt idx="9">
                  <c:v>-5.1455888132695138E-3</c:v>
                </c:pt>
                <c:pt idx="10">
                  <c:v>1.4914809404545995E-3</c:v>
                </c:pt>
                <c:pt idx="11">
                  <c:v>-1.1121506472825914E-2</c:v>
                </c:pt>
                <c:pt idx="12">
                  <c:v>-2.906914368209626E-3</c:v>
                </c:pt>
                <c:pt idx="13">
                  <c:v>7.9939475839468616E-2</c:v>
                </c:pt>
                <c:pt idx="14">
                  <c:v>-1.5054175516458455E-3</c:v>
                </c:pt>
                <c:pt idx="15">
                  <c:v>-9.3202906858876333E-3</c:v>
                </c:pt>
                <c:pt idx="16">
                  <c:v>-1.2627774229700683E-3</c:v>
                </c:pt>
                <c:pt idx="17">
                  <c:v>-8.639084789838769E-4</c:v>
                </c:pt>
                <c:pt idx="18">
                  <c:v>8.3289636169332465E-2</c:v>
                </c:pt>
                <c:pt idx="19">
                  <c:v>-1.5821904909705455E-2</c:v>
                </c:pt>
                <c:pt idx="20">
                  <c:v>-1.9033393474556959E-2</c:v>
                </c:pt>
                <c:pt idx="21">
                  <c:v>-2.3062047474428034E-2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C-4F0A-A9ED-3539DD12F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514031"/>
        <c:axId val="839621087"/>
      </c:scatterChart>
      <c:valAx>
        <c:axId val="93651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mm/Year</a:t>
                </a:r>
              </a:p>
            </c:rich>
          </c:tx>
          <c:layout>
            <c:manualLayout>
              <c:xMode val="edge"/>
              <c:yMode val="edge"/>
              <c:x val="0.44264164092402197"/>
              <c:y val="0.923917512645466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621087"/>
        <c:crosses val="autoZero"/>
        <c:crossBetween val="midCat"/>
      </c:valAx>
      <c:valAx>
        <c:axId val="83962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Death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514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Nobel Scientist</a:t>
            </a:r>
          </a:p>
        </c:rich>
      </c:tx>
      <c:layout>
        <c:manualLayout>
          <c:xMode val="edge"/>
          <c:yMode val="edge"/>
          <c:x val="0.43547285763059101"/>
          <c:y val="2.52047889098928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000341258104903E-2"/>
          <c:y val="0.16005040957781999"/>
          <c:w val="0.89978386986690895"/>
          <c:h val="0.7315689981096410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Semi!$P$13:$P$34</c:f>
              <c:numCache>
                <c:formatCode>0.0</c:formatCode>
                <c:ptCount val="22"/>
                <c:pt idx="0">
                  <c:v>6.8016595811931646E-2</c:v>
                </c:pt>
                <c:pt idx="1">
                  <c:v>-0.44115099791374557</c:v>
                </c:pt>
                <c:pt idx="2">
                  <c:v>5.8879614089090548</c:v>
                </c:pt>
                <c:pt idx="3">
                  <c:v>0.45173400472350522</c:v>
                </c:pt>
                <c:pt idx="4">
                  <c:v>0.2675039702850861</c:v>
                </c:pt>
                <c:pt idx="5">
                  <c:v>-1.7591542398887929</c:v>
                </c:pt>
                <c:pt idx="6">
                  <c:v>2.2552031513947934</c:v>
                </c:pt>
                <c:pt idx="7">
                  <c:v>-1.1222442448143957</c:v>
                </c:pt>
                <c:pt idx="8">
                  <c:v>-1.9095523427957877</c:v>
                </c:pt>
                <c:pt idx="9">
                  <c:v>-1.5125671315085516</c:v>
                </c:pt>
                <c:pt idx="10">
                  <c:v>-0.52339947174878176</c:v>
                </c:pt>
                <c:pt idx="11">
                  <c:v>-0.45814149856919384</c:v>
                </c:pt>
                <c:pt idx="12">
                  <c:v>-0.5064723666796529</c:v>
                </c:pt>
                <c:pt idx="13">
                  <c:v>-1.5824916108641922</c:v>
                </c:pt>
                <c:pt idx="14">
                  <c:v>-0.63522563045456693</c:v>
                </c:pt>
                <c:pt idx="15">
                  <c:v>0.71544482143368171</c:v>
                </c:pt>
                <c:pt idx="16">
                  <c:v>1.2867160296354001</c:v>
                </c:pt>
                <c:pt idx="17">
                  <c:v>-1.9165537421305974</c:v>
                </c:pt>
                <c:pt idx="18">
                  <c:v>-0.79443346490540079</c:v>
                </c:pt>
                <c:pt idx="19">
                  <c:v>-0.61320883201811949</c:v>
                </c:pt>
                <c:pt idx="20">
                  <c:v>3.173336189349806</c:v>
                </c:pt>
                <c:pt idx="21">
                  <c:v>-0.33132059725149654</c:v>
                </c:pt>
              </c:numCache>
            </c:numRef>
          </c:xVal>
          <c:yVal>
            <c:numRef>
              <c:f>Semi!$K$13:$K$34</c:f>
              <c:numCache>
                <c:formatCode>0.0</c:formatCode>
                <c:ptCount val="22"/>
                <c:pt idx="0">
                  <c:v>-33.5</c:v>
                </c:pt>
                <c:pt idx="1">
                  <c:v>-11.5</c:v>
                </c:pt>
                <c:pt idx="2">
                  <c:v>-21.5</c:v>
                </c:pt>
                <c:pt idx="3">
                  <c:v>2.5</c:v>
                </c:pt>
                <c:pt idx="4">
                  <c:v>55.5</c:v>
                </c:pt>
                <c:pt idx="5">
                  <c:v>-28.5</c:v>
                </c:pt>
                <c:pt idx="6">
                  <c:v>-12.5</c:v>
                </c:pt>
                <c:pt idx="7">
                  <c:v>-34.5</c:v>
                </c:pt>
                <c:pt idx="8">
                  <c:v>-34.5</c:v>
                </c:pt>
                <c:pt idx="9">
                  <c:v>-18.5</c:v>
                </c:pt>
                <c:pt idx="10">
                  <c:v>-24.5</c:v>
                </c:pt>
                <c:pt idx="11">
                  <c:v>331.5</c:v>
                </c:pt>
                <c:pt idx="12">
                  <c:v>96.5</c:v>
                </c:pt>
                <c:pt idx="13">
                  <c:v>-33.5</c:v>
                </c:pt>
                <c:pt idx="14">
                  <c:v>-22.5</c:v>
                </c:pt>
                <c:pt idx="15">
                  <c:v>-29.5</c:v>
                </c:pt>
                <c:pt idx="16">
                  <c:v>-14.5</c:v>
                </c:pt>
                <c:pt idx="17">
                  <c:v>-34.5</c:v>
                </c:pt>
                <c:pt idx="18">
                  <c:v>-31.5</c:v>
                </c:pt>
                <c:pt idx="19">
                  <c:v>-34.5</c:v>
                </c:pt>
                <c:pt idx="20">
                  <c:v>-33.5</c:v>
                </c:pt>
                <c:pt idx="21">
                  <c:v>-32.5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D6-4275-8341-32F89126E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311327"/>
        <c:axId val="792613167"/>
      </c:scatterChart>
      <c:valAx>
        <c:axId val="93931132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Kg/Ha</a:t>
                </a:r>
              </a:p>
            </c:rich>
          </c:tx>
          <c:layout>
            <c:manualLayout>
              <c:xMode val="edge"/>
              <c:yMode val="edge"/>
              <c:x val="0.44372270124913699"/>
              <c:y val="0.919792510148805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crossAx val="792613167"/>
        <c:crosses val="autoZero"/>
        <c:crossBetween val="midCat"/>
      </c:valAx>
      <c:valAx>
        <c:axId val="79261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1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240030</xdr:colOff>
      <xdr:row>39</xdr:row>
      <xdr:rowOff>163195</xdr:rowOff>
    </xdr:from>
    <xdr:to>
      <xdr:col>15</xdr:col>
      <xdr:colOff>693935</xdr:colOff>
      <xdr:row>57</xdr:row>
      <xdr:rowOff>164161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1508125</xdr:colOff>
      <xdr:row>40</xdr:row>
      <xdr:rowOff>135890</xdr:rowOff>
    </xdr:from>
    <xdr:to>
      <xdr:col>4</xdr:col>
      <xdr:colOff>714510</xdr:colOff>
      <xdr:row>58</xdr:row>
      <xdr:rowOff>135890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387350</xdr:colOff>
      <xdr:row>41</xdr:row>
      <xdr:rowOff>36195</xdr:rowOff>
    </xdr:from>
    <xdr:to>
      <xdr:col>25</xdr:col>
      <xdr:colOff>397587</xdr:colOff>
      <xdr:row>59</xdr:row>
      <xdr:rowOff>11747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501015</xdr:colOff>
      <xdr:row>40</xdr:row>
      <xdr:rowOff>99060</xdr:rowOff>
    </xdr:from>
    <xdr:to>
      <xdr:col>9</xdr:col>
      <xdr:colOff>1191898</xdr:colOff>
      <xdr:row>58</xdr:row>
      <xdr:rowOff>51752</xdr:rowOff>
    </xdr:to>
    <xdr:graphicFrame macro="">
      <xdr:nvGraphicFramePr>
        <xdr:cNvPr id="6" name="Chart 4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1425575</xdr:colOff>
      <xdr:row>60</xdr:row>
      <xdr:rowOff>90805</xdr:rowOff>
    </xdr:from>
    <xdr:to>
      <xdr:col>4</xdr:col>
      <xdr:colOff>631825</xdr:colOff>
      <xdr:row>78</xdr:row>
      <xdr:rowOff>90805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310515</xdr:colOff>
      <xdr:row>62</xdr:row>
      <xdr:rowOff>0</xdr:rowOff>
    </xdr:from>
    <xdr:to>
      <xdr:col>25</xdr:col>
      <xdr:colOff>320675</xdr:colOff>
      <xdr:row>79</xdr:row>
      <xdr:rowOff>142875</xdr:rowOff>
    </xdr:to>
    <xdr:graphicFrame macro="">
      <xdr:nvGraphicFramePr>
        <xdr:cNvPr id="8" name="Chart 4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834390</xdr:colOff>
      <xdr:row>60</xdr:row>
      <xdr:rowOff>18415</xdr:rowOff>
    </xdr:from>
    <xdr:to>
      <xdr:col>9</xdr:col>
      <xdr:colOff>671830</xdr:colOff>
      <xdr:row>77</xdr:row>
      <xdr:rowOff>161290</xdr:rowOff>
    </xdr:to>
    <xdr:graphicFrame macro="">
      <xdr:nvGraphicFramePr>
        <xdr:cNvPr id="9" name="Chart 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234950</xdr:colOff>
      <xdr:row>59</xdr:row>
      <xdr:rowOff>156845</xdr:rowOff>
    </xdr:from>
    <xdr:to>
      <xdr:col>15</xdr:col>
      <xdr:colOff>688340</xdr:colOff>
      <xdr:row>77</xdr:row>
      <xdr:rowOff>156845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175260</xdr:colOff>
      <xdr:row>41</xdr:row>
      <xdr:rowOff>52705</xdr:rowOff>
    </xdr:from>
    <xdr:to>
      <xdr:col>35</xdr:col>
      <xdr:colOff>219710</xdr:colOff>
      <xdr:row>59</xdr:row>
      <xdr:rowOff>27940</xdr:rowOff>
    </xdr:to>
    <xdr:graphicFrame macro="">
      <xdr:nvGraphicFramePr>
        <xdr:cNvPr id="11" name="Chart 4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0</xdr:colOff>
      <xdr:row>61</xdr:row>
      <xdr:rowOff>166370</xdr:rowOff>
    </xdr:from>
    <xdr:to>
      <xdr:col>36</xdr:col>
      <xdr:colOff>54610</xdr:colOff>
      <xdr:row>79</xdr:row>
      <xdr:rowOff>141605</xdr:rowOff>
    </xdr:to>
    <xdr:graphicFrame macro="">
      <xdr:nvGraphicFramePr>
        <xdr:cNvPr id="12" name="Chart 4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36</xdr:col>
      <xdr:colOff>603250</xdr:colOff>
      <xdr:row>41</xdr:row>
      <xdr:rowOff>8255</xdr:rowOff>
    </xdr:from>
    <xdr:to>
      <xdr:col>46</xdr:col>
      <xdr:colOff>44450</xdr:colOff>
      <xdr:row>58</xdr:row>
      <xdr:rowOff>151130</xdr:rowOff>
    </xdr:to>
    <xdr:graphicFrame macro="">
      <xdr:nvGraphicFramePr>
        <xdr:cNvPr id="13" name="Chart 4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37</xdr:col>
      <xdr:colOff>0</xdr:colOff>
      <xdr:row>62</xdr:row>
      <xdr:rowOff>0</xdr:rowOff>
    </xdr:from>
    <xdr:to>
      <xdr:col>46</xdr:col>
      <xdr:colOff>54610</xdr:colOff>
      <xdr:row>79</xdr:row>
      <xdr:rowOff>142875</xdr:rowOff>
    </xdr:to>
    <xdr:graphicFrame macro="">
      <xdr:nvGraphicFramePr>
        <xdr:cNvPr id="14" name="Chart 4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T45"/>
  <sheetViews>
    <sheetView tabSelected="1" zoomScale="55" zoomScaleNormal="55" workbookViewId="0">
      <selection activeCell="AK45" sqref="AK45"/>
    </sheetView>
  </sheetViews>
  <sheetFormatPr defaultColWidth="8.6328125" defaultRowHeight="15.5"/>
  <cols>
    <col min="1" max="1" width="33.08984375" style="2" customWidth="1"/>
    <col min="2" max="2" width="23.26953125" style="2" customWidth="1"/>
    <col min="3" max="3" width="12" style="3" customWidth="1"/>
    <col min="4" max="4" width="21.7265625" style="3" customWidth="1"/>
    <col min="5" max="5" width="12" style="3" customWidth="1"/>
    <col min="6" max="6" width="21.7265625" style="3" customWidth="1"/>
    <col min="7" max="7" width="12" style="3" customWidth="1"/>
    <col min="8" max="8" width="21" style="4" customWidth="1"/>
    <col min="9" max="9" width="13.6328125" style="4" customWidth="1"/>
    <col min="10" max="10" width="23.26953125" style="5" customWidth="1"/>
    <col min="11" max="11" width="14.26953125" style="6" customWidth="1"/>
    <col min="12" max="12" width="18.7265625" style="7" customWidth="1"/>
    <col min="13" max="13" width="13.36328125" style="8" customWidth="1"/>
    <col min="14" max="15" width="13.453125" style="9" customWidth="1"/>
    <col min="16" max="16" width="13.90625" style="9" customWidth="1"/>
    <col min="17" max="18" width="12.6328125" style="10" customWidth="1"/>
    <col min="19" max="19" width="13.90625" style="11" customWidth="1"/>
    <col min="20" max="16384" width="8.6328125" style="2"/>
  </cols>
  <sheetData>
    <row r="1" spans="1:46" s="1" customFormat="1">
      <c r="A1" s="1" t="s">
        <v>38</v>
      </c>
      <c r="C1" s="12"/>
      <c r="D1" s="12"/>
      <c r="E1" s="12"/>
      <c r="F1" s="12"/>
      <c r="G1" s="12"/>
      <c r="H1" s="40"/>
      <c r="I1" s="40"/>
      <c r="J1" s="55"/>
      <c r="K1" s="56"/>
      <c r="L1" s="57"/>
      <c r="M1" s="89"/>
      <c r="N1" s="90"/>
      <c r="O1" s="90"/>
      <c r="P1" s="90"/>
      <c r="Q1" s="106"/>
      <c r="R1" s="106"/>
      <c r="S1" s="107"/>
    </row>
    <row r="2" spans="1:46" s="1" customFormat="1">
      <c r="A2" s="13"/>
      <c r="B2" s="13"/>
      <c r="C2" s="12"/>
      <c r="D2" s="12"/>
      <c r="E2" s="12"/>
      <c r="F2" s="12"/>
      <c r="G2" s="12"/>
      <c r="H2" s="40"/>
      <c r="I2" s="40"/>
      <c r="J2" s="55"/>
      <c r="K2" s="56"/>
      <c r="L2" s="57"/>
      <c r="M2" s="89"/>
      <c r="N2" s="90"/>
      <c r="O2" s="90"/>
      <c r="P2" s="90"/>
      <c r="Q2" s="106"/>
      <c r="R2" s="106"/>
      <c r="S2" s="107"/>
    </row>
    <row r="3" spans="1:46" s="1" customFormat="1">
      <c r="A3" s="14"/>
      <c r="B3" s="14"/>
      <c r="C3" s="12"/>
      <c r="D3" s="14"/>
      <c r="E3" s="12"/>
      <c r="F3" s="14" t="s">
        <v>1</v>
      </c>
      <c r="G3" s="12"/>
      <c r="H3" s="40"/>
      <c r="I3" s="40"/>
      <c r="J3" s="55"/>
      <c r="K3" s="56"/>
      <c r="L3" s="57"/>
      <c r="M3" s="89"/>
      <c r="N3" s="90"/>
      <c r="O3" s="90"/>
      <c r="P3" s="90"/>
      <c r="Q3" s="106"/>
      <c r="R3" s="106"/>
      <c r="S3" s="107"/>
    </row>
    <row r="5" spans="1:46">
      <c r="A5" s="15" t="s">
        <v>39</v>
      </c>
      <c r="B5" s="15" t="s">
        <v>2</v>
      </c>
      <c r="D5" s="3" t="s">
        <v>40</v>
      </c>
      <c r="F5" s="9" t="s">
        <v>41</v>
      </c>
      <c r="H5" s="4" t="s">
        <v>42</v>
      </c>
      <c r="J5" s="5" t="s">
        <v>45</v>
      </c>
      <c r="L5" s="58" t="s">
        <v>46</v>
      </c>
      <c r="N5" s="9" t="s">
        <v>37</v>
      </c>
      <c r="O5" s="9" t="s">
        <v>37</v>
      </c>
      <c r="Q5" s="10" t="s">
        <v>37</v>
      </c>
      <c r="R5" s="10" t="s">
        <v>37</v>
      </c>
      <c r="AF5" s="2" t="s">
        <v>3</v>
      </c>
    </row>
    <row r="6" spans="1:46">
      <c r="A6" s="15"/>
      <c r="B6" s="15"/>
      <c r="L6" s="58"/>
    </row>
    <row r="7" spans="1:46">
      <c r="A7" s="16" t="s">
        <v>43</v>
      </c>
      <c r="B7" s="17">
        <f>U37/B38/O38</f>
        <v>0.25188132905510063</v>
      </c>
      <c r="C7" s="17" t="s">
        <v>53</v>
      </c>
      <c r="D7" s="17">
        <f>W37/D38/O38</f>
        <v>0.36903804464749751</v>
      </c>
      <c r="E7" s="17" t="s">
        <v>53</v>
      </c>
      <c r="F7" s="17">
        <f>Y37/F38/O38</f>
        <v>0.31719690586424992</v>
      </c>
      <c r="G7" s="17" t="s">
        <v>53</v>
      </c>
      <c r="H7" s="41">
        <f>AA37/H38/O38</f>
        <v>0.51747978286516128</v>
      </c>
      <c r="I7" s="41" t="s">
        <v>53</v>
      </c>
      <c r="J7" s="59">
        <f>AC37/J38/O38</f>
        <v>0.12458680408057816</v>
      </c>
      <c r="K7" s="60" t="s">
        <v>53</v>
      </c>
      <c r="L7" s="61">
        <f>AE37/L38/O38</f>
        <v>0.19413070826042778</v>
      </c>
      <c r="M7" s="91" t="s">
        <v>53</v>
      </c>
      <c r="P7" s="92"/>
      <c r="S7" s="108"/>
      <c r="T7" s="2" t="s">
        <v>4</v>
      </c>
    </row>
    <row r="8" spans="1:46">
      <c r="A8" s="18"/>
      <c r="B8" s="19">
        <f>AI37/B38/O38</f>
        <v>0.37939065204951383</v>
      </c>
      <c r="C8" s="20" t="s">
        <v>7</v>
      </c>
      <c r="D8" s="19">
        <f>AK37/D38/O38</f>
        <v>0.23610556396688015</v>
      </c>
      <c r="E8" s="20" t="s">
        <v>7</v>
      </c>
      <c r="F8" s="19">
        <f>AM37/F38/O38</f>
        <v>5.3835852306100204E-2</v>
      </c>
      <c r="G8" s="20" t="s">
        <v>7</v>
      </c>
      <c r="H8" s="42">
        <f>AO37/H38/O38</f>
        <v>4.1917056105710032E-2</v>
      </c>
      <c r="I8" s="45" t="s">
        <v>7</v>
      </c>
      <c r="J8" s="62">
        <f>AQ37/J38/O38</f>
        <v>0.15425611892291188</v>
      </c>
      <c r="K8" s="63" t="s">
        <v>7</v>
      </c>
      <c r="L8" s="64">
        <f>AS37/L38/O38</f>
        <v>0.30021700941160229</v>
      </c>
      <c r="M8" s="93" t="s">
        <v>7</v>
      </c>
      <c r="P8" s="92"/>
      <c r="S8" s="108"/>
      <c r="U8" s="2" t="s">
        <v>5</v>
      </c>
      <c r="W8" s="2" t="s">
        <v>47</v>
      </c>
      <c r="Y8" s="2" t="s">
        <v>6</v>
      </c>
      <c r="AA8" s="2" t="s">
        <v>48</v>
      </c>
      <c r="AC8" s="2" t="s">
        <v>49</v>
      </c>
      <c r="AE8" s="2" t="s">
        <v>50</v>
      </c>
    </row>
    <row r="9" spans="1:46">
      <c r="A9" s="21" t="s">
        <v>44</v>
      </c>
      <c r="B9" s="22">
        <f>V37/B38/R38</f>
        <v>0.73345396545154007</v>
      </c>
      <c r="C9" s="23" t="s">
        <v>53</v>
      </c>
      <c r="D9" s="22">
        <f>X37/D38/R38</f>
        <v>0.17498765714431572</v>
      </c>
      <c r="E9" s="23" t="s">
        <v>53</v>
      </c>
      <c r="F9" s="22">
        <f>Z37/F38/R38</f>
        <v>0.20643708413114242</v>
      </c>
      <c r="G9" s="23" t="s">
        <v>53</v>
      </c>
      <c r="H9" s="43">
        <f>AB37/H38/R38</f>
        <v>0.17468848509156498</v>
      </c>
      <c r="I9" s="65" t="s">
        <v>53</v>
      </c>
      <c r="J9" s="66">
        <f>AD37/J38/R38</f>
        <v>0.10604052780234</v>
      </c>
      <c r="K9" s="67" t="s">
        <v>53</v>
      </c>
      <c r="L9" s="64">
        <f>AF37/L38/R38</f>
        <v>0.34472910311375943</v>
      </c>
      <c r="M9" s="94" t="s">
        <v>53</v>
      </c>
      <c r="P9" s="95"/>
      <c r="S9" s="109"/>
      <c r="AH9" s="2" t="s">
        <v>7</v>
      </c>
    </row>
    <row r="10" spans="1:46">
      <c r="A10" s="24"/>
      <c r="B10" s="25">
        <f>AJ37/B38/R38</f>
        <v>2.8973711717256094E-2</v>
      </c>
      <c r="C10" s="25" t="s">
        <v>7</v>
      </c>
      <c r="D10" s="25">
        <f>AL37/D38/R38</f>
        <v>0.49603769669638803</v>
      </c>
      <c r="E10" s="25" t="s">
        <v>7</v>
      </c>
      <c r="F10" s="25">
        <f>AN37/F38/R38</f>
        <v>0.22019624793514259</v>
      </c>
      <c r="G10" s="25" t="s">
        <v>7</v>
      </c>
      <c r="H10" s="44">
        <f>AP37/H38/R38</f>
        <v>0.4806017365969657</v>
      </c>
      <c r="I10" s="68" t="s">
        <v>7</v>
      </c>
      <c r="J10" s="69">
        <f>AR37/J38/R38</f>
        <v>0.2697807254172036</v>
      </c>
      <c r="K10" s="70" t="s">
        <v>7</v>
      </c>
      <c r="L10" s="71">
        <f>AT37/L38/R38</f>
        <v>0.2455947967735701</v>
      </c>
      <c r="M10" s="96" t="s">
        <v>7</v>
      </c>
      <c r="P10" s="95"/>
      <c r="S10" s="109"/>
      <c r="AI10" s="2" t="s">
        <v>5</v>
      </c>
      <c r="AK10" s="2" t="s">
        <v>47</v>
      </c>
      <c r="AM10" s="2" t="s">
        <v>6</v>
      </c>
      <c r="AO10" s="2" t="s">
        <v>48</v>
      </c>
      <c r="AQ10" s="2" t="s">
        <v>49</v>
      </c>
      <c r="AS10" s="2" t="s">
        <v>50</v>
      </c>
    </row>
    <row r="11" spans="1:46">
      <c r="A11" s="26"/>
      <c r="B11" s="26"/>
      <c r="C11" s="27"/>
      <c r="D11" s="27"/>
      <c r="E11" s="27"/>
      <c r="F11" s="27"/>
      <c r="G11" s="27"/>
      <c r="H11" s="45"/>
      <c r="I11" s="72"/>
      <c r="J11" s="73"/>
      <c r="K11" s="74"/>
      <c r="L11" s="75"/>
      <c r="M11" s="97"/>
      <c r="N11" s="9" t="s">
        <v>8</v>
      </c>
      <c r="O11" s="9" t="s">
        <v>8</v>
      </c>
      <c r="P11" s="95"/>
      <c r="Q11" s="10" t="s">
        <v>9</v>
      </c>
      <c r="R11" s="10" t="s">
        <v>9</v>
      </c>
      <c r="S11" s="109"/>
    </row>
    <row r="12" spans="1:46">
      <c r="A12" s="15"/>
      <c r="B12" s="15"/>
      <c r="C12" s="3" t="s">
        <v>10</v>
      </c>
      <c r="E12" s="3" t="s">
        <v>10</v>
      </c>
      <c r="G12" s="3" t="s">
        <v>10</v>
      </c>
      <c r="I12" s="4" t="s">
        <v>10</v>
      </c>
      <c r="K12" s="6" t="s">
        <v>10</v>
      </c>
      <c r="L12" s="58"/>
      <c r="M12" s="8" t="s">
        <v>10</v>
      </c>
      <c r="O12" s="9" t="s">
        <v>11</v>
      </c>
      <c r="P12" s="9" t="s">
        <v>10</v>
      </c>
      <c r="Q12" s="10" t="s">
        <v>11</v>
      </c>
      <c r="S12" s="11" t="s">
        <v>10</v>
      </c>
      <c r="U12" s="2" t="s">
        <v>51</v>
      </c>
      <c r="V12" s="2" t="s">
        <v>52</v>
      </c>
      <c r="W12" s="2" t="s">
        <v>51</v>
      </c>
      <c r="X12" s="2" t="s">
        <v>52</v>
      </c>
      <c r="Y12" s="2" t="s">
        <v>51</v>
      </c>
      <c r="Z12" s="2" t="s">
        <v>52</v>
      </c>
      <c r="AA12" s="2" t="s">
        <v>51</v>
      </c>
      <c r="AB12" s="2" t="s">
        <v>52</v>
      </c>
      <c r="AC12" s="2" t="s">
        <v>51</v>
      </c>
      <c r="AD12" s="2" t="s">
        <v>52</v>
      </c>
      <c r="AE12" s="2" t="s">
        <v>51</v>
      </c>
      <c r="AF12" s="2" t="s">
        <v>52</v>
      </c>
      <c r="AI12" s="2" t="s">
        <v>51</v>
      </c>
      <c r="AJ12" s="2" t="s">
        <v>52</v>
      </c>
      <c r="AK12" s="2" t="s">
        <v>51</v>
      </c>
      <c r="AL12" s="2" t="s">
        <v>52</v>
      </c>
      <c r="AM12" s="2" t="s">
        <v>51</v>
      </c>
      <c r="AN12" s="2" t="s">
        <v>52</v>
      </c>
      <c r="AO12" s="2" t="s">
        <v>51</v>
      </c>
      <c r="AP12" s="2" t="s">
        <v>52</v>
      </c>
      <c r="AQ12" s="2" t="s">
        <v>51</v>
      </c>
      <c r="AR12" s="2" t="s">
        <v>52</v>
      </c>
      <c r="AS12" s="2" t="s">
        <v>51</v>
      </c>
      <c r="AT12" s="2" t="s">
        <v>52</v>
      </c>
    </row>
    <row r="13" spans="1:46">
      <c r="A13" s="28" t="s">
        <v>12</v>
      </c>
      <c r="B13" s="29">
        <v>61.9</v>
      </c>
      <c r="C13" s="30">
        <f>B13-$B$37</f>
        <v>26.368181818181817</v>
      </c>
      <c r="D13" s="31">
        <v>6783</v>
      </c>
      <c r="E13" s="30">
        <f>D13-$D$37</f>
        <v>-15557.68181818182</v>
      </c>
      <c r="F13" s="46">
        <f>527016/17262646</f>
        <v>3.0529271121008911E-2</v>
      </c>
      <c r="G13" s="47">
        <f>F13-$F$37</f>
        <v>-1.9232642677394669E-3</v>
      </c>
      <c r="H13" s="48">
        <v>75</v>
      </c>
      <c r="I13" s="76">
        <f>H13-$H$37</f>
        <v>-1.1227272727272606</v>
      </c>
      <c r="J13" s="77">
        <v>1</v>
      </c>
      <c r="K13" s="78">
        <f t="shared" ref="K13:K34" si="0">J13-$J$37</f>
        <v>-33.5</v>
      </c>
      <c r="L13" s="79">
        <v>0.57999999999999996</v>
      </c>
      <c r="M13" s="98">
        <f t="shared" ref="M13:M34" si="1">L13-$L$37</f>
        <v>0.24818181818181817</v>
      </c>
      <c r="N13" s="9">
        <f>5.94</f>
        <v>5.94</v>
      </c>
      <c r="O13" s="9">
        <f>N13*Q13</f>
        <v>1.9898581902345509</v>
      </c>
      <c r="P13" s="99">
        <f t="shared" ref="P13:P34" si="2">O13-$O$37</f>
        <v>6.8016595811931646E-2</v>
      </c>
      <c r="Q13" s="10">
        <f>(1-SQRT(R13)/SQRT(R$39+R$38))</f>
        <v>0.33499296131894796</v>
      </c>
      <c r="R13" s="10">
        <v>1761</v>
      </c>
      <c r="S13" s="110">
        <f t="shared" ref="S13:S34" si="3">R13-$R$37</f>
        <v>613.31818181818176</v>
      </c>
      <c r="U13" s="2">
        <f t="shared" ref="U13:U25" si="4">MAX(0,C13*P13)</f>
        <v>1.7934739650227975</v>
      </c>
      <c r="V13" s="2">
        <f t="shared" ref="V13:V34" si="5">MAX(0,C13*S13)</f>
        <v>16172.085330578509</v>
      </c>
      <c r="W13" s="2">
        <f t="shared" ref="W13:W25" si="6">MAX(0,E13*P13)</f>
        <v>0</v>
      </c>
      <c r="X13" s="2">
        <f t="shared" ref="X13:X34" si="7">MAX(0,E13*S13)</f>
        <v>0</v>
      </c>
      <c r="Y13" s="2">
        <f t="shared" ref="Y13:Y25" si="8">MAX(0,G13*P13)</f>
        <v>0</v>
      </c>
      <c r="Z13" s="2">
        <f t="shared" ref="Z13:Z34" si="9">MAX(0,G13*S13)</f>
        <v>0</v>
      </c>
      <c r="AA13" s="2">
        <f t="shared" ref="AA13:AA25" si="10">MAX(0,I13*P13)</f>
        <v>0</v>
      </c>
      <c r="AB13" s="114">
        <f t="shared" ref="AB13:AB34" si="11">MAX(0,I13*S13)</f>
        <v>0</v>
      </c>
      <c r="AC13" s="2">
        <f t="shared" ref="AC13:AC34" si="12">MAX(0,K13*P13)</f>
        <v>0</v>
      </c>
      <c r="AD13" s="2">
        <f t="shared" ref="AD13:AD34" si="13">MAX(0,K13*S13)</f>
        <v>0</v>
      </c>
      <c r="AE13" s="2">
        <f>MAX(0,M13*P13)</f>
        <v>1.6880482415143033E-2</v>
      </c>
      <c r="AF13" s="2">
        <f>MAX(0,M13*S13)</f>
        <v>152.21442148760329</v>
      </c>
      <c r="AI13" s="2">
        <f t="shared" ref="AI13:AI25" si="14">MAX(0,-C13*P13)</f>
        <v>0</v>
      </c>
      <c r="AJ13" s="2">
        <f t="shared" ref="AJ13:AJ34" si="15">MAX(0,-C13*S13)</f>
        <v>0</v>
      </c>
      <c r="AK13" s="2">
        <f t="shared" ref="AK13:AK25" si="16">MAX(0,-E13*P13)</f>
        <v>1058.1805559979107</v>
      </c>
      <c r="AL13" s="2">
        <f t="shared" ref="AL13:AL34" si="17">MAX(0,-E13*S13)</f>
        <v>9541809.1260330584</v>
      </c>
      <c r="AM13" s="2">
        <f t="shared" ref="AM13:AM25" si="18">MAX(0,-G13*P13)</f>
        <v>1.30813888338366E-4</v>
      </c>
      <c r="AN13" s="2">
        <f t="shared" ref="AN13:AN34" si="19">MAX(0,-G13*S13)</f>
        <v>1.1795729438458467</v>
      </c>
      <c r="AO13" s="2">
        <f t="shared" ref="AO13:AO25" si="20">MAX(0,-I13*P13)</f>
        <v>7.6364087116122428E-2</v>
      </c>
      <c r="AP13" s="2">
        <f t="shared" ref="AP13:AP34" si="21">MAX(0,-I13*S13)</f>
        <v>688.58904958676931</v>
      </c>
      <c r="AQ13" s="2">
        <f t="shared" ref="AQ13:AQ34" si="22">MAX(0,-K13*P13)</f>
        <v>2.2785559596997103</v>
      </c>
      <c r="AR13" s="2">
        <f t="shared" ref="AR13:AR34" si="23">MAX(0,-K13*S13)</f>
        <v>20546.159090909088</v>
      </c>
      <c r="AS13" s="2">
        <f>MAX(0,-M13*P13)</f>
        <v>0</v>
      </c>
      <c r="AT13" s="2">
        <f>MAX(0,-M13*S13)</f>
        <v>0</v>
      </c>
    </row>
    <row r="14" spans="1:46">
      <c r="A14" s="32" t="s">
        <v>13</v>
      </c>
      <c r="B14" s="29">
        <v>34.1</v>
      </c>
      <c r="C14" s="30">
        <f t="shared" ref="C14:C34" si="24">B14-$B$37</f>
        <v>-1.4318181818181799</v>
      </c>
      <c r="D14" s="31">
        <v>43278</v>
      </c>
      <c r="E14" s="30">
        <f t="shared" ref="E14:E34" si="25">D14-$D$37</f>
        <v>20937.31818181818</v>
      </c>
      <c r="F14" s="31">
        <f>26381/1386215</f>
        <v>1.9030958401113823E-2</v>
      </c>
      <c r="G14" s="47">
        <f t="shared" ref="G14:G34" si="26">F14-$F$37</f>
        <v>-1.3421576987634555E-2</v>
      </c>
      <c r="H14" s="49">
        <v>82.2</v>
      </c>
      <c r="I14" s="76">
        <f>H14-$H$37</f>
        <v>6.0772727272727423</v>
      </c>
      <c r="J14" s="77">
        <v>23</v>
      </c>
      <c r="K14" s="78">
        <f t="shared" si="0"/>
        <v>-11.5</v>
      </c>
      <c r="L14" s="80">
        <v>0.35</v>
      </c>
      <c r="M14" s="98">
        <f t="shared" si="1"/>
        <v>1.8181818181818188E-2</v>
      </c>
      <c r="N14" s="9">
        <f>2.34</f>
        <v>2.34</v>
      </c>
      <c r="O14" s="9">
        <f t="shared" ref="O14:O34" si="27">N14*Q14</f>
        <v>1.4806905965088737</v>
      </c>
      <c r="P14" s="100">
        <f t="shared" si="2"/>
        <v>-0.44115099791374557</v>
      </c>
      <c r="Q14" s="10">
        <f t="shared" ref="Q14:Q34" si="28">(1-SQRT(R14)/SQRT(R$39+R$38))</f>
        <v>0.63277375919182643</v>
      </c>
      <c r="R14" s="10">
        <v>537</v>
      </c>
      <c r="S14" s="110">
        <f t="shared" si="3"/>
        <v>-610.68181818181824</v>
      </c>
      <c r="U14" s="2">
        <f t="shared" si="4"/>
        <v>0.63164801974013485</v>
      </c>
      <c r="V14" s="2">
        <f t="shared" si="5"/>
        <v>874.38533057851134</v>
      </c>
      <c r="W14" s="2">
        <f t="shared" si="6"/>
        <v>0</v>
      </c>
      <c r="X14" s="2">
        <f t="shared" si="7"/>
        <v>0</v>
      </c>
      <c r="Y14" s="2">
        <f t="shared" si="8"/>
        <v>5.9209420816711475E-3</v>
      </c>
      <c r="Z14" s="2">
        <f t="shared" si="9"/>
        <v>8.196313037675921</v>
      </c>
      <c r="AA14" s="2">
        <f t="shared" si="10"/>
        <v>0</v>
      </c>
      <c r="AB14" s="114">
        <f t="shared" si="11"/>
        <v>0</v>
      </c>
      <c r="AC14" s="2">
        <f t="shared" si="12"/>
        <v>5.0732364760080744</v>
      </c>
      <c r="AD14" s="2">
        <f t="shared" si="13"/>
        <v>7022.8409090909099</v>
      </c>
      <c r="AE14" s="2">
        <f t="shared" ref="AE14:AE34" si="29">MAX(0,M14*P14)</f>
        <v>0</v>
      </c>
      <c r="AF14" s="2">
        <f t="shared" ref="AF14:AF34" si="30">MAX(0,M14*S14)</f>
        <v>0</v>
      </c>
      <c r="AI14" s="2">
        <f t="shared" si="14"/>
        <v>0</v>
      </c>
      <c r="AJ14" s="2">
        <f t="shared" si="15"/>
        <v>0</v>
      </c>
      <c r="AK14" s="2">
        <f t="shared" si="16"/>
        <v>9236.5188095466983</v>
      </c>
      <c r="AL14" s="2">
        <f t="shared" si="17"/>
        <v>12786039.535123967</v>
      </c>
      <c r="AM14" s="2">
        <f t="shared" si="18"/>
        <v>0</v>
      </c>
      <c r="AN14" s="2">
        <f t="shared" si="19"/>
        <v>0</v>
      </c>
      <c r="AO14" s="2">
        <f t="shared" si="20"/>
        <v>2.6809949282303602</v>
      </c>
      <c r="AP14" s="2">
        <f t="shared" si="21"/>
        <v>3711.2799586776955</v>
      </c>
      <c r="AQ14" s="2">
        <f t="shared" si="22"/>
        <v>0</v>
      </c>
      <c r="AR14" s="2">
        <f t="shared" si="23"/>
        <v>0</v>
      </c>
      <c r="AS14" s="2">
        <f t="shared" ref="AS14:AS34" si="31">MAX(0,-M14*P14)</f>
        <v>8.0209272347953765E-3</v>
      </c>
      <c r="AT14" s="2">
        <f t="shared" ref="AT14:AT34" si="32">MAX(0,-M14*S14)</f>
        <v>11.103305785123972</v>
      </c>
    </row>
    <row r="15" spans="1:46">
      <c r="A15" s="33" t="s">
        <v>14</v>
      </c>
      <c r="B15" s="29">
        <v>21.6</v>
      </c>
      <c r="C15" s="30">
        <f t="shared" si="24"/>
        <v>-13.93181818181818</v>
      </c>
      <c r="D15" s="31">
        <v>10484</v>
      </c>
      <c r="E15" s="30">
        <f t="shared" si="25"/>
        <v>-11856.68181818182</v>
      </c>
      <c r="F15" s="31">
        <f>5554/109729</f>
        <v>5.0615607542217646E-2</v>
      </c>
      <c r="G15" s="50">
        <f t="shared" si="26"/>
        <v>1.8163072153469267E-2</v>
      </c>
      <c r="H15" s="51">
        <v>76.099999999999994</v>
      </c>
      <c r="I15" s="76">
        <f t="shared" ref="I15:I34" si="33">H15-$H$37</f>
        <v>-2.2727272727266268E-2</v>
      </c>
      <c r="J15" s="77">
        <v>13</v>
      </c>
      <c r="K15" s="78">
        <f t="shared" si="0"/>
        <v>-21.5</v>
      </c>
      <c r="L15" s="80">
        <v>0.25</v>
      </c>
      <c r="M15" s="98">
        <f t="shared" si="1"/>
        <v>-8.181818181818179E-2</v>
      </c>
      <c r="N15" s="9">
        <f>13.07</f>
        <v>13.07</v>
      </c>
      <c r="O15" s="9">
        <f t="shared" si="27"/>
        <v>7.8098030033316741</v>
      </c>
      <c r="P15" s="99">
        <f t="shared" si="2"/>
        <v>5.8879614089090548</v>
      </c>
      <c r="Q15" s="10">
        <f t="shared" si="28"/>
        <v>0.59753657255789394</v>
      </c>
      <c r="R15" s="10">
        <v>645</v>
      </c>
      <c r="S15" s="110">
        <f t="shared" si="3"/>
        <v>-502.68181818181824</v>
      </c>
      <c r="U15" s="2">
        <f t="shared" si="4"/>
        <v>0</v>
      </c>
      <c r="V15" s="2">
        <f t="shared" si="5"/>
        <v>7003.2716942148763</v>
      </c>
      <c r="W15" s="2">
        <f t="shared" si="6"/>
        <v>0</v>
      </c>
      <c r="X15" s="2">
        <f t="shared" si="7"/>
        <v>5960138.3739669435</v>
      </c>
      <c r="Y15" s="2">
        <f t="shared" si="8"/>
        <v>0.10694346790685773</v>
      </c>
      <c r="Z15" s="2">
        <f t="shared" si="9"/>
        <v>0</v>
      </c>
      <c r="AA15" s="2">
        <f t="shared" si="10"/>
        <v>0</v>
      </c>
      <c r="AB15" s="114">
        <f t="shared" si="11"/>
        <v>11.424586776856259</v>
      </c>
      <c r="AC15" s="2">
        <f t="shared" si="12"/>
        <v>0</v>
      </c>
      <c r="AD15" s="2">
        <f t="shared" si="13"/>
        <v>10807.659090909092</v>
      </c>
      <c r="AE15" s="2">
        <f t="shared" si="29"/>
        <v>0</v>
      </c>
      <c r="AF15" s="2">
        <f t="shared" si="30"/>
        <v>41.128512396694205</v>
      </c>
      <c r="AI15" s="2">
        <f t="shared" si="14"/>
        <v>82.030007810482957</v>
      </c>
      <c r="AJ15" s="2">
        <f t="shared" si="15"/>
        <v>0</v>
      </c>
      <c r="AK15" s="2">
        <f t="shared" si="16"/>
        <v>69811.684983168205</v>
      </c>
      <c r="AL15" s="2">
        <f t="shared" si="17"/>
        <v>0</v>
      </c>
      <c r="AM15" s="2">
        <f t="shared" si="18"/>
        <v>0</v>
      </c>
      <c r="AN15" s="2">
        <f t="shared" si="19"/>
        <v>9.1302461338734844</v>
      </c>
      <c r="AO15" s="2">
        <f t="shared" si="20"/>
        <v>0.13381730474789502</v>
      </c>
      <c r="AP15" s="2">
        <f t="shared" si="21"/>
        <v>0</v>
      </c>
      <c r="AQ15" s="2">
        <f t="shared" si="22"/>
        <v>126.59117029154469</v>
      </c>
      <c r="AR15" s="2">
        <f t="shared" si="23"/>
        <v>0</v>
      </c>
      <c r="AS15" s="2">
        <f t="shared" si="31"/>
        <v>0.48174229709255889</v>
      </c>
      <c r="AT15" s="2">
        <f t="shared" si="32"/>
        <v>0</v>
      </c>
    </row>
    <row r="16" spans="1:46">
      <c r="A16" s="34" t="s">
        <v>15</v>
      </c>
      <c r="B16" s="29">
        <v>31.8</v>
      </c>
      <c r="C16" s="30">
        <f t="shared" si="24"/>
        <v>-3.7318181818181806</v>
      </c>
      <c r="D16" s="31">
        <v>39907</v>
      </c>
      <c r="E16" s="30">
        <f t="shared" si="25"/>
        <v>17566.31818181818</v>
      </c>
      <c r="F16" s="31">
        <f>91630/3630500</f>
        <v>2.5238947803332874E-2</v>
      </c>
      <c r="G16" s="47">
        <f t="shared" si="26"/>
        <v>-7.2135875854155047E-3</v>
      </c>
      <c r="H16" s="52">
        <v>82.4</v>
      </c>
      <c r="I16" s="76">
        <f t="shared" si="33"/>
        <v>6.2772727272727451</v>
      </c>
      <c r="J16" s="77">
        <v>37</v>
      </c>
      <c r="K16" s="78">
        <f t="shared" si="0"/>
        <v>2.5</v>
      </c>
      <c r="L16" s="80">
        <v>0.41</v>
      </c>
      <c r="M16" s="98">
        <f t="shared" si="1"/>
        <v>7.8181818181818186E-2</v>
      </c>
      <c r="N16" s="9">
        <f>4.45</f>
        <v>4.45</v>
      </c>
      <c r="O16" s="9">
        <f t="shared" si="27"/>
        <v>2.3735755991461245</v>
      </c>
      <c r="P16" s="99">
        <f t="shared" si="2"/>
        <v>0.45173400472350522</v>
      </c>
      <c r="Q16" s="10">
        <f t="shared" si="28"/>
        <v>0.53338777508901669</v>
      </c>
      <c r="R16" s="10">
        <v>867</v>
      </c>
      <c r="S16" s="110">
        <f t="shared" si="3"/>
        <v>-280.68181818181824</v>
      </c>
      <c r="U16" s="2">
        <f t="shared" si="4"/>
        <v>0</v>
      </c>
      <c r="V16" s="2">
        <f t="shared" si="5"/>
        <v>1047.4535123966941</v>
      </c>
      <c r="W16" s="2">
        <f t="shared" si="6"/>
        <v>7935.3032605200497</v>
      </c>
      <c r="X16" s="2">
        <f t="shared" si="7"/>
        <v>0</v>
      </c>
      <c r="Y16" s="2">
        <f t="shared" si="8"/>
        <v>0</v>
      </c>
      <c r="Z16" s="2">
        <f t="shared" si="9"/>
        <v>2.0247228790882161</v>
      </c>
      <c r="AA16" s="2">
        <f t="shared" si="10"/>
        <v>2.8356575478325565</v>
      </c>
      <c r="AB16" s="114">
        <f t="shared" si="11"/>
        <v>0</v>
      </c>
      <c r="AC16" s="2">
        <f t="shared" si="12"/>
        <v>1.1293350118087631</v>
      </c>
      <c r="AD16" s="2">
        <f t="shared" si="13"/>
        <v>0</v>
      </c>
      <c r="AE16" s="2">
        <f t="shared" ref="AE16" si="34">MAX(0,M16*P16)</f>
        <v>3.5317385823837685E-2</v>
      </c>
      <c r="AF16" s="2">
        <f t="shared" ref="AF16" si="35">MAX(0,M16*S16)</f>
        <v>0</v>
      </c>
      <c r="AI16" s="2">
        <f t="shared" si="14"/>
        <v>1.6857891721727167</v>
      </c>
      <c r="AJ16" s="2">
        <f t="shared" si="15"/>
        <v>0</v>
      </c>
      <c r="AK16" s="2">
        <f t="shared" si="16"/>
        <v>0</v>
      </c>
      <c r="AL16" s="2">
        <f t="shared" si="17"/>
        <v>4930546.1260330584</v>
      </c>
      <c r="AM16" s="2">
        <f t="shared" si="18"/>
        <v>3.258622808383506E-3</v>
      </c>
      <c r="AN16" s="2">
        <f t="shared" si="19"/>
        <v>0</v>
      </c>
      <c r="AO16" s="2">
        <f t="shared" si="20"/>
        <v>0</v>
      </c>
      <c r="AP16" s="2">
        <f t="shared" si="21"/>
        <v>1761.9163223140549</v>
      </c>
      <c r="AQ16" s="2">
        <f t="shared" si="22"/>
        <v>0</v>
      </c>
      <c r="AR16" s="2">
        <f t="shared" si="23"/>
        <v>701.70454545454561</v>
      </c>
      <c r="AS16" s="2">
        <f t="shared" ref="AS16" si="36">MAX(0,-M16*P16)</f>
        <v>0</v>
      </c>
      <c r="AT16" s="2">
        <f t="shared" ref="AT16" si="37">MAX(0,-M16*S16)</f>
        <v>21.944214876033065</v>
      </c>
    </row>
    <row r="17" spans="1:46">
      <c r="A17" s="34" t="s">
        <v>16</v>
      </c>
      <c r="B17" s="29">
        <v>31.8</v>
      </c>
      <c r="C17" s="30">
        <f t="shared" si="24"/>
        <v>-3.7318181818181806</v>
      </c>
      <c r="D17" s="31">
        <v>45733</v>
      </c>
      <c r="E17" s="30">
        <f t="shared" si="25"/>
        <v>23392.31818181818</v>
      </c>
      <c r="F17" s="31">
        <f>91630/3630500</f>
        <v>2.5238947803332874E-2</v>
      </c>
      <c r="G17" s="47">
        <f t="shared" si="26"/>
        <v>-7.2135875854155047E-3</v>
      </c>
      <c r="H17" s="52">
        <v>81</v>
      </c>
      <c r="I17" s="76">
        <f t="shared" si="33"/>
        <v>4.8772727272727394</v>
      </c>
      <c r="J17" s="77">
        <v>90</v>
      </c>
      <c r="K17" s="78">
        <f t="shared" si="0"/>
        <v>55.5</v>
      </c>
      <c r="L17" s="80">
        <v>0.28999999999999998</v>
      </c>
      <c r="M17" s="98">
        <f t="shared" si="1"/>
        <v>-4.181818181818181E-2</v>
      </c>
      <c r="N17" s="9">
        <f>3.77</f>
        <v>3.77</v>
      </c>
      <c r="O17" s="9">
        <f t="shared" si="27"/>
        <v>2.1893455647077054</v>
      </c>
      <c r="P17" s="99">
        <f t="shared" si="2"/>
        <v>0.2675039702850861</v>
      </c>
      <c r="Q17" s="10">
        <f t="shared" si="28"/>
        <v>0.58072826650071763</v>
      </c>
      <c r="R17" s="10">
        <v>700</v>
      </c>
      <c r="S17" s="110">
        <f t="shared" si="3"/>
        <v>-447.68181818181824</v>
      </c>
      <c r="U17" s="2">
        <f t="shared" si="4"/>
        <v>0</v>
      </c>
      <c r="V17" s="2">
        <f t="shared" si="5"/>
        <v>1670.6671487603303</v>
      </c>
      <c r="W17" s="2">
        <f t="shared" si="6"/>
        <v>6257.5379878083695</v>
      </c>
      <c r="X17" s="2">
        <f t="shared" si="7"/>
        <v>0</v>
      </c>
      <c r="Y17" s="2">
        <f t="shared" si="8"/>
        <v>0</v>
      </c>
      <c r="Z17" s="2">
        <f t="shared" si="9"/>
        <v>3.2293920058526053</v>
      </c>
      <c r="AA17" s="2">
        <f t="shared" si="10"/>
        <v>1.3046898187086278</v>
      </c>
      <c r="AB17" s="114">
        <f t="shared" si="11"/>
        <v>0</v>
      </c>
      <c r="AC17" s="2">
        <f t="shared" si="12"/>
        <v>14.846470350822278</v>
      </c>
      <c r="AD17" s="2">
        <f t="shared" si="13"/>
        <v>0</v>
      </c>
      <c r="AE17" s="2">
        <f t="shared" si="29"/>
        <v>0</v>
      </c>
      <c r="AF17" s="2">
        <f t="shared" si="30"/>
        <v>18.721239669421486</v>
      </c>
      <c r="AI17" s="2">
        <f t="shared" si="14"/>
        <v>0.99827618001843466</v>
      </c>
      <c r="AJ17" s="2">
        <f t="shared" si="15"/>
        <v>0</v>
      </c>
      <c r="AK17" s="2">
        <f t="shared" si="16"/>
        <v>0</v>
      </c>
      <c r="AL17" s="2">
        <f t="shared" si="17"/>
        <v>10472315.535123968</v>
      </c>
      <c r="AM17" s="2">
        <f t="shared" si="18"/>
        <v>1.9296633190978552E-3</v>
      </c>
      <c r="AN17" s="2">
        <f t="shared" si="19"/>
        <v>0</v>
      </c>
      <c r="AO17" s="2">
        <f t="shared" si="20"/>
        <v>0</v>
      </c>
      <c r="AP17" s="2">
        <f t="shared" si="21"/>
        <v>2183.4663223140551</v>
      </c>
      <c r="AQ17" s="2">
        <f t="shared" si="22"/>
        <v>0</v>
      </c>
      <c r="AR17" s="2">
        <f t="shared" si="23"/>
        <v>24846.340909090912</v>
      </c>
      <c r="AS17" s="2">
        <f t="shared" si="31"/>
        <v>1.1186529666467234E-2</v>
      </c>
      <c r="AT17" s="2">
        <f t="shared" si="32"/>
        <v>0</v>
      </c>
    </row>
    <row r="18" spans="1:46">
      <c r="A18" s="32" t="s">
        <v>17</v>
      </c>
      <c r="B18" s="29">
        <v>22.9</v>
      </c>
      <c r="C18" s="30">
        <f t="shared" si="24"/>
        <v>-12.631818181818183</v>
      </c>
      <c r="D18" s="31">
        <v>1965</v>
      </c>
      <c r="E18" s="30">
        <f t="shared" si="25"/>
        <v>-20375.68181818182</v>
      </c>
      <c r="F18" s="31">
        <f>404240/29791967</f>
        <v>1.3568758316629445E-2</v>
      </c>
      <c r="G18" s="47">
        <f t="shared" si="26"/>
        <v>-1.8883777072118933E-2</v>
      </c>
      <c r="H18" s="51">
        <v>68.3</v>
      </c>
      <c r="I18" s="76">
        <f t="shared" si="33"/>
        <v>-7.8227272727272634</v>
      </c>
      <c r="J18" s="81">
        <v>6</v>
      </c>
      <c r="K18" s="78">
        <f t="shared" si="0"/>
        <v>-28.5</v>
      </c>
      <c r="L18" s="80">
        <v>0.17</v>
      </c>
      <c r="M18" s="98">
        <f t="shared" si="1"/>
        <v>-0.16181818181818178</v>
      </c>
      <c r="N18" s="9">
        <f>0.34</f>
        <v>0.34</v>
      </c>
      <c r="O18" s="9">
        <f t="shared" si="27"/>
        <v>0.16268735453382638</v>
      </c>
      <c r="P18" s="100">
        <f t="shared" si="2"/>
        <v>-1.7591542398887929</v>
      </c>
      <c r="Q18" s="10">
        <f t="shared" si="28"/>
        <v>0.47849221921713636</v>
      </c>
      <c r="R18" s="10">
        <v>1083</v>
      </c>
      <c r="S18" s="110">
        <f t="shared" si="3"/>
        <v>-64.681818181818244</v>
      </c>
      <c r="U18" s="2">
        <f t="shared" si="4"/>
        <v>22.2213165120498</v>
      </c>
      <c r="V18" s="2">
        <f t="shared" si="5"/>
        <v>817.0489669421496</v>
      </c>
      <c r="W18" s="2">
        <f t="shared" si="6"/>
        <v>35843.967061079537</v>
      </c>
      <c r="X18" s="2">
        <f t="shared" si="7"/>
        <v>1317936.1466942162</v>
      </c>
      <c r="Y18" s="2">
        <f t="shared" si="8"/>
        <v>3.3219476501532799E-2</v>
      </c>
      <c r="Z18" s="2">
        <f t="shared" si="9"/>
        <v>1.221437035164785</v>
      </c>
      <c r="AA18" s="2">
        <f t="shared" si="10"/>
        <v>13.761383849311859</v>
      </c>
      <c r="AB18" s="114">
        <f t="shared" si="11"/>
        <v>505.98822314049573</v>
      </c>
      <c r="AC18" s="2">
        <f t="shared" si="12"/>
        <v>50.135895836830599</v>
      </c>
      <c r="AD18" s="2">
        <f t="shared" si="13"/>
        <v>1843.4318181818198</v>
      </c>
      <c r="AE18" s="2">
        <f t="shared" si="29"/>
        <v>0.28466314063655007</v>
      </c>
      <c r="AF18" s="2">
        <f t="shared" si="30"/>
        <v>10.466694214876041</v>
      </c>
      <c r="AI18" s="2">
        <f t="shared" si="14"/>
        <v>0</v>
      </c>
      <c r="AJ18" s="2">
        <f t="shared" si="15"/>
        <v>0</v>
      </c>
      <c r="AK18" s="2">
        <f t="shared" si="16"/>
        <v>0</v>
      </c>
      <c r="AL18" s="2">
        <f t="shared" si="17"/>
        <v>0</v>
      </c>
      <c r="AM18" s="2">
        <f t="shared" si="18"/>
        <v>0</v>
      </c>
      <c r="AN18" s="2">
        <f t="shared" si="19"/>
        <v>0</v>
      </c>
      <c r="AO18" s="2">
        <f t="shared" si="20"/>
        <v>0</v>
      </c>
      <c r="AP18" s="2">
        <f t="shared" si="21"/>
        <v>0</v>
      </c>
      <c r="AQ18" s="2">
        <f t="shared" si="22"/>
        <v>0</v>
      </c>
      <c r="AR18" s="2">
        <f t="shared" si="23"/>
        <v>0</v>
      </c>
      <c r="AS18" s="2">
        <f t="shared" si="31"/>
        <v>0</v>
      </c>
      <c r="AT18" s="2">
        <f t="shared" si="32"/>
        <v>0</v>
      </c>
    </row>
    <row r="19" spans="1:46">
      <c r="A19" s="34" t="s">
        <v>18</v>
      </c>
      <c r="B19" s="29">
        <v>68.5</v>
      </c>
      <c r="C19" s="30">
        <f t="shared" si="24"/>
        <v>32.968181818181819</v>
      </c>
      <c r="D19" s="31">
        <v>40146</v>
      </c>
      <c r="E19" s="30">
        <f>D19-$D$37</f>
        <v>17805.31818181818</v>
      </c>
      <c r="F19" s="31">
        <f>14889/776646</f>
        <v>1.917089639295123E-2</v>
      </c>
      <c r="G19" s="47">
        <f t="shared" si="26"/>
        <v>-1.3281638995797148E-2</v>
      </c>
      <c r="H19" s="49">
        <v>83.7</v>
      </c>
      <c r="I19" s="76">
        <f t="shared" si="33"/>
        <v>7.5772727272727423</v>
      </c>
      <c r="J19" s="77">
        <v>22</v>
      </c>
      <c r="K19" s="78">
        <f t="shared" si="0"/>
        <v>-12.5</v>
      </c>
      <c r="L19" s="80">
        <v>0.17</v>
      </c>
      <c r="M19" s="98">
        <f t="shared" si="1"/>
        <v>-0.16181818181818178</v>
      </c>
      <c r="N19" s="9">
        <f>11.84</f>
        <v>11.84</v>
      </c>
      <c r="O19" s="9">
        <f t="shared" si="27"/>
        <v>4.1770447458174127</v>
      </c>
      <c r="P19" s="99">
        <f t="shared" si="2"/>
        <v>2.2552031513947934</v>
      </c>
      <c r="Q19" s="10">
        <f t="shared" si="28"/>
        <v>0.3527909413697139</v>
      </c>
      <c r="R19" s="10">
        <v>1668</v>
      </c>
      <c r="S19" s="110">
        <f t="shared" si="3"/>
        <v>520.31818181818176</v>
      </c>
      <c r="U19" s="2">
        <f t="shared" si="4"/>
        <v>74.349947532120169</v>
      </c>
      <c r="V19" s="2">
        <f t="shared" si="5"/>
        <v>17153.944421487602</v>
      </c>
      <c r="W19" s="2">
        <f t="shared" si="6"/>
        <v>40154.609675223372</v>
      </c>
      <c r="X19" s="2">
        <f t="shared" si="7"/>
        <v>9264430.7830578499</v>
      </c>
      <c r="Y19" s="2">
        <f t="shared" si="8"/>
        <v>0</v>
      </c>
      <c r="Z19" s="2">
        <f t="shared" si="9"/>
        <v>0</v>
      </c>
      <c r="AA19" s="2">
        <f t="shared" si="10"/>
        <v>17.08828933352331</v>
      </c>
      <c r="AB19" s="114">
        <f t="shared" si="11"/>
        <v>3942.5927685950487</v>
      </c>
      <c r="AC19" s="2">
        <f t="shared" si="12"/>
        <v>0</v>
      </c>
      <c r="AD19" s="2">
        <f t="shared" si="13"/>
        <v>0</v>
      </c>
      <c r="AE19" s="2">
        <f t="shared" si="29"/>
        <v>0</v>
      </c>
      <c r="AF19" s="2">
        <f t="shared" si="30"/>
        <v>0</v>
      </c>
      <c r="AI19" s="2">
        <f t="shared" si="14"/>
        <v>0</v>
      </c>
      <c r="AJ19" s="2">
        <f t="shared" si="15"/>
        <v>0</v>
      </c>
      <c r="AK19" s="2">
        <f t="shared" si="16"/>
        <v>0</v>
      </c>
      <c r="AL19" s="2">
        <f t="shared" si="17"/>
        <v>0</v>
      </c>
      <c r="AM19" s="2">
        <f t="shared" si="18"/>
        <v>2.9952794119009706E-2</v>
      </c>
      <c r="AN19" s="2">
        <f t="shared" si="19"/>
        <v>6.9106782538586335</v>
      </c>
      <c r="AO19" s="2">
        <f t="shared" si="20"/>
        <v>0</v>
      </c>
      <c r="AP19" s="2">
        <f t="shared" si="21"/>
        <v>0</v>
      </c>
      <c r="AQ19" s="2">
        <f t="shared" si="22"/>
        <v>28.190039392434919</v>
      </c>
      <c r="AR19" s="2">
        <f t="shared" si="23"/>
        <v>6503.9772727272721</v>
      </c>
      <c r="AS19" s="2">
        <f t="shared" si="31"/>
        <v>0.36493287358933924</v>
      </c>
      <c r="AT19" s="2">
        <f t="shared" si="32"/>
        <v>84.1969421487603</v>
      </c>
    </row>
    <row r="20" spans="1:46">
      <c r="A20" s="32" t="s">
        <v>19</v>
      </c>
      <c r="B20" s="29">
        <v>62.8</v>
      </c>
      <c r="C20" s="30">
        <f t="shared" si="24"/>
        <v>27.268181818181816</v>
      </c>
      <c r="D20" s="31">
        <v>10270</v>
      </c>
      <c r="E20" s="30">
        <f t="shared" si="25"/>
        <v>-12070.68181818182</v>
      </c>
      <c r="F20" s="31">
        <f>16819/714815</f>
        <v>2.3529164888817386E-2</v>
      </c>
      <c r="G20" s="47">
        <f t="shared" si="26"/>
        <v>-8.9233704999309924E-3</v>
      </c>
      <c r="H20" s="51">
        <v>75</v>
      </c>
      <c r="I20" s="76">
        <f t="shared" si="33"/>
        <v>-1.1227272727272606</v>
      </c>
      <c r="J20" s="77">
        <v>0</v>
      </c>
      <c r="K20" s="78">
        <f t="shared" si="0"/>
        <v>-34.5</v>
      </c>
      <c r="L20" s="80">
        <v>0.34</v>
      </c>
      <c r="M20" s="98">
        <f t="shared" si="1"/>
        <v>8.1818181818182345E-3</v>
      </c>
      <c r="N20" s="9">
        <f>5.32</f>
        <v>5.32</v>
      </c>
      <c r="O20" s="9">
        <f t="shared" si="27"/>
        <v>0.79959734960822348</v>
      </c>
      <c r="P20" s="100">
        <f t="shared" si="2"/>
        <v>-1.1222442448143957</v>
      </c>
      <c r="Q20" s="10">
        <f t="shared" si="28"/>
        <v>0.15030025368575628</v>
      </c>
      <c r="R20" s="10">
        <v>2875</v>
      </c>
      <c r="S20" s="110">
        <f t="shared" si="3"/>
        <v>1727.3181818181818</v>
      </c>
      <c r="U20" s="2">
        <f t="shared" si="4"/>
        <v>0</v>
      </c>
      <c r="V20" s="2">
        <f t="shared" si="5"/>
        <v>47100.826239669419</v>
      </c>
      <c r="W20" s="2">
        <f t="shared" si="6"/>
        <v>13546.253201440313</v>
      </c>
      <c r="X20" s="2">
        <f t="shared" si="7"/>
        <v>0</v>
      </c>
      <c r="Y20" s="2">
        <f t="shared" si="8"/>
        <v>1.0014201187894112E-2</v>
      </c>
      <c r="Z20" s="2">
        <f t="shared" si="9"/>
        <v>0</v>
      </c>
      <c r="AA20" s="2">
        <f t="shared" si="10"/>
        <v>1.2599742203143305</v>
      </c>
      <c r="AB20" s="114">
        <f t="shared" si="11"/>
        <v>0</v>
      </c>
      <c r="AC20" s="2">
        <f t="shared" si="12"/>
        <v>38.717426446096653</v>
      </c>
      <c r="AD20" s="2">
        <f t="shared" si="13"/>
        <v>0</v>
      </c>
      <c r="AE20" s="2">
        <f t="shared" si="29"/>
        <v>0</v>
      </c>
      <c r="AF20" s="2">
        <f t="shared" si="30"/>
        <v>14.132603305785214</v>
      </c>
      <c r="AI20" s="2">
        <f t="shared" si="14"/>
        <v>30.601560112007085</v>
      </c>
      <c r="AJ20" s="2">
        <f t="shared" si="15"/>
        <v>0</v>
      </c>
      <c r="AK20" s="2">
        <f t="shared" si="16"/>
        <v>0</v>
      </c>
      <c r="AL20" s="2">
        <f t="shared" si="17"/>
        <v>20849908.171487607</v>
      </c>
      <c r="AM20" s="2">
        <f t="shared" si="18"/>
        <v>0</v>
      </c>
      <c r="AN20" s="2">
        <f t="shared" si="19"/>
        <v>15.413500107630801</v>
      </c>
      <c r="AO20" s="2">
        <f t="shared" si="20"/>
        <v>0</v>
      </c>
      <c r="AP20" s="2">
        <f t="shared" si="21"/>
        <v>1939.3072314049377</v>
      </c>
      <c r="AQ20" s="2">
        <f t="shared" si="22"/>
        <v>0</v>
      </c>
      <c r="AR20" s="2">
        <f t="shared" si="23"/>
        <v>59592.477272727272</v>
      </c>
      <c r="AS20" s="2">
        <f t="shared" si="31"/>
        <v>9.1819983666632972E-3</v>
      </c>
      <c r="AT20" s="2">
        <f t="shared" si="32"/>
        <v>0</v>
      </c>
    </row>
    <row r="21" spans="1:46">
      <c r="A21" s="32" t="s">
        <v>20</v>
      </c>
      <c r="B21" s="29">
        <v>64.099999999999994</v>
      </c>
      <c r="C21" s="30">
        <f t="shared" si="24"/>
        <v>28.568181818181813</v>
      </c>
      <c r="D21" s="31">
        <v>2685</v>
      </c>
      <c r="E21" s="30">
        <f t="shared" si="25"/>
        <v>-19655.68181818182</v>
      </c>
      <c r="F21" s="31">
        <f>173/16518</f>
        <v>1.0473422932558421E-2</v>
      </c>
      <c r="G21" s="47">
        <f t="shared" si="26"/>
        <v>-2.1979112456189956E-2</v>
      </c>
      <c r="H21" s="49">
        <v>62.9</v>
      </c>
      <c r="I21" s="76">
        <f t="shared" si="33"/>
        <v>-13.222727272727262</v>
      </c>
      <c r="J21" s="82">
        <v>0</v>
      </c>
      <c r="K21" s="78">
        <f t="shared" si="0"/>
        <v>-34.5</v>
      </c>
      <c r="L21" s="80">
        <v>0.15</v>
      </c>
      <c r="M21" s="98">
        <f t="shared" si="1"/>
        <v>-0.1818181818181818</v>
      </c>
      <c r="N21" s="9">
        <f>0.11</f>
        <v>0.11</v>
      </c>
      <c r="O21" s="9">
        <f t="shared" si="27"/>
        <v>1.2289251626831525E-2</v>
      </c>
      <c r="P21" s="100">
        <f t="shared" si="2"/>
        <v>-1.9095523427957877</v>
      </c>
      <c r="Q21" s="10">
        <f t="shared" si="28"/>
        <v>0.11172046933483204</v>
      </c>
      <c r="R21" s="10">
        <v>3142</v>
      </c>
      <c r="S21" s="110">
        <f t="shared" si="3"/>
        <v>1994.3181818181818</v>
      </c>
      <c r="U21" s="2">
        <f t="shared" si="4"/>
        <v>0</v>
      </c>
      <c r="V21" s="2">
        <f t="shared" si="5"/>
        <v>56974.04442148759</v>
      </c>
      <c r="W21" s="2">
        <f t="shared" si="6"/>
        <v>37533.553265157665</v>
      </c>
      <c r="X21" s="2">
        <f t="shared" si="7"/>
        <v>0</v>
      </c>
      <c r="Y21" s="2">
        <f t="shared" si="8"/>
        <v>4.1970265683289612E-2</v>
      </c>
      <c r="Z21" s="2">
        <f t="shared" si="9"/>
        <v>0</v>
      </c>
      <c r="AA21" s="2">
        <f t="shared" si="10"/>
        <v>25.249489841786101</v>
      </c>
      <c r="AB21" s="114">
        <f t="shared" si="11"/>
        <v>0</v>
      </c>
      <c r="AC21" s="2">
        <f t="shared" si="12"/>
        <v>65.879555826454677</v>
      </c>
      <c r="AD21" s="2">
        <f t="shared" si="13"/>
        <v>0</v>
      </c>
      <c r="AE21" s="2">
        <f t="shared" si="29"/>
        <v>0.34719133505377953</v>
      </c>
      <c r="AF21" s="2">
        <f t="shared" si="30"/>
        <v>0</v>
      </c>
      <c r="AI21" s="2">
        <f t="shared" si="14"/>
        <v>54.552438520325104</v>
      </c>
      <c r="AJ21" s="2">
        <f t="shared" si="15"/>
        <v>0</v>
      </c>
      <c r="AK21" s="2">
        <f t="shared" si="16"/>
        <v>0</v>
      </c>
      <c r="AL21" s="2">
        <f t="shared" si="17"/>
        <v>39199683.62603306</v>
      </c>
      <c r="AM21" s="2">
        <f t="shared" si="18"/>
        <v>0</v>
      </c>
      <c r="AN21" s="2">
        <f t="shared" si="19"/>
        <v>43.833343591606102</v>
      </c>
      <c r="AO21" s="2">
        <f t="shared" si="20"/>
        <v>0</v>
      </c>
      <c r="AP21" s="2">
        <f t="shared" si="21"/>
        <v>26370.32541322312</v>
      </c>
      <c r="AQ21" s="2">
        <f t="shared" si="22"/>
        <v>0</v>
      </c>
      <c r="AR21" s="2">
        <f t="shared" si="23"/>
        <v>68803.977272727265</v>
      </c>
      <c r="AS21" s="2">
        <f t="shared" si="31"/>
        <v>0</v>
      </c>
      <c r="AT21" s="2">
        <f t="shared" si="32"/>
        <v>362.60330578512389</v>
      </c>
    </row>
    <row r="22" spans="1:46">
      <c r="A22" s="32" t="s">
        <v>21</v>
      </c>
      <c r="B22" s="29">
        <v>49.4</v>
      </c>
      <c r="C22" s="30">
        <f t="shared" si="24"/>
        <v>13.868181818181817</v>
      </c>
      <c r="D22" s="31">
        <v>10037</v>
      </c>
      <c r="E22" s="30">
        <f t="shared" si="25"/>
        <v>-12303.68181818182</v>
      </c>
      <c r="F22" s="31">
        <f>139316/5101852</f>
        <v>2.7306946575478865E-2</v>
      </c>
      <c r="G22" s="47">
        <f t="shared" si="26"/>
        <v>-5.1455888132695138E-3</v>
      </c>
      <c r="H22" s="51">
        <v>70.5</v>
      </c>
      <c r="I22" s="76">
        <f t="shared" si="33"/>
        <v>-5.6227272727272606</v>
      </c>
      <c r="J22" s="77">
        <v>16</v>
      </c>
      <c r="K22" s="78">
        <f t="shared" si="0"/>
        <v>-18.5</v>
      </c>
      <c r="L22" s="80">
        <v>0.28999999999999998</v>
      </c>
      <c r="M22" s="98">
        <f t="shared" si="1"/>
        <v>-4.181818181818181E-2</v>
      </c>
      <c r="N22" s="9">
        <f>0.62</f>
        <v>0.62</v>
      </c>
      <c r="O22" s="9">
        <f t="shared" si="27"/>
        <v>0.4092744629140676</v>
      </c>
      <c r="P22" s="100">
        <f t="shared" si="2"/>
        <v>-1.5125671315085516</v>
      </c>
      <c r="Q22" s="10">
        <f t="shared" si="28"/>
        <v>0.66012010147430256</v>
      </c>
      <c r="R22" s="10">
        <v>460</v>
      </c>
      <c r="S22" s="110">
        <f t="shared" si="3"/>
        <v>-687.68181818181824</v>
      </c>
      <c r="U22" s="2">
        <f t="shared" si="4"/>
        <v>0</v>
      </c>
      <c r="V22" s="2">
        <f t="shared" si="5"/>
        <v>0</v>
      </c>
      <c r="W22" s="2">
        <f t="shared" si="6"/>
        <v>18610.144714721195</v>
      </c>
      <c r="X22" s="2">
        <f t="shared" si="7"/>
        <v>8461018.2830578536</v>
      </c>
      <c r="Y22" s="2">
        <f t="shared" si="8"/>
        <v>7.7830485112095607E-3</v>
      </c>
      <c r="Z22" s="2">
        <f t="shared" si="9"/>
        <v>3.5385278707252037</v>
      </c>
      <c r="AA22" s="2">
        <f t="shared" si="10"/>
        <v>8.5047524621639745</v>
      </c>
      <c r="AB22" s="114">
        <f t="shared" si="11"/>
        <v>3866.6473140495787</v>
      </c>
      <c r="AC22" s="2">
        <f t="shared" si="12"/>
        <v>27.982491932908204</v>
      </c>
      <c r="AD22" s="2">
        <f t="shared" si="13"/>
        <v>12722.113636363638</v>
      </c>
      <c r="AE22" s="2">
        <f t="shared" si="29"/>
        <v>6.3252807317630333E-2</v>
      </c>
      <c r="AF22" s="2">
        <f t="shared" si="30"/>
        <v>28.757603305785121</v>
      </c>
      <c r="AI22" s="2">
        <f t="shared" si="14"/>
        <v>20.976555991966322</v>
      </c>
      <c r="AJ22" s="2">
        <f t="shared" si="15"/>
        <v>9536.896487603306</v>
      </c>
      <c r="AK22" s="2">
        <f t="shared" si="16"/>
        <v>0</v>
      </c>
      <c r="AL22" s="2">
        <f t="shared" si="17"/>
        <v>0</v>
      </c>
      <c r="AM22" s="2">
        <f t="shared" si="18"/>
        <v>0</v>
      </c>
      <c r="AN22" s="2">
        <f t="shared" si="19"/>
        <v>0</v>
      </c>
      <c r="AO22" s="2">
        <f t="shared" si="20"/>
        <v>0</v>
      </c>
      <c r="AP22" s="2">
        <f t="shared" si="21"/>
        <v>0</v>
      </c>
      <c r="AQ22" s="2">
        <f t="shared" si="22"/>
        <v>0</v>
      </c>
      <c r="AR22" s="2">
        <f t="shared" si="23"/>
        <v>0</v>
      </c>
      <c r="AS22" s="2">
        <f t="shared" si="31"/>
        <v>0</v>
      </c>
      <c r="AT22" s="2">
        <f t="shared" si="32"/>
        <v>0</v>
      </c>
    </row>
    <row r="23" spans="1:46">
      <c r="A23" s="35" t="s">
        <v>22</v>
      </c>
      <c r="B23" s="29">
        <v>7.6</v>
      </c>
      <c r="C23" s="30">
        <f t="shared" si="24"/>
        <v>-27.93181818181818</v>
      </c>
      <c r="D23" s="31">
        <v>5067</v>
      </c>
      <c r="E23" s="30">
        <f t="shared" si="25"/>
        <v>-17273.68181818182</v>
      </c>
      <c r="F23" s="31">
        <f>62628/1845038</f>
        <v>3.3944016329202978E-2</v>
      </c>
      <c r="G23" s="50">
        <f t="shared" si="26"/>
        <v>1.4914809404545995E-3</v>
      </c>
      <c r="H23" s="49">
        <v>62.9</v>
      </c>
      <c r="I23" s="76">
        <f t="shared" si="33"/>
        <v>-13.222727272727262</v>
      </c>
      <c r="J23" s="77">
        <v>10</v>
      </c>
      <c r="K23" s="78">
        <f t="shared" si="0"/>
        <v>-24.5</v>
      </c>
      <c r="L23" s="80">
        <v>0.13</v>
      </c>
      <c r="M23" s="98">
        <f t="shared" si="1"/>
        <v>-0.20181818181818179</v>
      </c>
      <c r="N23" s="9">
        <f>2.16</f>
        <v>2.16</v>
      </c>
      <c r="O23" s="9">
        <f t="shared" si="27"/>
        <v>1.3984421226738375</v>
      </c>
      <c r="P23" s="100">
        <f t="shared" si="2"/>
        <v>-0.52339947174878176</v>
      </c>
      <c r="Q23" s="10">
        <f t="shared" si="28"/>
        <v>0.64742690864529506</v>
      </c>
      <c r="R23" s="10">
        <v>495</v>
      </c>
      <c r="S23" s="110">
        <f t="shared" si="3"/>
        <v>-652.68181818181824</v>
      </c>
      <c r="U23" s="2">
        <f t="shared" si="4"/>
        <v>14.619498881346653</v>
      </c>
      <c r="V23" s="2">
        <f t="shared" si="5"/>
        <v>18230.58987603306</v>
      </c>
      <c r="W23" s="2">
        <f t="shared" si="6"/>
        <v>9041.0359387929002</v>
      </c>
      <c r="X23" s="2">
        <f t="shared" si="7"/>
        <v>11274218.055785127</v>
      </c>
      <c r="Y23" s="2">
        <f t="shared" si="8"/>
        <v>0</v>
      </c>
      <c r="Z23" s="2">
        <f t="shared" si="9"/>
        <v>0</v>
      </c>
      <c r="AA23" s="2">
        <f t="shared" si="10"/>
        <v>6.9207684696236589</v>
      </c>
      <c r="AB23" s="114">
        <f t="shared" si="11"/>
        <v>8630.2336776859447</v>
      </c>
      <c r="AC23" s="2">
        <f t="shared" si="12"/>
        <v>12.823287057845153</v>
      </c>
      <c r="AD23" s="2">
        <f t="shared" si="13"/>
        <v>15990.704545454548</v>
      </c>
      <c r="AE23" s="2">
        <f t="shared" si="29"/>
        <v>0.10563152975293594</v>
      </c>
      <c r="AF23" s="2">
        <f t="shared" si="30"/>
        <v>131.72305785123967</v>
      </c>
      <c r="AI23" s="2">
        <f t="shared" si="14"/>
        <v>0</v>
      </c>
      <c r="AJ23" s="2">
        <f t="shared" si="15"/>
        <v>0</v>
      </c>
      <c r="AK23" s="2">
        <f t="shared" si="16"/>
        <v>0</v>
      </c>
      <c r="AL23" s="2">
        <f t="shared" si="17"/>
        <v>0</v>
      </c>
      <c r="AM23" s="2">
        <f t="shared" si="18"/>
        <v>7.8064033635731362E-4</v>
      </c>
      <c r="AN23" s="2">
        <f t="shared" si="19"/>
        <v>0.97346249199943624</v>
      </c>
      <c r="AO23" s="2">
        <f t="shared" si="20"/>
        <v>0</v>
      </c>
      <c r="AP23" s="2">
        <f t="shared" si="21"/>
        <v>0</v>
      </c>
      <c r="AQ23" s="2">
        <f t="shared" si="22"/>
        <v>0</v>
      </c>
      <c r="AR23" s="2">
        <f t="shared" si="23"/>
        <v>0</v>
      </c>
      <c r="AS23" s="2">
        <f t="shared" si="31"/>
        <v>0</v>
      </c>
      <c r="AT23" s="2">
        <f t="shared" si="32"/>
        <v>0</v>
      </c>
    </row>
    <row r="24" spans="1:46">
      <c r="A24" s="32" t="s">
        <v>23</v>
      </c>
      <c r="B24" s="29">
        <v>33.200000000000003</v>
      </c>
      <c r="C24" s="30">
        <f t="shared" si="24"/>
        <v>-2.3318181818181785</v>
      </c>
      <c r="D24" s="31">
        <v>63416</v>
      </c>
      <c r="E24" s="30">
        <f t="shared" si="25"/>
        <v>41075.318181818177</v>
      </c>
      <c r="F24" s="31">
        <f>621598/29140554</f>
        <v>2.1331028915922465E-2</v>
      </c>
      <c r="G24" s="47">
        <f t="shared" si="26"/>
        <v>-1.1121506472825914E-2</v>
      </c>
      <c r="H24" s="51">
        <v>77.8</v>
      </c>
      <c r="I24" s="76">
        <f t="shared" si="33"/>
        <v>1.6772727272727366</v>
      </c>
      <c r="J24" s="77">
        <v>366</v>
      </c>
      <c r="K24" s="78">
        <f t="shared" si="0"/>
        <v>331.5</v>
      </c>
      <c r="L24" s="80">
        <v>0.5</v>
      </c>
      <c r="M24" s="98">
        <f t="shared" si="1"/>
        <v>0.16818181818181821</v>
      </c>
      <c r="N24" s="9">
        <f>2.54</f>
        <v>2.54</v>
      </c>
      <c r="O24" s="9">
        <f t="shared" si="27"/>
        <v>1.4637000958534254</v>
      </c>
      <c r="P24" s="100">
        <f t="shared" si="2"/>
        <v>-0.45814149856919384</v>
      </c>
      <c r="Q24" s="10">
        <f t="shared" si="28"/>
        <v>0.57625988025725405</v>
      </c>
      <c r="R24" s="10">
        <v>715</v>
      </c>
      <c r="S24" s="110">
        <f t="shared" si="3"/>
        <v>-432.68181818181824</v>
      </c>
      <c r="U24" s="2">
        <f t="shared" si="4"/>
        <v>1.0683026762090733</v>
      </c>
      <c r="V24" s="2">
        <f t="shared" si="5"/>
        <v>1008.9353305785111</v>
      </c>
      <c r="W24" s="2">
        <f t="shared" si="6"/>
        <v>0</v>
      </c>
      <c r="X24" s="2">
        <f t="shared" si="7"/>
        <v>0</v>
      </c>
      <c r="Y24" s="2">
        <f t="shared" si="8"/>
        <v>5.095223641807453E-3</v>
      </c>
      <c r="Z24" s="2">
        <f t="shared" si="9"/>
        <v>4.8120736415831766</v>
      </c>
      <c r="AA24" s="2">
        <f t="shared" si="10"/>
        <v>0</v>
      </c>
      <c r="AB24" s="114">
        <f t="shared" si="11"/>
        <v>0</v>
      </c>
      <c r="AC24" s="2">
        <f t="shared" si="12"/>
        <v>0</v>
      </c>
      <c r="AD24" s="2">
        <f t="shared" si="13"/>
        <v>0</v>
      </c>
      <c r="AE24" s="2">
        <f t="shared" si="29"/>
        <v>0</v>
      </c>
      <c r="AF24" s="2">
        <f t="shared" si="30"/>
        <v>0</v>
      </c>
      <c r="AI24" s="2">
        <f t="shared" si="14"/>
        <v>0</v>
      </c>
      <c r="AJ24" s="2">
        <f t="shared" si="15"/>
        <v>0</v>
      </c>
      <c r="AK24" s="2">
        <f t="shared" si="16"/>
        <v>18818.307826024633</v>
      </c>
      <c r="AL24" s="2">
        <f t="shared" si="17"/>
        <v>17772543.353305787</v>
      </c>
      <c r="AM24" s="2">
        <f t="shared" si="18"/>
        <v>0</v>
      </c>
      <c r="AN24" s="2">
        <f t="shared" si="19"/>
        <v>0</v>
      </c>
      <c r="AO24" s="2">
        <f t="shared" si="20"/>
        <v>0.76842824078197025</v>
      </c>
      <c r="AP24" s="2">
        <f t="shared" si="21"/>
        <v>725.72541322314464</v>
      </c>
      <c r="AQ24" s="2">
        <f t="shared" si="22"/>
        <v>151.87390677568777</v>
      </c>
      <c r="AR24" s="2">
        <f t="shared" si="23"/>
        <v>143434.02272727274</v>
      </c>
      <c r="AS24" s="2">
        <f t="shared" si="31"/>
        <v>7.7051070213909889E-2</v>
      </c>
      <c r="AT24" s="2">
        <f t="shared" si="32"/>
        <v>72.769214876033075</v>
      </c>
    </row>
    <row r="25" spans="1:46">
      <c r="A25" s="32" t="s">
        <v>24</v>
      </c>
      <c r="B25" s="29">
        <v>11.8</v>
      </c>
      <c r="C25" s="30">
        <f t="shared" si="24"/>
        <v>-23.731818181818181</v>
      </c>
      <c r="D25" s="31">
        <v>40406</v>
      </c>
      <c r="E25" s="30">
        <f t="shared" si="25"/>
        <v>18065.31818181818</v>
      </c>
      <c r="F25" s="31">
        <f>128268/4341354</f>
        <v>2.9545621020538752E-2</v>
      </c>
      <c r="G25" s="47">
        <f t="shared" si="26"/>
        <v>-2.906914368209626E-3</v>
      </c>
      <c r="H25" s="49">
        <v>81.2</v>
      </c>
      <c r="I25" s="76">
        <f t="shared" si="33"/>
        <v>5.0772727272727423</v>
      </c>
      <c r="J25" s="77">
        <v>131</v>
      </c>
      <c r="K25" s="78">
        <f t="shared" si="0"/>
        <v>96.5</v>
      </c>
      <c r="L25" s="80">
        <v>0.27</v>
      </c>
      <c r="M25" s="98">
        <f t="shared" si="1"/>
        <v>-6.1818181818181772E-2</v>
      </c>
      <c r="N25" s="9">
        <f>3.17</f>
        <v>3.17</v>
      </c>
      <c r="O25" s="9">
        <f t="shared" si="27"/>
        <v>1.4153692277429664</v>
      </c>
      <c r="P25" s="100">
        <f t="shared" si="2"/>
        <v>-0.5064723666796529</v>
      </c>
      <c r="Q25" s="10">
        <f t="shared" si="28"/>
        <v>0.44648871537633006</v>
      </c>
      <c r="R25" s="10">
        <v>1220</v>
      </c>
      <c r="S25" s="110">
        <f t="shared" si="3"/>
        <v>72.318181818181756</v>
      </c>
      <c r="U25" s="2">
        <f t="shared" si="4"/>
        <v>12.019510120156671</v>
      </c>
      <c r="V25" s="2">
        <f t="shared" si="5"/>
        <v>0</v>
      </c>
      <c r="W25" s="2">
        <f t="shared" si="6"/>
        <v>0</v>
      </c>
      <c r="X25" s="2">
        <f t="shared" si="7"/>
        <v>1306450.9648760317</v>
      </c>
      <c r="Y25" s="2">
        <f t="shared" si="8"/>
        <v>1.4722717998022173E-3</v>
      </c>
      <c r="Z25" s="2">
        <f t="shared" si="9"/>
        <v>0</v>
      </c>
      <c r="AA25" s="2">
        <f t="shared" si="10"/>
        <v>0</v>
      </c>
      <c r="AB25" s="114">
        <f t="shared" si="11"/>
        <v>367.17913223140573</v>
      </c>
      <c r="AC25" s="2">
        <f t="shared" si="12"/>
        <v>0</v>
      </c>
      <c r="AD25" s="2">
        <f t="shared" si="13"/>
        <v>6978.7045454545396</v>
      </c>
      <c r="AE25" s="2">
        <f t="shared" si="29"/>
        <v>3.1309200849287608E-2</v>
      </c>
      <c r="AF25" s="2">
        <f t="shared" si="30"/>
        <v>0</v>
      </c>
      <c r="AI25" s="2">
        <f t="shared" si="14"/>
        <v>0</v>
      </c>
      <c r="AJ25" s="2">
        <f t="shared" si="15"/>
        <v>1716.2419421487589</v>
      </c>
      <c r="AK25" s="2">
        <f t="shared" si="16"/>
        <v>9149.584454366417</v>
      </c>
      <c r="AL25" s="2">
        <f t="shared" si="17"/>
        <v>0</v>
      </c>
      <c r="AM25" s="2">
        <f t="shared" si="18"/>
        <v>0</v>
      </c>
      <c r="AN25" s="2">
        <f t="shared" si="19"/>
        <v>0.21022276181006869</v>
      </c>
      <c r="AO25" s="2">
        <f t="shared" si="20"/>
        <v>2.5714983344598816</v>
      </c>
      <c r="AP25" s="2">
        <f t="shared" si="21"/>
        <v>0</v>
      </c>
      <c r="AQ25" s="2">
        <f t="shared" si="22"/>
        <v>48.874583384586508</v>
      </c>
      <c r="AR25" s="2">
        <f t="shared" si="23"/>
        <v>0</v>
      </c>
      <c r="AS25" s="2">
        <f t="shared" si="31"/>
        <v>0</v>
      </c>
      <c r="AT25" s="2">
        <f t="shared" si="32"/>
        <v>4.4705785123966875</v>
      </c>
    </row>
    <row r="26" spans="1:46">
      <c r="A26" s="35" t="s">
        <v>25</v>
      </c>
      <c r="B26" s="29">
        <v>53.4</v>
      </c>
      <c r="C26" s="30">
        <f t="shared" si="24"/>
        <v>17.868181818181817</v>
      </c>
      <c r="D26" s="31">
        <v>6084</v>
      </c>
      <c r="E26" s="30">
        <f t="shared" si="25"/>
        <v>-16256.68181818182</v>
      </c>
      <c r="F26" s="31">
        <f>193389/1720665</f>
        <v>0.112392011228217</v>
      </c>
      <c r="G26" s="50">
        <f t="shared" si="26"/>
        <v>7.9939475839468616E-2</v>
      </c>
      <c r="H26" s="51">
        <v>75.5</v>
      </c>
      <c r="I26" s="76">
        <f t="shared" si="33"/>
        <v>-0.62272727272726058</v>
      </c>
      <c r="J26" s="77">
        <v>1</v>
      </c>
      <c r="K26" s="83">
        <f t="shared" si="0"/>
        <v>-33.5</v>
      </c>
      <c r="L26" s="80">
        <v>0.78</v>
      </c>
      <c r="M26" s="101">
        <f t="shared" si="1"/>
        <v>0.44818181818181824</v>
      </c>
      <c r="N26" s="9">
        <f>1</f>
        <v>1</v>
      </c>
      <c r="O26" s="9">
        <f t="shared" si="27"/>
        <v>0.33934998355842716</v>
      </c>
      <c r="P26" s="100">
        <f t="shared" si="2"/>
        <v>-1.5824916108641922</v>
      </c>
      <c r="Q26" s="10">
        <f t="shared" si="28"/>
        <v>0.33934998355842716</v>
      </c>
      <c r="R26" s="10">
        <v>1738</v>
      </c>
      <c r="S26" s="111">
        <f t="shared" si="3"/>
        <v>590.31818181818176</v>
      </c>
      <c r="V26" s="2">
        <f t="shared" si="5"/>
        <v>10547.912603305784</v>
      </c>
      <c r="X26" s="2">
        <f t="shared" si="7"/>
        <v>0</v>
      </c>
      <c r="Z26" s="2">
        <f t="shared" si="9"/>
        <v>47.189726033053581</v>
      </c>
      <c r="AB26" s="114">
        <f t="shared" si="11"/>
        <v>0</v>
      </c>
      <c r="AC26" s="2">
        <f t="shared" si="12"/>
        <v>53.013468963950437</v>
      </c>
      <c r="AD26" s="2">
        <f t="shared" si="13"/>
        <v>0</v>
      </c>
      <c r="AE26" s="2">
        <f t="shared" si="29"/>
        <v>0</v>
      </c>
      <c r="AF26" s="2">
        <f t="shared" si="30"/>
        <v>264.56987603305788</v>
      </c>
      <c r="AJ26" s="2">
        <f t="shared" si="15"/>
        <v>0</v>
      </c>
      <c r="AL26" s="2">
        <f t="shared" si="17"/>
        <v>9596614.853305785</v>
      </c>
      <c r="AN26" s="2">
        <f t="shared" si="19"/>
        <v>0</v>
      </c>
      <c r="AP26" s="2">
        <f t="shared" si="21"/>
        <v>367.60723140495145</v>
      </c>
      <c r="AQ26" s="2">
        <f t="shared" si="22"/>
        <v>0</v>
      </c>
      <c r="AR26" s="2">
        <f t="shared" si="23"/>
        <v>19775.659090909088</v>
      </c>
      <c r="AS26" s="2">
        <f t="shared" si="31"/>
        <v>0.70924396741458806</v>
      </c>
      <c r="AT26" s="2">
        <f t="shared" si="32"/>
        <v>0</v>
      </c>
    </row>
    <row r="27" spans="1:46">
      <c r="A27" s="32" t="s">
        <v>26</v>
      </c>
      <c r="B27" s="29">
        <v>19.7</v>
      </c>
      <c r="C27" s="30">
        <f t="shared" si="24"/>
        <v>-15.831818181818182</v>
      </c>
      <c r="D27" s="31">
        <v>52825</v>
      </c>
      <c r="E27" s="30">
        <f t="shared" si="25"/>
        <v>30484.31818181818</v>
      </c>
      <c r="F27" s="31">
        <f>910/29405</f>
        <v>3.0947117837102533E-2</v>
      </c>
      <c r="G27" s="47">
        <f t="shared" si="26"/>
        <v>-1.5054175516458455E-3</v>
      </c>
      <c r="H27" s="49">
        <v>82.8</v>
      </c>
      <c r="I27" s="76">
        <f t="shared" si="33"/>
        <v>6.6772727272727366</v>
      </c>
      <c r="J27" s="77">
        <v>12</v>
      </c>
      <c r="K27" s="83">
        <f t="shared" si="0"/>
        <v>-22.5</v>
      </c>
      <c r="L27" s="80">
        <v>0.15</v>
      </c>
      <c r="M27" s="101">
        <f t="shared" si="1"/>
        <v>-0.1818181818181818</v>
      </c>
      <c r="N27" s="9">
        <f>2.03</f>
        <v>2.0299999999999998</v>
      </c>
      <c r="O27" s="9">
        <f t="shared" si="27"/>
        <v>1.2866159639680523</v>
      </c>
      <c r="P27" s="100">
        <f t="shared" si="2"/>
        <v>-0.63522563045456693</v>
      </c>
      <c r="Q27" s="10">
        <f t="shared" si="28"/>
        <v>0.63380096747194703</v>
      </c>
      <c r="R27" s="10">
        <v>534</v>
      </c>
      <c r="S27" s="111">
        <f t="shared" si="3"/>
        <v>-613.68181818181824</v>
      </c>
      <c r="V27" s="2">
        <f t="shared" si="5"/>
        <v>9715.6989669421491</v>
      </c>
      <c r="X27" s="2">
        <f t="shared" si="7"/>
        <v>0</v>
      </c>
      <c r="Z27" s="2">
        <f t="shared" si="9"/>
        <v>0.92384738021684376</v>
      </c>
      <c r="AB27" s="114">
        <f t="shared" si="11"/>
        <v>0</v>
      </c>
      <c r="AC27" s="2">
        <f t="shared" si="12"/>
        <v>14.292576685227756</v>
      </c>
      <c r="AD27" s="2">
        <f t="shared" si="13"/>
        <v>13807.84090909091</v>
      </c>
      <c r="AE27" s="2">
        <f t="shared" si="29"/>
        <v>0.11549556917355761</v>
      </c>
      <c r="AF27" s="2">
        <f t="shared" si="30"/>
        <v>111.57851239669421</v>
      </c>
      <c r="AJ27" s="2">
        <f t="shared" si="15"/>
        <v>0</v>
      </c>
      <c r="AL27" s="2">
        <f t="shared" si="17"/>
        <v>18707671.80785124</v>
      </c>
      <c r="AN27" s="2">
        <f t="shared" si="19"/>
        <v>0</v>
      </c>
      <c r="AP27" s="2">
        <f t="shared" si="21"/>
        <v>4097.7208677686012</v>
      </c>
      <c r="AQ27" s="2">
        <f t="shared" si="22"/>
        <v>0</v>
      </c>
      <c r="AR27" s="2">
        <f t="shared" si="23"/>
        <v>0</v>
      </c>
      <c r="AS27" s="2">
        <f t="shared" si="31"/>
        <v>0</v>
      </c>
      <c r="AT27" s="2">
        <f t="shared" si="32"/>
        <v>0</v>
      </c>
    </row>
    <row r="28" spans="1:46">
      <c r="A28" s="34" t="s">
        <v>27</v>
      </c>
      <c r="B28" s="29">
        <v>10.9</v>
      </c>
      <c r="C28" s="30">
        <f t="shared" si="24"/>
        <v>-24.631818181818183</v>
      </c>
      <c r="D28" s="31">
        <v>8555</v>
      </c>
      <c r="E28" s="30">
        <f t="shared" si="25"/>
        <v>-13785.68181818182</v>
      </c>
      <c r="F28" s="31">
        <f>96983/4192546</f>
        <v>2.3132244702860745E-2</v>
      </c>
      <c r="G28" s="47">
        <f t="shared" si="26"/>
        <v>-9.3202906858876333E-3</v>
      </c>
      <c r="H28" s="51">
        <v>76.3</v>
      </c>
      <c r="I28" s="76">
        <f t="shared" si="33"/>
        <v>0.17727272727273657</v>
      </c>
      <c r="J28" s="77">
        <v>5</v>
      </c>
      <c r="K28" s="83">
        <f t="shared" si="0"/>
        <v>-29.5</v>
      </c>
      <c r="L28" s="80">
        <v>0.66</v>
      </c>
      <c r="M28" s="101">
        <f t="shared" si="1"/>
        <v>0.32818181818181824</v>
      </c>
      <c r="N28" s="9">
        <f>4.29</f>
        <v>4.29</v>
      </c>
      <c r="O28" s="9">
        <f t="shared" si="27"/>
        <v>2.637286415856301</v>
      </c>
      <c r="P28" s="99">
        <f t="shared" si="2"/>
        <v>0.71544482143368171</v>
      </c>
      <c r="Q28" s="10">
        <f t="shared" si="28"/>
        <v>0.61475207828818201</v>
      </c>
      <c r="R28" s="10">
        <v>591</v>
      </c>
      <c r="S28" s="111">
        <f t="shared" si="3"/>
        <v>-556.68181818181824</v>
      </c>
      <c r="V28" s="2">
        <f t="shared" si="5"/>
        <v>13712.085330578515</v>
      </c>
      <c r="X28" s="2">
        <f t="shared" si="7"/>
        <v>7674238.4194214894</v>
      </c>
      <c r="Z28" s="2">
        <f t="shared" si="9"/>
        <v>5.1884363650029934</v>
      </c>
      <c r="AB28" s="114">
        <f t="shared" si="11"/>
        <v>0</v>
      </c>
      <c r="AC28" s="2">
        <f t="shared" si="12"/>
        <v>0</v>
      </c>
      <c r="AD28" s="2">
        <f t="shared" si="13"/>
        <v>16422.11363636364</v>
      </c>
      <c r="AE28" s="2">
        <f t="shared" si="29"/>
        <v>0.23479598230687196</v>
      </c>
      <c r="AF28" s="2">
        <f t="shared" si="30"/>
        <v>0</v>
      </c>
      <c r="AJ28" s="2">
        <f t="shared" si="15"/>
        <v>0</v>
      </c>
      <c r="AL28" s="2">
        <f t="shared" si="17"/>
        <v>0</v>
      </c>
      <c r="AN28" s="2">
        <f t="shared" si="19"/>
        <v>0</v>
      </c>
      <c r="AP28" s="2">
        <f t="shared" si="21"/>
        <v>98.684504132236597</v>
      </c>
      <c r="AQ28" s="2">
        <f t="shared" si="22"/>
        <v>21.105622232293612</v>
      </c>
      <c r="AR28" s="2">
        <f t="shared" si="23"/>
        <v>0</v>
      </c>
      <c r="AS28" s="2">
        <f t="shared" si="31"/>
        <v>0</v>
      </c>
      <c r="AT28" s="2">
        <f t="shared" si="32"/>
        <v>182.69285123966947</v>
      </c>
    </row>
    <row r="29" spans="1:46">
      <c r="A29" s="34" t="s">
        <v>28</v>
      </c>
      <c r="B29" s="29">
        <v>30.6</v>
      </c>
      <c r="C29" s="30">
        <f t="shared" si="24"/>
        <v>-4.9318181818181799</v>
      </c>
      <c r="D29" s="31">
        <v>31288</v>
      </c>
      <c r="E29" s="30">
        <f t="shared" si="25"/>
        <v>8947.3181818181802</v>
      </c>
      <c r="F29" s="31">
        <f>127704/4094421</f>
        <v>3.118975796577831E-2</v>
      </c>
      <c r="G29" s="47">
        <f t="shared" si="26"/>
        <v>-1.2627774229700683E-3</v>
      </c>
      <c r="H29" s="49">
        <v>82.7</v>
      </c>
      <c r="I29" s="76">
        <f t="shared" si="33"/>
        <v>6.5772727272727423</v>
      </c>
      <c r="J29" s="77">
        <v>20</v>
      </c>
      <c r="K29" s="83">
        <f t="shared" si="0"/>
        <v>-14.5</v>
      </c>
      <c r="L29" s="80">
        <v>0.39</v>
      </c>
      <c r="M29" s="101">
        <f t="shared" si="1"/>
        <v>5.8181818181818223E-2</v>
      </c>
      <c r="N29" s="9">
        <f>5.91</f>
        <v>5.91</v>
      </c>
      <c r="O29" s="9">
        <f t="shared" si="27"/>
        <v>3.2085576240580194</v>
      </c>
      <c r="P29" s="99">
        <f t="shared" si="2"/>
        <v>1.2867160296354001</v>
      </c>
      <c r="Q29" s="10">
        <f t="shared" si="28"/>
        <v>0.54290315127885269</v>
      </c>
      <c r="R29" s="10">
        <v>832</v>
      </c>
      <c r="S29" s="111">
        <f t="shared" si="3"/>
        <v>-315.68181818181824</v>
      </c>
      <c r="V29" s="2">
        <f t="shared" si="5"/>
        <v>1556.8853305785121</v>
      </c>
      <c r="X29" s="2">
        <f t="shared" si="7"/>
        <v>0</v>
      </c>
      <c r="Z29" s="2">
        <f t="shared" si="9"/>
        <v>0.39863587284214208</v>
      </c>
      <c r="AB29" s="114">
        <f t="shared" si="11"/>
        <v>0</v>
      </c>
      <c r="AC29" s="2">
        <f t="shared" si="12"/>
        <v>0</v>
      </c>
      <c r="AD29" s="2">
        <f t="shared" si="13"/>
        <v>4577.3863636363649</v>
      </c>
      <c r="AE29" s="2">
        <f t="shared" si="29"/>
        <v>7.4863478087877883E-2</v>
      </c>
      <c r="AF29" s="2">
        <f t="shared" si="30"/>
        <v>0</v>
      </c>
      <c r="AJ29" s="2">
        <f t="shared" si="15"/>
        <v>0</v>
      </c>
      <c r="AL29" s="2">
        <f t="shared" si="17"/>
        <v>2824505.6714876033</v>
      </c>
      <c r="AN29" s="2">
        <f t="shared" si="19"/>
        <v>0</v>
      </c>
      <c r="AP29" s="2">
        <f t="shared" si="21"/>
        <v>2076.3254132231455</v>
      </c>
      <c r="AQ29" s="2">
        <f t="shared" si="22"/>
        <v>18.657382429713302</v>
      </c>
      <c r="AR29" s="2">
        <f t="shared" si="23"/>
        <v>0</v>
      </c>
      <c r="AS29" s="2">
        <f t="shared" si="31"/>
        <v>0</v>
      </c>
      <c r="AT29" s="2">
        <f t="shared" si="32"/>
        <v>18.366942148760348</v>
      </c>
    </row>
    <row r="30" spans="1:46">
      <c r="A30" s="32" t="s">
        <v>29</v>
      </c>
      <c r="B30" s="29">
        <v>52.9</v>
      </c>
      <c r="C30" s="30">
        <f t="shared" si="24"/>
        <v>17.368181818181817</v>
      </c>
      <c r="D30" s="31">
        <v>3922</v>
      </c>
      <c r="E30" s="30">
        <f t="shared" si="25"/>
        <v>-18418.68181818182</v>
      </c>
      <c r="F30" s="31">
        <f>61868/1958553</f>
        <v>3.1588626909764501E-2</v>
      </c>
      <c r="G30" s="47">
        <f t="shared" si="26"/>
        <v>-8.639084789838769E-4</v>
      </c>
      <c r="H30" s="51">
        <v>69.099999999999994</v>
      </c>
      <c r="I30" s="76">
        <f t="shared" si="33"/>
        <v>-7.0227272727272663</v>
      </c>
      <c r="J30" s="77">
        <v>0</v>
      </c>
      <c r="K30" s="83">
        <f t="shared" si="0"/>
        <v>-34.5</v>
      </c>
      <c r="L30" s="80">
        <v>0.37</v>
      </c>
      <c r="M30" s="101">
        <f t="shared" si="1"/>
        <v>3.8181818181818206E-2</v>
      </c>
      <c r="N30" s="9">
        <f>0.03</f>
        <v>0.03</v>
      </c>
      <c r="O30" s="9">
        <f t="shared" si="27"/>
        <v>5.2878522920218919E-3</v>
      </c>
      <c r="P30" s="100">
        <f t="shared" si="2"/>
        <v>-1.9165537421305974</v>
      </c>
      <c r="Q30" s="10">
        <f t="shared" si="28"/>
        <v>0.17626174306739639</v>
      </c>
      <c r="R30" s="10">
        <v>2702</v>
      </c>
      <c r="S30" s="111">
        <f t="shared" si="3"/>
        <v>1554.3181818181818</v>
      </c>
      <c r="V30" s="2">
        <f t="shared" si="5"/>
        <v>26995.680785123965</v>
      </c>
      <c r="X30" s="2">
        <f t="shared" si="7"/>
        <v>0</v>
      </c>
      <c r="Z30" s="2">
        <f t="shared" si="9"/>
        <v>0</v>
      </c>
      <c r="AB30" s="114">
        <f t="shared" si="11"/>
        <v>0</v>
      </c>
      <c r="AC30" s="2">
        <f t="shared" si="12"/>
        <v>66.121104103505616</v>
      </c>
      <c r="AD30" s="2">
        <f t="shared" si="13"/>
        <v>0</v>
      </c>
      <c r="AE30" s="2">
        <f t="shared" si="29"/>
        <v>0</v>
      </c>
      <c r="AF30" s="2">
        <f t="shared" si="30"/>
        <v>59.346694214876067</v>
      </c>
      <c r="AJ30" s="2">
        <f t="shared" si="15"/>
        <v>0</v>
      </c>
      <c r="AL30" s="2">
        <f t="shared" si="17"/>
        <v>28628492.035123967</v>
      </c>
      <c r="AN30" s="2">
        <f t="shared" si="19"/>
        <v>1.3427886563115303</v>
      </c>
      <c r="AP30" s="2">
        <f t="shared" si="21"/>
        <v>10915.552685950403</v>
      </c>
      <c r="AQ30" s="2">
        <f t="shared" si="22"/>
        <v>0</v>
      </c>
      <c r="AR30" s="2">
        <f t="shared" si="23"/>
        <v>53623.977272727272</v>
      </c>
      <c r="AS30" s="2">
        <f t="shared" si="31"/>
        <v>7.3177506517713764E-2</v>
      </c>
      <c r="AT30" s="2">
        <f t="shared" si="32"/>
        <v>0</v>
      </c>
    </row>
    <row r="31" spans="1:46">
      <c r="A31" s="35" t="s">
        <v>30</v>
      </c>
      <c r="B31" s="29">
        <v>33.5</v>
      </c>
      <c r="C31" s="30">
        <f t="shared" si="24"/>
        <v>-2.0318181818181813</v>
      </c>
      <c r="D31" s="31">
        <v>8421</v>
      </c>
      <c r="E31" s="30">
        <f t="shared" si="25"/>
        <v>-13919.68181818182</v>
      </c>
      <c r="F31" s="31">
        <f>233689/2019048</f>
        <v>0.11574217155808084</v>
      </c>
      <c r="G31" s="50">
        <f t="shared" si="26"/>
        <v>8.3289636169332465E-2</v>
      </c>
      <c r="H31" s="49">
        <v>76.7</v>
      </c>
      <c r="I31" s="76">
        <f t="shared" si="33"/>
        <v>0.57727272727274226</v>
      </c>
      <c r="J31" s="77">
        <v>3</v>
      </c>
      <c r="K31" s="83">
        <f t="shared" si="0"/>
        <v>-31.5</v>
      </c>
      <c r="L31" s="80">
        <v>0.64</v>
      </c>
      <c r="M31" s="101">
        <f t="shared" si="1"/>
        <v>0.30818181818181822</v>
      </c>
      <c r="N31" s="9">
        <f>2</f>
        <v>2</v>
      </c>
      <c r="O31" s="9">
        <f t="shared" si="27"/>
        <v>1.1274081295172185</v>
      </c>
      <c r="P31" s="100">
        <f t="shared" si="2"/>
        <v>-0.79443346490540079</v>
      </c>
      <c r="Q31" s="10">
        <f t="shared" si="28"/>
        <v>0.56370406475860924</v>
      </c>
      <c r="R31" s="10">
        <v>758</v>
      </c>
      <c r="S31" s="111">
        <f t="shared" si="3"/>
        <v>-389.68181818181824</v>
      </c>
      <c r="V31" s="2">
        <f t="shared" si="5"/>
        <v>791.76260330578509</v>
      </c>
      <c r="X31" s="2">
        <f t="shared" si="7"/>
        <v>5424246.9194214894</v>
      </c>
      <c r="Z31" s="2">
        <f t="shared" si="9"/>
        <v>0</v>
      </c>
      <c r="AB31" s="114">
        <f t="shared" si="11"/>
        <v>0</v>
      </c>
      <c r="AC31" s="2">
        <f t="shared" si="12"/>
        <v>25.024654144520124</v>
      </c>
      <c r="AD31" s="2">
        <f t="shared" si="13"/>
        <v>12274.977272727274</v>
      </c>
      <c r="AE31" s="2">
        <f t="shared" si="29"/>
        <v>0</v>
      </c>
      <c r="AF31" s="2">
        <f t="shared" si="30"/>
        <v>0</v>
      </c>
      <c r="AJ31" s="2">
        <f t="shared" si="15"/>
        <v>0</v>
      </c>
      <c r="AL31" s="2">
        <f t="shared" si="17"/>
        <v>0</v>
      </c>
      <c r="AN31" s="2">
        <f t="shared" si="19"/>
        <v>32.456456858167606</v>
      </c>
      <c r="AP31" s="2">
        <f t="shared" si="21"/>
        <v>224.9526859504191</v>
      </c>
      <c r="AQ31" s="2">
        <f t="shared" si="22"/>
        <v>0</v>
      </c>
      <c r="AR31" s="2">
        <f t="shared" si="23"/>
        <v>0</v>
      </c>
      <c r="AS31" s="2">
        <f t="shared" si="31"/>
        <v>0.2448299496390281</v>
      </c>
      <c r="AT31" s="2">
        <f t="shared" si="32"/>
        <v>120.09285123966946</v>
      </c>
    </row>
    <row r="32" spans="1:46">
      <c r="A32" s="32" t="s">
        <v>31</v>
      </c>
      <c r="B32" s="29">
        <v>0.5</v>
      </c>
      <c r="C32" s="30">
        <f t="shared" si="24"/>
        <v>-35.031818181818181</v>
      </c>
      <c r="D32" s="31">
        <v>20178</v>
      </c>
      <c r="E32" s="30">
        <f t="shared" si="25"/>
        <v>-2162.6818181818198</v>
      </c>
      <c r="F32" s="31">
        <f>7907/475448</f>
        <v>1.6630630479042924E-2</v>
      </c>
      <c r="G32" s="47">
        <f t="shared" si="26"/>
        <v>-1.5821904909705455E-2</v>
      </c>
      <c r="H32" s="51">
        <v>74.5</v>
      </c>
      <c r="I32" s="76">
        <f t="shared" si="33"/>
        <v>-1.6227272727272606</v>
      </c>
      <c r="J32" s="77">
        <v>0</v>
      </c>
      <c r="K32" s="83">
        <f t="shared" si="0"/>
        <v>-34.5</v>
      </c>
      <c r="L32" s="80">
        <v>0.01</v>
      </c>
      <c r="M32" s="101">
        <f t="shared" si="1"/>
        <v>-0.32181818181818178</v>
      </c>
      <c r="N32" s="9">
        <f>1.49</f>
        <v>1.49</v>
      </c>
      <c r="O32" s="9">
        <f t="shared" si="27"/>
        <v>1.3086327624044998</v>
      </c>
      <c r="P32" s="100">
        <f t="shared" si="2"/>
        <v>-0.61320883201811949</v>
      </c>
      <c r="Q32" s="10">
        <f t="shared" si="28"/>
        <v>0.8782770217479865</v>
      </c>
      <c r="R32" s="10">
        <v>59</v>
      </c>
      <c r="S32" s="111">
        <f t="shared" si="3"/>
        <v>-1088.6818181818182</v>
      </c>
      <c r="V32" s="2">
        <f t="shared" si="5"/>
        <v>38138.503512396695</v>
      </c>
      <c r="X32" s="2">
        <f t="shared" si="7"/>
        <v>2354472.3739669439</v>
      </c>
      <c r="Z32" s="2">
        <f t="shared" si="9"/>
        <v>17.225020204197971</v>
      </c>
      <c r="AB32" s="114">
        <f t="shared" si="11"/>
        <v>1766.6336776859373</v>
      </c>
      <c r="AC32" s="2">
        <f t="shared" si="12"/>
        <v>21.155704704625123</v>
      </c>
      <c r="AD32" s="2">
        <f t="shared" si="13"/>
        <v>37559.522727272728</v>
      </c>
      <c r="AE32" s="2">
        <f t="shared" si="29"/>
        <v>0.19734175139492208</v>
      </c>
      <c r="AF32" s="2">
        <f t="shared" si="30"/>
        <v>350.35760330578512</v>
      </c>
      <c r="AJ32" s="2">
        <f t="shared" si="15"/>
        <v>0</v>
      </c>
      <c r="AL32" s="2">
        <f t="shared" si="17"/>
        <v>0</v>
      </c>
      <c r="AN32" s="2">
        <f t="shared" si="19"/>
        <v>0</v>
      </c>
      <c r="AP32" s="2">
        <f t="shared" si="21"/>
        <v>0</v>
      </c>
      <c r="AQ32" s="2">
        <f t="shared" si="22"/>
        <v>0</v>
      </c>
      <c r="AR32" s="2">
        <f t="shared" si="23"/>
        <v>0</v>
      </c>
      <c r="AS32" s="2">
        <f t="shared" si="31"/>
        <v>0</v>
      </c>
      <c r="AT32" s="2">
        <f t="shared" si="32"/>
        <v>0</v>
      </c>
    </row>
    <row r="33" spans="1:46">
      <c r="A33" s="34" t="s">
        <v>32</v>
      </c>
      <c r="B33" s="29">
        <v>64.3</v>
      </c>
      <c r="C33" s="30">
        <f t="shared" si="24"/>
        <v>28.768181818181816</v>
      </c>
      <c r="D33" s="31">
        <v>31497</v>
      </c>
      <c r="E33" s="30">
        <f t="shared" si="25"/>
        <v>9156.3181818181802</v>
      </c>
      <c r="F33" s="31">
        <f>2033/151500</f>
        <v>1.3419141914191419E-2</v>
      </c>
      <c r="G33" s="47">
        <f t="shared" si="26"/>
        <v>-1.9033393474556959E-2</v>
      </c>
      <c r="H33" s="49">
        <v>82.3</v>
      </c>
      <c r="I33" s="76">
        <f t="shared" si="33"/>
        <v>6.1772727272727366</v>
      </c>
      <c r="J33" s="77">
        <v>1</v>
      </c>
      <c r="K33" s="83">
        <f t="shared" si="0"/>
        <v>-33.5</v>
      </c>
      <c r="L33" s="80">
        <v>0.2</v>
      </c>
      <c r="M33" s="101">
        <f t="shared" si="1"/>
        <v>-0.13181818181818178</v>
      </c>
      <c r="N33" s="9">
        <f>11.73</f>
        <v>11.73</v>
      </c>
      <c r="O33" s="9">
        <f t="shared" si="27"/>
        <v>5.0951777837724253</v>
      </c>
      <c r="P33" s="99">
        <f t="shared" si="2"/>
        <v>3.173336189349806</v>
      </c>
      <c r="Q33" s="10">
        <f t="shared" si="28"/>
        <v>0.43437150756798171</v>
      </c>
      <c r="R33" s="10">
        <v>1274</v>
      </c>
      <c r="S33" s="111">
        <f t="shared" si="3"/>
        <v>126.31818181818176</v>
      </c>
      <c r="V33" s="2">
        <f t="shared" si="5"/>
        <v>3633.9444214876012</v>
      </c>
      <c r="X33" s="2">
        <f t="shared" si="7"/>
        <v>1156609.4648760322</v>
      </c>
      <c r="Z33" s="2">
        <f t="shared" si="9"/>
        <v>0</v>
      </c>
      <c r="AB33" s="114">
        <f t="shared" si="11"/>
        <v>780.30185950413306</v>
      </c>
      <c r="AC33" s="2">
        <f t="shared" si="12"/>
        <v>0</v>
      </c>
      <c r="AD33" s="2">
        <f t="shared" si="13"/>
        <v>0</v>
      </c>
      <c r="AE33" s="2">
        <f t="shared" si="29"/>
        <v>0</v>
      </c>
      <c r="AF33" s="2">
        <f t="shared" si="30"/>
        <v>0</v>
      </c>
      <c r="AJ33" s="2">
        <f t="shared" si="15"/>
        <v>0</v>
      </c>
      <c r="AL33" s="2">
        <f t="shared" si="17"/>
        <v>0</v>
      </c>
      <c r="AN33" s="2">
        <f t="shared" si="19"/>
        <v>2.4042636575360801</v>
      </c>
      <c r="AP33" s="2">
        <f t="shared" si="21"/>
        <v>0</v>
      </c>
      <c r="AQ33" s="2">
        <f t="shared" si="22"/>
        <v>106.30676234321849</v>
      </c>
      <c r="AR33" s="2">
        <f t="shared" si="23"/>
        <v>4231.6590909090892</v>
      </c>
      <c r="AS33" s="2">
        <f t="shared" si="31"/>
        <v>0.41830340677792882</v>
      </c>
      <c r="AT33" s="2">
        <f t="shared" si="32"/>
        <v>16.651033057851226</v>
      </c>
    </row>
    <row r="34" spans="1:46">
      <c r="A34" s="32" t="s">
        <v>33</v>
      </c>
      <c r="B34" s="29">
        <v>14.4</v>
      </c>
      <c r="C34" s="30">
        <f t="shared" si="24"/>
        <v>-21.131818181818183</v>
      </c>
      <c r="D34" s="31">
        <v>8548</v>
      </c>
      <c r="E34" s="30">
        <f t="shared" si="25"/>
        <v>-13792.68181818182</v>
      </c>
      <c r="F34" s="31">
        <f>49996/5324111</f>
        <v>9.3904879143203446E-3</v>
      </c>
      <c r="G34" s="47">
        <f t="shared" si="26"/>
        <v>-2.3062047474428034E-2</v>
      </c>
      <c r="H34" s="51">
        <v>75.8</v>
      </c>
      <c r="I34" s="76">
        <f t="shared" si="33"/>
        <v>-0.32272727272726343</v>
      </c>
      <c r="J34" s="77">
        <v>2</v>
      </c>
      <c r="K34" s="83">
        <f t="shared" si="0"/>
        <v>-32.5</v>
      </c>
      <c r="L34" s="80">
        <v>0.2</v>
      </c>
      <c r="M34" s="101">
        <f t="shared" si="1"/>
        <v>-0.13181818181818178</v>
      </c>
      <c r="N34" s="9">
        <f>2.59</f>
        <v>2.59</v>
      </c>
      <c r="O34" s="9">
        <f t="shared" si="27"/>
        <v>1.5905209971711227</v>
      </c>
      <c r="P34" s="100">
        <f t="shared" si="2"/>
        <v>-0.33132059725149654</v>
      </c>
      <c r="Q34" s="10">
        <f t="shared" si="28"/>
        <v>0.61410077110854167</v>
      </c>
      <c r="R34" s="10">
        <v>593</v>
      </c>
      <c r="S34" s="111">
        <f t="shared" si="3"/>
        <v>-554.68181818181824</v>
      </c>
      <c r="V34" s="2">
        <f t="shared" si="5"/>
        <v>11721.435330578513</v>
      </c>
      <c r="X34" s="2">
        <f t="shared" si="7"/>
        <v>7650549.8285123985</v>
      </c>
      <c r="Z34" s="2">
        <f t="shared" si="9"/>
        <v>12.792098424111151</v>
      </c>
      <c r="AB34" s="114">
        <f t="shared" si="11"/>
        <v>179.01095041321801</v>
      </c>
      <c r="AC34" s="2">
        <f t="shared" si="12"/>
        <v>10.767919410673638</v>
      </c>
      <c r="AD34" s="2">
        <f t="shared" si="13"/>
        <v>18027.159090909092</v>
      </c>
      <c r="AE34" s="2">
        <f t="shared" si="29"/>
        <v>4.3674078728606347E-2</v>
      </c>
      <c r="AF34" s="2">
        <f t="shared" si="30"/>
        <v>73.117148760330565</v>
      </c>
      <c r="AJ34" s="2">
        <f t="shared" si="15"/>
        <v>0</v>
      </c>
      <c r="AL34" s="2">
        <f t="shared" si="17"/>
        <v>0</v>
      </c>
      <c r="AN34" s="2">
        <f t="shared" si="19"/>
        <v>0</v>
      </c>
      <c r="AP34" s="2">
        <f t="shared" si="21"/>
        <v>0</v>
      </c>
      <c r="AQ34" s="2">
        <f t="shared" si="22"/>
        <v>0</v>
      </c>
      <c r="AR34" s="2">
        <f t="shared" si="23"/>
        <v>0</v>
      </c>
      <c r="AS34" s="2">
        <f t="shared" si="31"/>
        <v>0</v>
      </c>
      <c r="AT34" s="2">
        <f t="shared" si="32"/>
        <v>0</v>
      </c>
    </row>
    <row r="36" spans="1:46">
      <c r="A36" s="2" t="s">
        <v>0</v>
      </c>
      <c r="B36" s="3">
        <f>SUM(B13:B34)</f>
        <v>781.69999999999993</v>
      </c>
      <c r="D36" s="3">
        <f>SUM(D13:D34)</f>
        <v>491495</v>
      </c>
      <c r="F36" s="3">
        <f>SUM(F13:F34)</f>
        <v>0.71395577855246439</v>
      </c>
      <c r="H36" s="4">
        <f>SUM(H13:H34)</f>
        <v>1674.6999999999998</v>
      </c>
      <c r="J36" s="84">
        <f>SUM(J13:J34)</f>
        <v>759</v>
      </c>
      <c r="L36" s="8">
        <f>SUM(L13:L34)</f>
        <v>7.3</v>
      </c>
      <c r="N36" s="9">
        <f>SUM(N13:N34)</f>
        <v>86.74</v>
      </c>
      <c r="O36" s="9">
        <f>SUM(O13:O34)</f>
        <v>42.280515077297622</v>
      </c>
      <c r="Q36" s="10">
        <f>SUM(Q13:Q34)</f>
        <v>10.900540112866945</v>
      </c>
      <c r="R36" s="10">
        <f>SUM(R13:R34)</f>
        <v>25249</v>
      </c>
    </row>
    <row r="37" spans="1:46">
      <c r="A37" s="2" t="s">
        <v>34</v>
      </c>
      <c r="B37" s="36">
        <f>AVERAGE(B13:B34)</f>
        <v>35.531818181818181</v>
      </c>
      <c r="C37" s="36"/>
      <c r="D37" s="36">
        <f>AVERAGE(D13:D34)</f>
        <v>22340.68181818182</v>
      </c>
      <c r="E37" s="36"/>
      <c r="F37" s="53">
        <f>AVERAGE(F13:F34)</f>
        <v>3.2452535388748378E-2</v>
      </c>
      <c r="G37" s="36"/>
      <c r="H37" s="36">
        <f>AVERAGE(H13:H34)</f>
        <v>76.122727272727261</v>
      </c>
      <c r="I37" s="85"/>
      <c r="J37" s="36">
        <f>AVERAGE(J13:J34)</f>
        <v>34.5</v>
      </c>
      <c r="K37" s="86"/>
      <c r="L37" s="36">
        <f>AVERAGE(L13:L34)</f>
        <v>0.33181818181818179</v>
      </c>
      <c r="M37" s="102"/>
      <c r="N37" s="36">
        <f>AVERAGE(N13:N34)</f>
        <v>3.9427272727272724</v>
      </c>
      <c r="O37" s="36">
        <f>AVERAGE(O13:O34)</f>
        <v>1.9218415944226193</v>
      </c>
      <c r="P37" s="103"/>
      <c r="Q37" s="36">
        <f>AVERAGE(Q13:Q34)</f>
        <v>0.4954790960394066</v>
      </c>
      <c r="R37" s="36">
        <f>AVERAGE(R13:R34)</f>
        <v>1147.6818181818182</v>
      </c>
      <c r="S37" s="112"/>
      <c r="U37" s="36">
        <f>AVERAGE(U13:U25)</f>
        <v>9.7464382851265619</v>
      </c>
      <c r="V37" s="36">
        <f>AVERAGE(V13:V34)</f>
        <v>12948.50732531931</v>
      </c>
      <c r="W37" s="36">
        <f>AVERAGE(W13:W25)</f>
        <v>12994.031161903336</v>
      </c>
      <c r="X37" s="36">
        <f>AVERAGE(X13:X34)</f>
        <v>2811104.9824380171</v>
      </c>
      <c r="Y37" s="36">
        <f>AVERAGE(Y13:Y25)</f>
        <v>1.6339915178004972E-2</v>
      </c>
      <c r="Z37" s="36">
        <f>AVERAGE(Z13:Z34)</f>
        <v>4.8518286704324813</v>
      </c>
      <c r="AA37" s="36">
        <f>AVERAGE(AA13:AA25)</f>
        <v>5.9173081187126479</v>
      </c>
      <c r="AB37" s="36">
        <f>AVERAGE(AB13:AB34)</f>
        <v>911.36419045830087</v>
      </c>
      <c r="AC37" s="36">
        <f>AVERAGE(AC13:AC34)</f>
        <v>18.498323952330779</v>
      </c>
      <c r="AD37" s="36">
        <f>AVERAGE(AD13:AD34)</f>
        <v>7183.3842975206617</v>
      </c>
      <c r="AE37" s="36">
        <f>AVERAGE(AE13:AE34)</f>
        <v>7.0473488251863628E-2</v>
      </c>
      <c r="AF37" s="36">
        <f>AVERAGE(AF13:AF34)</f>
        <v>57.09608940646131</v>
      </c>
      <c r="AI37" s="36">
        <f>AVERAGE(AI13:AI25)</f>
        <v>14.68035598361328</v>
      </c>
      <c r="AJ37" s="36">
        <f>AVERAGE(AJ13:AJ34)</f>
        <v>511.50629226145753</v>
      </c>
      <c r="AK37" s="36">
        <f>AVERAGE(AK13:AK25)</f>
        <v>8313.4058945464512</v>
      </c>
      <c r="AL37" s="36">
        <f>AVERAGE(AL13:AL34)</f>
        <v>7968642.2654958693</v>
      </c>
      <c r="AM37" s="36">
        <f>AVERAGE(AM13:AM25)</f>
        <v>2.773271882398981E-3</v>
      </c>
      <c r="AN37" s="36">
        <f>AVERAGE(AN13:AN34)</f>
        <v>5.1752061571199812</v>
      </c>
      <c r="AO37" s="36">
        <f>AVERAGE(AO13:AO25)</f>
        <v>0.47931560733355616</v>
      </c>
      <c r="AP37" s="36">
        <f>AVERAGE(AP13:AP34)</f>
        <v>2507.3387772351607</v>
      </c>
      <c r="AQ37" s="36">
        <f>AVERAGE(AQ13:AQ34)</f>
        <v>22.90354649132632</v>
      </c>
      <c r="AR37" s="36">
        <f>AVERAGE(AR13:AR34)</f>
        <v>18275.452479338841</v>
      </c>
      <c r="AS37" s="36">
        <f>AVERAGE(AS13:AS34)</f>
        <v>0.10898502393240878</v>
      </c>
      <c r="AT37" s="36">
        <f>AVERAGE(AT13:AT34)</f>
        <v>40.67687453042825</v>
      </c>
    </row>
    <row r="38" spans="1:46">
      <c r="A38" s="2" t="s">
        <v>35</v>
      </c>
      <c r="B38" s="36">
        <f>STDEV(B13:B34)</f>
        <v>21.01555855309827</v>
      </c>
      <c r="C38" s="36"/>
      <c r="D38" s="36">
        <f>STDEV(D13:D34)</f>
        <v>19123.33969733461</v>
      </c>
      <c r="E38" s="36"/>
      <c r="F38" s="53">
        <f>STDEV(F13:F34)</f>
        <v>2.7977688577648652E-2</v>
      </c>
      <c r="G38" s="36"/>
      <c r="H38" s="36">
        <f>STDEV(H13:H34)</f>
        <v>6.2104314563852077</v>
      </c>
      <c r="I38" s="85"/>
      <c r="J38" s="36">
        <f>STDEV(J13:J34)</f>
        <v>80.640147155950388</v>
      </c>
      <c r="K38" s="86"/>
      <c r="L38" s="36">
        <f>STDEV(L13:L34)</f>
        <v>0.19716167800241327</v>
      </c>
      <c r="M38" s="102"/>
      <c r="N38" s="36">
        <f>STDEV(N13:N34)</f>
        <v>3.7969200322895573</v>
      </c>
      <c r="O38" s="36">
        <f>STDEV(O13:O34)</f>
        <v>1.8412341604107698</v>
      </c>
      <c r="P38" s="103"/>
      <c r="Q38" s="36">
        <f>STDEV(Q13:Q34)</f>
        <v>0.187818553997361</v>
      </c>
      <c r="R38" s="36">
        <f>STDEV(R13:R34)</f>
        <v>840.05149424723538</v>
      </c>
      <c r="S38" s="112"/>
      <c r="U38" s="36"/>
      <c r="V38" s="36"/>
      <c r="W38" s="36"/>
      <c r="X38" s="36"/>
      <c r="Y38" s="36"/>
      <c r="Z38" s="36"/>
    </row>
    <row r="39" spans="1:46">
      <c r="A39" s="2" t="s">
        <v>36</v>
      </c>
      <c r="B39" s="10">
        <f>MIN(B13:B34)</f>
        <v>0.5</v>
      </c>
      <c r="D39" s="10">
        <f>MIN(D13:D34)</f>
        <v>1965</v>
      </c>
      <c r="F39" s="10">
        <f>MIN(F13:F34)</f>
        <v>9.3904879143203446E-3</v>
      </c>
      <c r="H39" s="10">
        <f>MIN(H13:H34)</f>
        <v>62.9</v>
      </c>
      <c r="J39" s="10">
        <f>MIN(J13:J34)</f>
        <v>0</v>
      </c>
      <c r="L39" s="10">
        <f>MIN(L13:L34)</f>
        <v>0.01</v>
      </c>
      <c r="N39" s="10">
        <f>MIN(N13:N34)</f>
        <v>0.03</v>
      </c>
      <c r="O39" s="10">
        <f>MIN(O13:O34)</f>
        <v>5.2878522920218919E-3</v>
      </c>
      <c r="Q39" s="10">
        <f>MAX(Q13:Q34)</f>
        <v>0.8782770217479865</v>
      </c>
      <c r="R39" s="10">
        <f>MAX(R13:R34)</f>
        <v>3142</v>
      </c>
    </row>
    <row r="40" spans="1:46">
      <c r="A40" s="37" t="s">
        <v>37</v>
      </c>
      <c r="B40" s="37"/>
      <c r="C40" s="38"/>
      <c r="D40" s="39"/>
      <c r="E40" s="38"/>
      <c r="F40" s="38"/>
      <c r="G40" s="38"/>
      <c r="H40" s="2"/>
      <c r="I40" s="87"/>
      <c r="J40" s="2"/>
      <c r="K40" s="88"/>
      <c r="L40" s="2"/>
      <c r="M40" s="104"/>
      <c r="N40" s="2"/>
      <c r="O40" s="2"/>
      <c r="P40" s="105"/>
      <c r="Q40" s="2"/>
      <c r="R40" s="2"/>
      <c r="S40" s="113"/>
    </row>
    <row r="41" spans="1:46">
      <c r="H41" s="2"/>
      <c r="J41" s="2"/>
      <c r="L41" s="2"/>
      <c r="N41" s="2"/>
      <c r="O41" s="2"/>
      <c r="Q41" s="2"/>
      <c r="R41" s="2"/>
    </row>
    <row r="43" spans="1:46">
      <c r="J43" s="4"/>
    </row>
    <row r="44" spans="1:46">
      <c r="H44" s="54"/>
      <c r="J44" s="54"/>
      <c r="L44" s="54"/>
      <c r="N44" s="54"/>
      <c r="O44" s="54"/>
      <c r="Q44" s="54"/>
      <c r="R44" s="54"/>
    </row>
    <row r="45" spans="1:46">
      <c r="H45" s="54"/>
      <c r="J45" s="54"/>
      <c r="L45" s="54"/>
    </row>
  </sheetData>
  <pageMargins left="0.69930555555555596" right="0.69930555555555596" top="0.75" bottom="0.75" header="0.3" footer="0.3"/>
  <pageSetup scale="66" fitToWidth="2" fitToHeight="2" orientation="landscape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steed</dc:creator>
  <cp:lastModifiedBy>steed</cp:lastModifiedBy>
  <cp:lastPrinted>2020-12-13T05:47:00Z</cp:lastPrinted>
  <dcterms:created xsi:type="dcterms:W3CDTF">2020-11-20T14:38:00Z</dcterms:created>
  <dcterms:modified xsi:type="dcterms:W3CDTF">2021-07-24T01:21:19Z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2052-3.7.0.5929</vt:lpwstr>
  </property>
</Properties>
</file>