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eed\Desktop\Nanjing\透地\Sea\"/>
    </mc:Choice>
  </mc:AlternateContent>
  <xr:revisionPtr revIDLastSave="0" documentId="13_ncr:1_{5D58A522-E0CB-436F-A867-3842CFC2FF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kBudget" sheetId="1" r:id="rId1"/>
    <sheet name="Occlusion1" sheetId="2" r:id="rId2"/>
    <sheet name="Occlusion2" sheetId="3" r:id="rId3"/>
    <sheet name="FreqHopSimu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 s="1"/>
  <c r="I16" i="5"/>
  <c r="A11" i="5"/>
  <c r="A12" i="5" s="1"/>
  <c r="A13" i="5" s="1"/>
  <c r="A14" i="5" s="1"/>
  <c r="A15" i="5" s="1"/>
  <c r="A16" i="5" s="1"/>
  <c r="A17" i="5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10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F7" i="3"/>
  <c r="J6" i="3"/>
  <c r="J4" i="3"/>
  <c r="F4" i="3"/>
  <c r="J5" i="3"/>
  <c r="F5" i="3"/>
  <c r="F6" i="3"/>
  <c r="C11" i="3"/>
  <c r="C12" i="3" s="1"/>
  <c r="F3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0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11" i="2"/>
  <c r="F7" i="2"/>
  <c r="F6" i="2"/>
  <c r="F4" i="2"/>
  <c r="F5" i="2"/>
  <c r="F3" i="2"/>
  <c r="B30" i="1"/>
  <c r="F9" i="5" l="1"/>
  <c r="F5" i="5" s="1"/>
  <c r="I13" i="5"/>
  <c r="I12" i="5"/>
  <c r="I10" i="5"/>
  <c r="I17" i="5"/>
  <c r="J16" i="5" s="1"/>
  <c r="I15" i="5"/>
  <c r="J15" i="5" s="1"/>
  <c r="I11" i="5"/>
  <c r="I14" i="5"/>
  <c r="C13" i="3"/>
  <c r="C14" i="3" s="1"/>
  <c r="C15" i="3" s="1"/>
  <c r="C16" i="3" s="1"/>
  <c r="N30" i="1"/>
  <c r="J32" i="1"/>
  <c r="J12" i="5" l="1"/>
  <c r="J13" i="5"/>
  <c r="J10" i="5"/>
  <c r="J14" i="5"/>
  <c r="J11" i="5"/>
  <c r="C17" i="3"/>
  <c r="J28" i="1"/>
  <c r="J26" i="1"/>
  <c r="K10" i="5" l="1"/>
  <c r="J6" i="5" s="1"/>
  <c r="F10" i="5" s="1"/>
  <c r="F6" i="5" s="1"/>
  <c r="C18" i="3"/>
  <c r="J20" i="1"/>
  <c r="N18" i="1"/>
  <c r="N16" i="1"/>
  <c r="J18" i="1"/>
  <c r="J16" i="1"/>
  <c r="J6" i="1" s="1"/>
  <c r="C19" i="3" l="1"/>
  <c r="J8" i="1"/>
  <c r="J22" i="1" s="1"/>
  <c r="C20" i="3" l="1"/>
  <c r="N34" i="1"/>
  <c r="N24" i="1"/>
  <c r="N28" i="1" s="1"/>
  <c r="R28" i="1" s="1"/>
  <c r="N22" i="1"/>
  <c r="N26" i="1" s="1"/>
  <c r="R26" i="1" s="1"/>
  <c r="C21" i="3" l="1"/>
  <c r="R30" i="1"/>
  <c r="J24" i="1" s="1"/>
  <c r="F8" i="1" s="1"/>
  <c r="F12" i="1" s="1"/>
  <c r="C22" i="3" l="1"/>
  <c r="F6" i="1"/>
  <c r="F10" i="1" s="1"/>
  <c r="J34" i="1" s="1"/>
  <c r="C23" i="3" l="1"/>
  <c r="F14" i="1"/>
  <c r="F16" i="1"/>
  <c r="C24" i="3" l="1"/>
  <c r="C25" i="3" l="1"/>
  <c r="C26" i="3" l="1"/>
  <c r="C27" i="3" l="1"/>
  <c r="C28" i="3" l="1"/>
  <c r="C29" i="3" l="1"/>
  <c r="C30" i="3" l="1"/>
  <c r="C31" i="3" l="1"/>
  <c r="C32" i="3" l="1"/>
  <c r="C33" i="3" l="1"/>
  <c r="C34" i="3" l="1"/>
  <c r="C35" i="3" l="1"/>
  <c r="C36" i="3" l="1"/>
  <c r="C37" i="3" l="1"/>
  <c r="C38" i="3" l="1"/>
  <c r="C39" i="3" l="1"/>
</calcChain>
</file>

<file path=xl/sharedStrings.xml><?xml version="1.0" encoding="utf-8"?>
<sst xmlns="http://schemas.openxmlformats.org/spreadsheetml/2006/main" count="190" uniqueCount="99">
  <si>
    <t>main</t>
  </si>
  <si>
    <t>Input Section</t>
  </si>
  <si>
    <t>Output Section</t>
  </si>
  <si>
    <t>m</t>
  </si>
  <si>
    <t>bandwidth</t>
  </si>
  <si>
    <t>mbps</t>
  </si>
  <si>
    <t>delay</t>
  </si>
  <si>
    <t>ms</t>
  </si>
  <si>
    <t>height ant 1</t>
  </si>
  <si>
    <t>height ant 2</t>
  </si>
  <si>
    <t xml:space="preserve"> </t>
  </si>
  <si>
    <t>tilt 1</t>
  </si>
  <si>
    <t>tilt 2</t>
  </si>
  <si>
    <t>SNR 1</t>
  </si>
  <si>
    <t>SNR 2</t>
  </si>
  <si>
    <t>dB</t>
  </si>
  <si>
    <t xml:space="preserve">distance </t>
  </si>
  <si>
    <t>length ship 1</t>
  </si>
  <si>
    <t>length ship 2</t>
  </si>
  <si>
    <t>length surf</t>
  </si>
  <si>
    <t>Middle Sections</t>
  </si>
  <si>
    <t>hd 1</t>
  </si>
  <si>
    <t>hd 2</t>
  </si>
  <si>
    <t>n</t>
  </si>
  <si>
    <t>a</t>
  </si>
  <si>
    <t>degrees</t>
  </si>
  <si>
    <t>times</t>
  </si>
  <si>
    <t>kc 1</t>
  </si>
  <si>
    <t>kc 2</t>
  </si>
  <si>
    <t>ks 1</t>
  </si>
  <si>
    <t>ks 2</t>
  </si>
  <si>
    <t>height surf</t>
  </si>
  <si>
    <t>K</t>
  </si>
  <si>
    <t>D</t>
  </si>
  <si>
    <t>band per dB</t>
  </si>
  <si>
    <t>mbps/dB</t>
  </si>
  <si>
    <t>level surf</t>
  </si>
  <si>
    <t>code</t>
  </si>
  <si>
    <t>frequency</t>
  </si>
  <si>
    <t>MHz</t>
  </si>
  <si>
    <t>path loss</t>
  </si>
  <si>
    <t>gain ant 1</t>
  </si>
  <si>
    <t>gain ant 2</t>
  </si>
  <si>
    <t>receiver sensitivity</t>
  </si>
  <si>
    <t>power</t>
  </si>
  <si>
    <t>w</t>
  </si>
  <si>
    <t>Bandwidth 1</t>
  </si>
  <si>
    <t>Bandwidth 2</t>
  </si>
  <si>
    <t>Delay 1</t>
  </si>
  <si>
    <t>Delay 2</t>
  </si>
  <si>
    <t>nlos-los variation</t>
  </si>
  <si>
    <t>Fresnel zone</t>
  </si>
  <si>
    <t>clear 1</t>
  </si>
  <si>
    <t>clear 2</t>
  </si>
  <si>
    <t>Fresnel zone 1</t>
  </si>
  <si>
    <t>Fresnel zone 2</t>
  </si>
  <si>
    <t>occlusion</t>
  </si>
  <si>
    <t>mean</t>
  </si>
  <si>
    <t>curve loss</t>
  </si>
  <si>
    <t>dBm</t>
  </si>
  <si>
    <t>losses margins</t>
  </si>
  <si>
    <t>AGC sensitivity</t>
  </si>
  <si>
    <t>Wave Cycle</t>
  </si>
  <si>
    <t>S</t>
  </si>
  <si>
    <t>Ship Cycle</t>
  </si>
  <si>
    <t>OccluLand</t>
  </si>
  <si>
    <t>maxSwing1</t>
  </si>
  <si>
    <t>maxSwing2</t>
  </si>
  <si>
    <t>adjust</t>
  </si>
  <si>
    <t>ratio1</t>
  </si>
  <si>
    <t>ratio2</t>
  </si>
  <si>
    <t>Test</t>
  </si>
  <si>
    <t>swing1</t>
  </si>
  <si>
    <t>swing2</t>
  </si>
  <si>
    <t>Subroutine</t>
  </si>
  <si>
    <t>1 vs 2</t>
  </si>
  <si>
    <t>2 vs 4</t>
  </si>
  <si>
    <t>maxSwing4</t>
  </si>
  <si>
    <t>ratio4</t>
  </si>
  <si>
    <t>swing4</t>
  </si>
  <si>
    <t>Channel Width</t>
  </si>
  <si>
    <t>Spectrum Width</t>
  </si>
  <si>
    <t>Num of Spot</t>
  </si>
  <si>
    <t>Busy Probability</t>
  </si>
  <si>
    <t>Number of Node</t>
  </si>
  <si>
    <t>Ships</t>
  </si>
  <si>
    <t>Ship</t>
  </si>
  <si>
    <t>Channel</t>
  </si>
  <si>
    <t>Busy</t>
  </si>
  <si>
    <t>Count</t>
  </si>
  <si>
    <t>Simulated</t>
  </si>
  <si>
    <t>Block Percent</t>
  </si>
  <si>
    <t>Percent</t>
  </si>
  <si>
    <t>Availability</t>
  </si>
  <si>
    <t>Without ReTx</t>
  </si>
  <si>
    <t>With ReTx</t>
  </si>
  <si>
    <t>This sheet calculates and simulates the availability of random frequency-hopping radios within a self-organized ad-hoc network.</t>
  </si>
  <si>
    <t>This sheet calculates the QoS of radios as output by taking the input of the parameters of radios on ships with storming conditions.</t>
  </si>
  <si>
    <t>This sheet simulates the radio(s) clearance as output by taking the input of the parameters of ship rocking under storming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</si>
</sst>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Strait Occlusion Zone Dynamics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Antenna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Occlusion1!$A$10:$A$39</c:f>
              <c:numCache>
                <c:formatCode>0.000</c:formatCode>
                <c:ptCount val="30"/>
                <c:pt idx="0">
                  <c:v>15.921146745250484</c:v>
                </c:pt>
                <c:pt idx="1">
                  <c:v>29.798569367271284</c:v>
                </c:pt>
                <c:pt idx="2">
                  <c:v>28.174558543091358</c:v>
                </c:pt>
                <c:pt idx="3">
                  <c:v>10.302013960160416</c:v>
                </c:pt>
                <c:pt idx="4">
                  <c:v>-12.601020236294806</c:v>
                </c:pt>
                <c:pt idx="5">
                  <c:v>-22.630606233034474</c:v>
                </c:pt>
                <c:pt idx="6">
                  <c:v>-20.266972871496613</c:v>
                </c:pt>
                <c:pt idx="7">
                  <c:v>-21.023668288251258</c:v>
                </c:pt>
                <c:pt idx="8">
                  <c:v>-2.2701963694886242E-6</c:v>
                </c:pt>
                <c:pt idx="9">
                  <c:v>21.219315683166009</c:v>
                </c:pt>
                <c:pt idx="10">
                  <c:v>31.221855258743865</c:v>
                </c:pt>
                <c:pt idx="11">
                  <c:v>33.02913818291141</c:v>
                </c:pt>
                <c:pt idx="12">
                  <c:v>12.915720097156873</c:v>
                </c:pt>
                <c:pt idx="13">
                  <c:v>-13.039071726449421</c:v>
                </c:pt>
                <c:pt idx="14">
                  <c:v>-28.68050511421545</c:v>
                </c:pt>
                <c:pt idx="15">
                  <c:v>-38.914593023056412</c:v>
                </c:pt>
                <c:pt idx="16">
                  <c:v>-19.245868366777881</c:v>
                </c:pt>
                <c:pt idx="17">
                  <c:v>-7.5945330508778676E-6</c:v>
                </c:pt>
                <c:pt idx="18">
                  <c:v>22.288641007750517</c:v>
                </c:pt>
                <c:pt idx="19">
                  <c:v>32.501816282980307</c:v>
                </c:pt>
                <c:pt idx="20">
                  <c:v>33.228838815539902</c:v>
                </c:pt>
                <c:pt idx="21">
                  <c:v>8.7459531741007694</c:v>
                </c:pt>
                <c:pt idx="22">
                  <c:v>-7.2104125429914276</c:v>
                </c:pt>
                <c:pt idx="23">
                  <c:v>-22.406981897582895</c:v>
                </c:pt>
                <c:pt idx="24">
                  <c:v>-27.900188202164205</c:v>
                </c:pt>
                <c:pt idx="25">
                  <c:v>-24.718876421201074</c:v>
                </c:pt>
                <c:pt idx="26">
                  <c:v>-1.1895094833251229E-5</c:v>
                </c:pt>
                <c:pt idx="27">
                  <c:v>13.123812529725793</c:v>
                </c:pt>
                <c:pt idx="28">
                  <c:v>27.054617172480757</c:v>
                </c:pt>
                <c:pt idx="29">
                  <c:v>32.97480022932703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E-4576-AEDF-A61560596971}"/>
            </c:ext>
          </c:extLst>
        </c:ser>
        <c:ser>
          <c:idx val="1"/>
          <c:order val="1"/>
          <c:tx>
            <c:v>Two Antennas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Occlusion1!$E$10:$E$39</c:f>
              <c:numCache>
                <c:formatCode>0.000</c:formatCode>
                <c:ptCount val="30"/>
                <c:pt idx="0">
                  <c:v>21.09882467082484</c:v>
                </c:pt>
                <c:pt idx="1">
                  <c:v>13.619215079416509</c:v>
                </c:pt>
                <c:pt idx="2">
                  <c:v>11.43159158761199</c:v>
                </c:pt>
                <c:pt idx="3">
                  <c:v>1.0096733354365175</c:v>
                </c:pt>
                <c:pt idx="4">
                  <c:v>-24.854146112239139</c:v>
                </c:pt>
                <c:pt idx="5">
                  <c:v>-46.441187078556553</c:v>
                </c:pt>
                <c:pt idx="6">
                  <c:v>-45.156273542361092</c:v>
                </c:pt>
                <c:pt idx="7">
                  <c:v>-35.766474923132307</c:v>
                </c:pt>
                <c:pt idx="8">
                  <c:v>-8.2635216551823056</c:v>
                </c:pt>
                <c:pt idx="9">
                  <c:v>10.295703184760875</c:v>
                </c:pt>
                <c:pt idx="10">
                  <c:v>24.364922204400536</c:v>
                </c:pt>
                <c:pt idx="11">
                  <c:v>19.939536647841084</c:v>
                </c:pt>
                <c:pt idx="12">
                  <c:v>-1.1928006676850944</c:v>
                </c:pt>
                <c:pt idx="13">
                  <c:v>-15.156588345612082</c:v>
                </c:pt>
                <c:pt idx="14">
                  <c:v>-42.123633303449076</c:v>
                </c:pt>
                <c:pt idx="15">
                  <c:v>-38.48597567450021</c:v>
                </c:pt>
                <c:pt idx="16">
                  <c:v>-37.44979385773803</c:v>
                </c:pt>
                <c:pt idx="17">
                  <c:v>-8.2635266798146461</c:v>
                </c:pt>
                <c:pt idx="18">
                  <c:v>10.637710065968452</c:v>
                </c:pt>
                <c:pt idx="19">
                  <c:v>18.612296997843846</c:v>
                </c:pt>
                <c:pt idx="20">
                  <c:v>10.506015559981787</c:v>
                </c:pt>
                <c:pt idx="21">
                  <c:v>5.8729664708990725</c:v>
                </c:pt>
                <c:pt idx="22">
                  <c:v>-16.464948305333301</c:v>
                </c:pt>
                <c:pt idx="23">
                  <c:v>-45.313500925752741</c:v>
                </c:pt>
                <c:pt idx="24">
                  <c:v>-55.084734727405582</c:v>
                </c:pt>
                <c:pt idx="25">
                  <c:v>-24.259699495137035</c:v>
                </c:pt>
                <c:pt idx="26">
                  <c:v>-8.2635322006672887</c:v>
                </c:pt>
                <c:pt idx="27">
                  <c:v>18.901249379069959</c:v>
                </c:pt>
                <c:pt idx="28">
                  <c:v>31.715364999758691</c:v>
                </c:pt>
                <c:pt idx="29">
                  <c:v>26.402259802615987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E-4576-AEDF-A6156059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23631"/>
        <c:axId val="2016736111"/>
      </c:lineChart>
      <c:catAx>
        <c:axId val="27742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6111"/>
        <c:crosses val="autoZero"/>
        <c:auto val="1"/>
        <c:lblAlgn val="ctr"/>
        <c:lblOffset val="100"/>
        <c:noMultiLvlLbl val="0"/>
      </c:catAx>
      <c:valAx>
        <c:axId val="20167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Strait Occlusion Zone Dynamics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Antenna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Occlusion1!$A$10:$A$39</c:f>
              <c:numCache>
                <c:formatCode>0.000</c:formatCode>
                <c:ptCount val="30"/>
                <c:pt idx="0">
                  <c:v>15.921146745250484</c:v>
                </c:pt>
                <c:pt idx="1">
                  <c:v>29.798569367271284</c:v>
                </c:pt>
                <c:pt idx="2">
                  <c:v>28.174558543091358</c:v>
                </c:pt>
                <c:pt idx="3">
                  <c:v>10.302013960160416</c:v>
                </c:pt>
                <c:pt idx="4">
                  <c:v>-12.601020236294806</c:v>
                </c:pt>
                <c:pt idx="5">
                  <c:v>-22.630606233034474</c:v>
                </c:pt>
                <c:pt idx="6">
                  <c:v>-20.266972871496613</c:v>
                </c:pt>
                <c:pt idx="7">
                  <c:v>-21.023668288251258</c:v>
                </c:pt>
                <c:pt idx="8">
                  <c:v>-2.2701963694886242E-6</c:v>
                </c:pt>
                <c:pt idx="9">
                  <c:v>21.219315683166009</c:v>
                </c:pt>
                <c:pt idx="10">
                  <c:v>31.221855258743865</c:v>
                </c:pt>
                <c:pt idx="11">
                  <c:v>33.02913818291141</c:v>
                </c:pt>
                <c:pt idx="12">
                  <c:v>12.915720097156873</c:v>
                </c:pt>
                <c:pt idx="13">
                  <c:v>-13.039071726449421</c:v>
                </c:pt>
                <c:pt idx="14">
                  <c:v>-28.68050511421545</c:v>
                </c:pt>
                <c:pt idx="15">
                  <c:v>-38.914593023056412</c:v>
                </c:pt>
                <c:pt idx="16">
                  <c:v>-19.245868366777881</c:v>
                </c:pt>
                <c:pt idx="17">
                  <c:v>-7.5945330508778676E-6</c:v>
                </c:pt>
                <c:pt idx="18">
                  <c:v>22.288641007750517</c:v>
                </c:pt>
                <c:pt idx="19">
                  <c:v>32.501816282980307</c:v>
                </c:pt>
                <c:pt idx="20">
                  <c:v>33.228838815539902</c:v>
                </c:pt>
                <c:pt idx="21">
                  <c:v>8.7459531741007694</c:v>
                </c:pt>
                <c:pt idx="22">
                  <c:v>-7.2104125429914276</c:v>
                </c:pt>
                <c:pt idx="23">
                  <c:v>-22.406981897582895</c:v>
                </c:pt>
                <c:pt idx="24">
                  <c:v>-27.900188202164205</c:v>
                </c:pt>
                <c:pt idx="25">
                  <c:v>-24.718876421201074</c:v>
                </c:pt>
                <c:pt idx="26">
                  <c:v>-1.1895094833251229E-5</c:v>
                </c:pt>
                <c:pt idx="27">
                  <c:v>13.123812529725793</c:v>
                </c:pt>
                <c:pt idx="28">
                  <c:v>27.054617172480757</c:v>
                </c:pt>
                <c:pt idx="29">
                  <c:v>32.97480022932703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2-442A-92EF-52006E26D29B}"/>
            </c:ext>
          </c:extLst>
        </c:ser>
        <c:ser>
          <c:idx val="1"/>
          <c:order val="1"/>
          <c:tx>
            <c:v>Two Antennas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Occlusion1!$E$10:$E$39</c:f>
              <c:numCache>
                <c:formatCode>0.000</c:formatCode>
                <c:ptCount val="30"/>
                <c:pt idx="0">
                  <c:v>21.09882467082484</c:v>
                </c:pt>
                <c:pt idx="1">
                  <c:v>13.619215079416509</c:v>
                </c:pt>
                <c:pt idx="2">
                  <c:v>11.43159158761199</c:v>
                </c:pt>
                <c:pt idx="3">
                  <c:v>1.0096733354365175</c:v>
                </c:pt>
                <c:pt idx="4">
                  <c:v>-24.854146112239139</c:v>
                </c:pt>
                <c:pt idx="5">
                  <c:v>-46.441187078556553</c:v>
                </c:pt>
                <c:pt idx="6">
                  <c:v>-45.156273542361092</c:v>
                </c:pt>
                <c:pt idx="7">
                  <c:v>-35.766474923132307</c:v>
                </c:pt>
                <c:pt idx="8">
                  <c:v>-8.2635216551823056</c:v>
                </c:pt>
                <c:pt idx="9">
                  <c:v>10.295703184760875</c:v>
                </c:pt>
                <c:pt idx="10">
                  <c:v>24.364922204400536</c:v>
                </c:pt>
                <c:pt idx="11">
                  <c:v>19.939536647841084</c:v>
                </c:pt>
                <c:pt idx="12">
                  <c:v>-1.1928006676850944</c:v>
                </c:pt>
                <c:pt idx="13">
                  <c:v>-15.156588345612082</c:v>
                </c:pt>
                <c:pt idx="14">
                  <c:v>-42.123633303449076</c:v>
                </c:pt>
                <c:pt idx="15">
                  <c:v>-38.48597567450021</c:v>
                </c:pt>
                <c:pt idx="16">
                  <c:v>-37.44979385773803</c:v>
                </c:pt>
                <c:pt idx="17">
                  <c:v>-8.2635266798146461</c:v>
                </c:pt>
                <c:pt idx="18">
                  <c:v>10.637710065968452</c:v>
                </c:pt>
                <c:pt idx="19">
                  <c:v>18.612296997843846</c:v>
                </c:pt>
                <c:pt idx="20">
                  <c:v>10.506015559981787</c:v>
                </c:pt>
                <c:pt idx="21">
                  <c:v>5.8729664708990725</c:v>
                </c:pt>
                <c:pt idx="22">
                  <c:v>-16.464948305333301</c:v>
                </c:pt>
                <c:pt idx="23">
                  <c:v>-45.313500925752741</c:v>
                </c:pt>
                <c:pt idx="24">
                  <c:v>-55.084734727405582</c:v>
                </c:pt>
                <c:pt idx="25">
                  <c:v>-24.259699495137035</c:v>
                </c:pt>
                <c:pt idx="26">
                  <c:v>-8.2635322006672887</c:v>
                </c:pt>
                <c:pt idx="27">
                  <c:v>18.901249379069959</c:v>
                </c:pt>
                <c:pt idx="28">
                  <c:v>31.715364999758691</c:v>
                </c:pt>
                <c:pt idx="29">
                  <c:v>26.402259802615987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2-442A-92EF-52006E26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23631"/>
        <c:axId val="2016736111"/>
      </c:lineChart>
      <c:catAx>
        <c:axId val="27742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6111"/>
        <c:crosses val="autoZero"/>
        <c:auto val="1"/>
        <c:lblAlgn val="ctr"/>
        <c:lblOffset val="100"/>
        <c:noMultiLvlLbl val="0"/>
      </c:catAx>
      <c:valAx>
        <c:axId val="20167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195543</xdr:colOff>
      <xdr:row>8</xdr:row>
      <xdr:rowOff>37539</xdr:rowOff>
    </xdr:from>
    <xdr:to>
      <xdr:col>12</xdr:col>
      <xdr:colOff>500343</xdr:colOff>
      <xdr:row>23</xdr:row>
      <xdr:rowOff>18490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106BB-74D2-279C-1260-FCB5A610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195543</xdr:colOff>
      <xdr:row>8</xdr:row>
      <xdr:rowOff>37539</xdr:rowOff>
    </xdr:from>
    <xdr:to>
      <xdr:col>12</xdr:col>
      <xdr:colOff>500343</xdr:colOff>
      <xdr:row>23</xdr:row>
      <xdr:rowOff>18490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C0E76-A325-4943-8FC7-19F40CC28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17.453125" style="1" customWidth="1"/>
    <col min="2" max="4" width="8.7265625" style="1"/>
    <col min="5" max="5" width="17.6328125" style="1" customWidth="1"/>
    <col min="6" max="8" width="8.7265625" style="1"/>
    <col min="9" max="9" width="17.36328125" style="1" customWidth="1"/>
    <col min="10" max="10" width="9.36328125" style="1" bestFit="1" customWidth="1"/>
    <col min="11" max="12" width="8.7265625" style="1"/>
    <col min="13" max="13" width="17.08984375" style="1" customWidth="1"/>
    <col min="14" max="16384" width="8.7265625" style="1"/>
  </cols>
  <sheetData>
    <row r="1" spans="1:15" x14ac:dyDescent="0.35">
      <c r="A1" s="4" t="s">
        <v>0</v>
      </c>
      <c r="I1" s="1" t="s">
        <v>97</v>
      </c>
    </row>
    <row r="3" spans="1:15" x14ac:dyDescent="0.35">
      <c r="A3" s="2" t="s">
        <v>1</v>
      </c>
      <c r="B3" s="2"/>
      <c r="C3" s="2"/>
      <c r="D3" s="2"/>
      <c r="E3" s="3" t="s">
        <v>2</v>
      </c>
      <c r="I3" s="6" t="s">
        <v>20</v>
      </c>
    </row>
    <row r="4" spans="1:15" x14ac:dyDescent="0.35">
      <c r="E4" s="3"/>
    </row>
    <row r="6" spans="1:15" x14ac:dyDescent="0.35">
      <c r="A6" s="1" t="s">
        <v>8</v>
      </c>
      <c r="B6" s="1">
        <v>15</v>
      </c>
      <c r="C6" s="1" t="s">
        <v>3</v>
      </c>
      <c r="E6" s="4" t="s">
        <v>13</v>
      </c>
      <c r="F6" s="5">
        <f>10*LOG10(B32*1000)-J28-N34-N32+J24</f>
        <v>14.724190664615211</v>
      </c>
      <c r="G6" s="1" t="s">
        <v>15</v>
      </c>
      <c r="I6" s="1" t="s">
        <v>21</v>
      </c>
      <c r="J6" s="8">
        <f>B6*(1-J16)-J26*N16</f>
        <v>11.877143753933675</v>
      </c>
      <c r="K6" s="1" t="s">
        <v>3</v>
      </c>
    </row>
    <row r="7" spans="1:15" x14ac:dyDescent="0.35">
      <c r="E7" s="4"/>
    </row>
    <row r="8" spans="1:15" x14ac:dyDescent="0.35">
      <c r="A8" s="1" t="s">
        <v>9</v>
      </c>
      <c r="B8" s="1">
        <v>6</v>
      </c>
      <c r="C8" s="1" t="s">
        <v>3</v>
      </c>
      <c r="E8" s="4" t="s">
        <v>14</v>
      </c>
      <c r="F8" s="5">
        <f>10*LOG10(B32*1000)-J28-B30-N32-J24</f>
        <v>14.567053053471636</v>
      </c>
      <c r="G8" s="1" t="s">
        <v>15</v>
      </c>
      <c r="I8" s="1" t="s">
        <v>22</v>
      </c>
      <c r="J8" s="8">
        <f>B8*(1-J18)-J26*N18</f>
        <v>3.8584611342943189</v>
      </c>
      <c r="K8" s="1" t="s">
        <v>3</v>
      </c>
    </row>
    <row r="9" spans="1:15" x14ac:dyDescent="0.35">
      <c r="E9" s="4"/>
    </row>
    <row r="10" spans="1:15" x14ac:dyDescent="0.35">
      <c r="A10" s="1" t="s">
        <v>11</v>
      </c>
      <c r="B10" s="1">
        <v>10</v>
      </c>
      <c r="C10" s="1" t="s">
        <v>25</v>
      </c>
      <c r="E10" s="4" t="s">
        <v>46</v>
      </c>
      <c r="F10" s="5">
        <f>J14*F6*B34/20</f>
        <v>23.605698966999814</v>
      </c>
      <c r="G10" s="1" t="s">
        <v>5</v>
      </c>
      <c r="I10" s="1" t="s">
        <v>3</v>
      </c>
      <c r="J10" s="1">
        <v>2</v>
      </c>
      <c r="K10" s="1" t="s">
        <v>26</v>
      </c>
    </row>
    <row r="11" spans="1:15" x14ac:dyDescent="0.35">
      <c r="A11" s="1" t="s">
        <v>10</v>
      </c>
      <c r="E11" s="4"/>
    </row>
    <row r="12" spans="1:15" x14ac:dyDescent="0.35">
      <c r="A12" s="1" t="s">
        <v>12</v>
      </c>
      <c r="B12" s="1">
        <v>-10</v>
      </c>
      <c r="C12" s="1" t="s">
        <v>25</v>
      </c>
      <c r="E12" s="4" t="s">
        <v>47</v>
      </c>
      <c r="F12" s="5">
        <f>J14*F8*B34/20</f>
        <v>23.353777266884713</v>
      </c>
      <c r="G12" s="1" t="s">
        <v>5</v>
      </c>
      <c r="I12" s="1" t="s">
        <v>24</v>
      </c>
      <c r="J12" s="1">
        <v>40</v>
      </c>
      <c r="K12" s="1" t="s">
        <v>25</v>
      </c>
    </row>
    <row r="14" spans="1:15" x14ac:dyDescent="0.35">
      <c r="A14" s="1" t="s">
        <v>16</v>
      </c>
      <c r="B14" s="1">
        <v>16800</v>
      </c>
      <c r="C14" s="1" t="s">
        <v>3</v>
      </c>
      <c r="E14" s="4" t="s">
        <v>48</v>
      </c>
      <c r="F14" s="5">
        <f>J32+J34*B10/40</f>
        <v>16.916267143445893</v>
      </c>
      <c r="G14" s="1" t="s">
        <v>7</v>
      </c>
      <c r="I14" s="1" t="s">
        <v>34</v>
      </c>
      <c r="J14" s="7">
        <v>1.603191612</v>
      </c>
      <c r="K14" s="1" t="s">
        <v>35</v>
      </c>
    </row>
    <row r="15" spans="1:15" x14ac:dyDescent="0.35">
      <c r="B15" s="1" t="s">
        <v>10</v>
      </c>
      <c r="E15" s="4"/>
    </row>
    <row r="16" spans="1:15" x14ac:dyDescent="0.35">
      <c r="A16" s="1" t="s">
        <v>17</v>
      </c>
      <c r="B16" s="1">
        <v>43</v>
      </c>
      <c r="C16" s="1" t="s">
        <v>3</v>
      </c>
      <c r="E16" s="4" t="s">
        <v>49</v>
      </c>
      <c r="F16" s="10">
        <f>J32+J34*B12/40</f>
        <v>16.798018570839822</v>
      </c>
      <c r="G16" s="1" t="s">
        <v>7</v>
      </c>
      <c r="I16" s="1" t="s">
        <v>27</v>
      </c>
      <c r="J16" s="7">
        <f>SIN(ABS(B10)*3.1415926/180)</f>
        <v>0.17364817473495014</v>
      </c>
      <c r="K16" s="1" t="s">
        <v>26</v>
      </c>
      <c r="M16" s="1" t="s">
        <v>29</v>
      </c>
      <c r="N16" s="7">
        <f>B20/(B16-B20+J10*B20)</f>
        <v>0.2763379333557725</v>
      </c>
      <c r="O16" s="1" t="s">
        <v>26</v>
      </c>
    </row>
    <row r="18" spans="1:19" x14ac:dyDescent="0.35">
      <c r="A18" s="1" t="s">
        <v>18</v>
      </c>
      <c r="B18" s="1">
        <v>15</v>
      </c>
      <c r="C18" s="1" t="s">
        <v>3</v>
      </c>
      <c r="I18" s="1" t="s">
        <v>28</v>
      </c>
      <c r="J18" s="7">
        <f>SIN(ABS(B12)*3.1415926/180)</f>
        <v>0.17364817473495014</v>
      </c>
      <c r="K18" s="1" t="s">
        <v>26</v>
      </c>
      <c r="M18" s="1" t="s">
        <v>30</v>
      </c>
      <c r="N18" s="7">
        <f>(B20-B18+B20/J10)/B20</f>
        <v>0.58647990255785631</v>
      </c>
      <c r="O18" s="1" t="s">
        <v>26</v>
      </c>
    </row>
    <row r="20" spans="1:19" x14ac:dyDescent="0.35">
      <c r="A20" s="1" t="s">
        <v>19</v>
      </c>
      <c r="B20" s="1">
        <v>16.420000000000002</v>
      </c>
      <c r="C20" s="1" t="s">
        <v>3</v>
      </c>
      <c r="I20" s="1" t="s">
        <v>32</v>
      </c>
      <c r="J20" s="7">
        <f>4/3</f>
        <v>1.3333333333333333</v>
      </c>
      <c r="K20" s="1" t="s">
        <v>26</v>
      </c>
    </row>
    <row r="22" spans="1:19" x14ac:dyDescent="0.35">
      <c r="A22" s="1" t="s">
        <v>36</v>
      </c>
      <c r="B22" s="1">
        <v>4</v>
      </c>
      <c r="C22" s="1" t="s">
        <v>37</v>
      </c>
      <c r="I22" s="1" t="s">
        <v>33</v>
      </c>
      <c r="J22" s="9">
        <f>1000*3.57*(SQRT(J20*J6)+SQRT(J20*J8))</f>
        <v>22304.094872154521</v>
      </c>
      <c r="K22" s="1" t="s">
        <v>3</v>
      </c>
      <c r="M22" s="1" t="s">
        <v>52</v>
      </c>
      <c r="N22" s="8">
        <f>AVERAGE(J6,J8)*(J22-B14)/J22*(70-B10)/90</f>
        <v>1.2943850695278027</v>
      </c>
      <c r="O22" s="1" t="s">
        <v>3</v>
      </c>
    </row>
    <row r="24" spans="1:19" x14ac:dyDescent="0.35">
      <c r="A24" s="1" t="s">
        <v>38</v>
      </c>
      <c r="B24" s="1">
        <v>1400</v>
      </c>
      <c r="C24" s="1" t="s">
        <v>39</v>
      </c>
      <c r="I24" s="1" t="s">
        <v>58</v>
      </c>
      <c r="J24" s="8">
        <f>2*R30</f>
        <v>1.3093220255758693</v>
      </c>
      <c r="K24" s="1" t="s">
        <v>15</v>
      </c>
      <c r="M24" s="1" t="s">
        <v>53</v>
      </c>
      <c r="N24" s="8">
        <f>AVERAGE(J6,J8)*(J22-B14)/J22*(90-B12)/10</f>
        <v>19.415776042917042</v>
      </c>
      <c r="O24" s="1" t="s">
        <v>3</v>
      </c>
    </row>
    <row r="26" spans="1:19" x14ac:dyDescent="0.35">
      <c r="A26" s="1" t="s">
        <v>41</v>
      </c>
      <c r="B26" s="1">
        <v>10</v>
      </c>
      <c r="C26" s="1" t="s">
        <v>15</v>
      </c>
      <c r="I26" s="1" t="s">
        <v>31</v>
      </c>
      <c r="J26" s="1">
        <f>1.875*2^((B22-4)/1.5)</f>
        <v>1.875</v>
      </c>
      <c r="K26" s="1" t="s">
        <v>3</v>
      </c>
      <c r="M26" s="1" t="s">
        <v>54</v>
      </c>
      <c r="N26" s="8">
        <f>MAX(8.656*SQRT(B14/B24)-N22,0)</f>
        <v>28.6908785111046</v>
      </c>
      <c r="O26" s="1" t="s">
        <v>3</v>
      </c>
      <c r="Q26" s="1" t="s">
        <v>56</v>
      </c>
      <c r="R26" s="8">
        <f>N26/N30</f>
        <v>0.95683262659849189</v>
      </c>
      <c r="S26" s="1" t="s">
        <v>26</v>
      </c>
    </row>
    <row r="28" spans="1:19" x14ac:dyDescent="0.35">
      <c r="A28" s="1" t="s">
        <v>42</v>
      </c>
      <c r="B28" s="1">
        <v>5</v>
      </c>
      <c r="C28" s="1" t="s">
        <v>15</v>
      </c>
      <c r="I28" s="1" t="s">
        <v>40</v>
      </c>
      <c r="J28" s="8">
        <f>169.54-20*LOG10(B24*1000000)+10*J30*LOG10(B14)-B26-B28</f>
        <v>56.123624920952494</v>
      </c>
      <c r="K28" s="1" t="s">
        <v>15</v>
      </c>
      <c r="M28" s="1" t="s">
        <v>55</v>
      </c>
      <c r="N28" s="8">
        <f>MAX(8.656*SQRT(B14/B24)-N24,0)</f>
        <v>10.569487537715361</v>
      </c>
      <c r="O28" s="1" t="s">
        <v>3</v>
      </c>
      <c r="Q28" s="1" t="s">
        <v>56</v>
      </c>
      <c r="R28" s="8">
        <f>N28/N30</f>
        <v>0.35248939897737747</v>
      </c>
      <c r="S28" s="1" t="s">
        <v>26</v>
      </c>
    </row>
    <row r="30" spans="1:19" x14ac:dyDescent="0.35">
      <c r="A30" s="1" t="s">
        <v>43</v>
      </c>
      <c r="B30" s="5">
        <f>-73</f>
        <v>-73</v>
      </c>
      <c r="C30" s="1" t="s">
        <v>59</v>
      </c>
      <c r="I30" s="1" t="s">
        <v>23</v>
      </c>
      <c r="J30" s="1">
        <v>2</v>
      </c>
      <c r="K30" s="1" t="s">
        <v>26</v>
      </c>
      <c r="M30" s="1" t="s">
        <v>51</v>
      </c>
      <c r="N30" s="8">
        <f>8.656*SQRT(B14/B24)</f>
        <v>29.985263580632402</v>
      </c>
      <c r="O30" s="1" t="s">
        <v>3</v>
      </c>
      <c r="Q30" s="1" t="s">
        <v>57</v>
      </c>
      <c r="R30" s="8">
        <f>AVERAGE(R26,R28)</f>
        <v>0.65466101278793465</v>
      </c>
      <c r="S30" s="1" t="s">
        <v>26</v>
      </c>
    </row>
    <row r="32" spans="1:19" x14ac:dyDescent="0.35">
      <c r="A32" s="1" t="s">
        <v>44</v>
      </c>
      <c r="B32" s="1">
        <v>10</v>
      </c>
      <c r="C32" s="1" t="s">
        <v>45</v>
      </c>
      <c r="I32" s="1" t="s">
        <v>6</v>
      </c>
      <c r="J32" s="5">
        <f>16+(22-16)*(ABS(B10)+ABS(B12))/2/70</f>
        <v>16.857142857142858</v>
      </c>
      <c r="K32" s="1" t="s">
        <v>7</v>
      </c>
      <c r="M32" s="1" t="s">
        <v>60</v>
      </c>
      <c r="N32" s="1">
        <v>41</v>
      </c>
      <c r="O32" s="1" t="s">
        <v>15</v>
      </c>
    </row>
    <row r="34" spans="1:15" x14ac:dyDescent="0.35">
      <c r="A34" s="1" t="s">
        <v>4</v>
      </c>
      <c r="B34" s="1">
        <v>20</v>
      </c>
      <c r="C34" s="1" t="s">
        <v>39</v>
      </c>
      <c r="I34" s="1" t="s">
        <v>50</v>
      </c>
      <c r="J34" s="8">
        <f>_xlfn.STDEV.S(F10,F12)*J22/B14</f>
        <v>0.23649714521214063</v>
      </c>
      <c r="K34" s="1" t="s">
        <v>26</v>
      </c>
      <c r="M34" s="1" t="s">
        <v>61</v>
      </c>
      <c r="N34" s="1">
        <f>B30+20*LOG10(J22/B14)</f>
        <v>-70.538493559991835</v>
      </c>
      <c r="O34" s="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E68B-F4F6-49D0-830C-8AA145642E2F}">
  <dimension ref="A1:I39"/>
  <sheetViews>
    <sheetView zoomScale="85" zoomScaleNormal="85" workbookViewId="0">
      <selection activeCell="A2" sqref="A2"/>
    </sheetView>
  </sheetViews>
  <sheetFormatPr defaultRowHeight="14.5" x14ac:dyDescent="0.35"/>
  <cols>
    <col min="1" max="1" width="17.453125" style="1" customWidth="1"/>
    <col min="2" max="4" width="8.7265625" style="1"/>
    <col min="5" max="5" width="17.6328125" style="1" customWidth="1"/>
    <col min="6" max="16384" width="8.7265625" style="1"/>
  </cols>
  <sheetData>
    <row r="1" spans="1:9" x14ac:dyDescent="0.35">
      <c r="A1" s="4" t="s">
        <v>74</v>
      </c>
      <c r="C1" s="1" t="s">
        <v>75</v>
      </c>
      <c r="I1" s="1" t="s">
        <v>98</v>
      </c>
    </row>
    <row r="3" spans="1:9" x14ac:dyDescent="0.35">
      <c r="A3" s="1" t="s">
        <v>62</v>
      </c>
      <c r="B3" s="1">
        <v>4.5</v>
      </c>
      <c r="C3" s="1" t="s">
        <v>63</v>
      </c>
      <c r="E3" s="1" t="s">
        <v>64</v>
      </c>
      <c r="F3" s="1">
        <f>B3*2</f>
        <v>9</v>
      </c>
      <c r="G3" s="1" t="s">
        <v>63</v>
      </c>
    </row>
    <row r="4" spans="1:9" x14ac:dyDescent="0.35">
      <c r="A4" s="1" t="s">
        <v>65</v>
      </c>
      <c r="B4" s="1">
        <v>20</v>
      </c>
      <c r="C4" s="1" t="s">
        <v>25</v>
      </c>
      <c r="E4" s="1" t="s">
        <v>68</v>
      </c>
      <c r="F4" s="8">
        <f>(B4/2)*SIN((B4/2)*3.1415926/180)</f>
        <v>1.7364817473495013</v>
      </c>
      <c r="G4" s="1" t="s">
        <v>25</v>
      </c>
    </row>
    <row r="5" spans="1:9" x14ac:dyDescent="0.35">
      <c r="A5" s="1" t="s">
        <v>66</v>
      </c>
      <c r="B5" s="1">
        <v>40</v>
      </c>
      <c r="C5" s="1" t="s">
        <v>25</v>
      </c>
      <c r="E5" s="1" t="s">
        <v>67</v>
      </c>
      <c r="F5" s="1">
        <f>B5+B4/2</f>
        <v>50</v>
      </c>
      <c r="G5" s="1" t="s">
        <v>25</v>
      </c>
    </row>
    <row r="6" spans="1:9" x14ac:dyDescent="0.35">
      <c r="E6" s="1" t="s">
        <v>69</v>
      </c>
      <c r="F6" s="1">
        <f>1-B4/B5</f>
        <v>0.5</v>
      </c>
      <c r="G6" s="1" t="s">
        <v>26</v>
      </c>
    </row>
    <row r="7" spans="1:9" x14ac:dyDescent="0.35">
      <c r="E7" s="1" t="s">
        <v>70</v>
      </c>
      <c r="F7" s="1">
        <f>1-B4/F5</f>
        <v>0.6</v>
      </c>
      <c r="G7" s="1" t="s">
        <v>26</v>
      </c>
    </row>
    <row r="9" spans="1:9" x14ac:dyDescent="0.35">
      <c r="A9" s="1" t="s">
        <v>72</v>
      </c>
      <c r="C9" s="1" t="s">
        <v>71</v>
      </c>
      <c r="E9" s="1" t="s">
        <v>73</v>
      </c>
    </row>
    <row r="10" spans="1:9" x14ac:dyDescent="0.35">
      <c r="A10" s="8">
        <f ca="1">(1-F$6+RAND()*F$6)*B$5*SIN(2*3.1415926*C10/F$3)</f>
        <v>15.921146745250484</v>
      </c>
      <c r="C10" s="1">
        <v>1</v>
      </c>
      <c r="E10" s="8">
        <f ca="1">(1-F$7+RAND()*F$7)*F$5*SIN(2*3.1415926*C10/F$3)-B$4/2+F$4</f>
        <v>21.09882467082484</v>
      </c>
    </row>
    <row r="11" spans="1:9" x14ac:dyDescent="0.35">
      <c r="A11" s="8">
        <f t="shared" ref="A11:A39" ca="1" si="0">(1-F$6+RAND()*F$6)*B$5*SIN(2*3.1415926*C11/F$3)</f>
        <v>29.798569367271284</v>
      </c>
      <c r="C11" s="1">
        <f>C10+1</f>
        <v>2</v>
      </c>
      <c r="E11" s="8">
        <f t="shared" ref="E11:E39" ca="1" si="1">(1-F$7+RAND()*F$7)*F$5*SIN(2*3.1415926*C11/F$3)-B$4/2+F$4</f>
        <v>13.619215079416509</v>
      </c>
    </row>
    <row r="12" spans="1:9" x14ac:dyDescent="0.35">
      <c r="A12" s="8">
        <f t="shared" ca="1" si="0"/>
        <v>28.174558543091358</v>
      </c>
      <c r="C12" s="1">
        <f t="shared" ref="C12:C39" si="2">C11+1</f>
        <v>3</v>
      </c>
      <c r="E12" s="8">
        <f t="shared" ca="1" si="1"/>
        <v>11.43159158761199</v>
      </c>
    </row>
    <row r="13" spans="1:9" x14ac:dyDescent="0.35">
      <c r="A13" s="8">
        <f t="shared" ca="1" si="0"/>
        <v>10.302013960160416</v>
      </c>
      <c r="C13" s="1">
        <f t="shared" si="2"/>
        <v>4</v>
      </c>
      <c r="E13" s="8">
        <f t="shared" ca="1" si="1"/>
        <v>1.0096733354365175</v>
      </c>
    </row>
    <row r="14" spans="1:9" x14ac:dyDescent="0.35">
      <c r="A14" s="8">
        <f t="shared" ca="1" si="0"/>
        <v>-12.601020236294806</v>
      </c>
      <c r="C14" s="1">
        <f t="shared" si="2"/>
        <v>5</v>
      </c>
      <c r="E14" s="8">
        <f t="shared" ca="1" si="1"/>
        <v>-24.854146112239139</v>
      </c>
    </row>
    <row r="15" spans="1:9" x14ac:dyDescent="0.35">
      <c r="A15" s="8">
        <f t="shared" ca="1" si="0"/>
        <v>-22.630606233034474</v>
      </c>
      <c r="C15" s="1">
        <f t="shared" si="2"/>
        <v>6</v>
      </c>
      <c r="E15" s="8">
        <f t="shared" ca="1" si="1"/>
        <v>-46.441187078556553</v>
      </c>
    </row>
    <row r="16" spans="1:9" x14ac:dyDescent="0.35">
      <c r="A16" s="8">
        <f t="shared" ca="1" si="0"/>
        <v>-20.266972871496613</v>
      </c>
      <c r="C16" s="1">
        <f t="shared" si="2"/>
        <v>7</v>
      </c>
      <c r="E16" s="8">
        <f t="shared" ca="1" si="1"/>
        <v>-45.156273542361092</v>
      </c>
    </row>
    <row r="17" spans="1:5" x14ac:dyDescent="0.35">
      <c r="A17" s="8">
        <f t="shared" ca="1" si="0"/>
        <v>-21.023668288251258</v>
      </c>
      <c r="C17" s="1">
        <f t="shared" si="2"/>
        <v>8</v>
      </c>
      <c r="E17" s="8">
        <f t="shared" ca="1" si="1"/>
        <v>-35.766474923132307</v>
      </c>
    </row>
    <row r="18" spans="1:5" x14ac:dyDescent="0.35">
      <c r="A18" s="8">
        <f t="shared" ca="1" si="0"/>
        <v>-2.2701963694886242E-6</v>
      </c>
      <c r="C18" s="1">
        <f t="shared" si="2"/>
        <v>9</v>
      </c>
      <c r="E18" s="8">
        <f t="shared" ca="1" si="1"/>
        <v>-8.2635216551823056</v>
      </c>
    </row>
    <row r="19" spans="1:5" x14ac:dyDescent="0.35">
      <c r="A19" s="8">
        <f t="shared" ca="1" si="0"/>
        <v>21.219315683166009</v>
      </c>
      <c r="C19" s="1">
        <f t="shared" si="2"/>
        <v>10</v>
      </c>
      <c r="E19" s="8">
        <f t="shared" ca="1" si="1"/>
        <v>10.295703184760875</v>
      </c>
    </row>
    <row r="20" spans="1:5" x14ac:dyDescent="0.35">
      <c r="A20" s="8">
        <f t="shared" ca="1" si="0"/>
        <v>31.221855258743865</v>
      </c>
      <c r="C20" s="1">
        <f t="shared" si="2"/>
        <v>11</v>
      </c>
      <c r="E20" s="8">
        <f t="shared" ca="1" si="1"/>
        <v>24.364922204400536</v>
      </c>
    </row>
    <row r="21" spans="1:5" x14ac:dyDescent="0.35">
      <c r="A21" s="8">
        <f t="shared" ca="1" si="0"/>
        <v>33.02913818291141</v>
      </c>
      <c r="C21" s="1">
        <f t="shared" si="2"/>
        <v>12</v>
      </c>
      <c r="E21" s="8">
        <f t="shared" ca="1" si="1"/>
        <v>19.939536647841084</v>
      </c>
    </row>
    <row r="22" spans="1:5" x14ac:dyDescent="0.35">
      <c r="A22" s="8">
        <f t="shared" ca="1" si="0"/>
        <v>12.915720097156873</v>
      </c>
      <c r="C22" s="1">
        <f t="shared" si="2"/>
        <v>13</v>
      </c>
      <c r="E22" s="8">
        <f t="shared" ca="1" si="1"/>
        <v>-1.1928006676850944</v>
      </c>
    </row>
    <row r="23" spans="1:5" x14ac:dyDescent="0.35">
      <c r="A23" s="8">
        <f t="shared" ca="1" si="0"/>
        <v>-13.039071726449421</v>
      </c>
      <c r="C23" s="1">
        <f t="shared" si="2"/>
        <v>14</v>
      </c>
      <c r="E23" s="8">
        <f t="shared" ca="1" si="1"/>
        <v>-15.156588345612082</v>
      </c>
    </row>
    <row r="24" spans="1:5" x14ac:dyDescent="0.35">
      <c r="A24" s="8">
        <f t="shared" ca="1" si="0"/>
        <v>-28.68050511421545</v>
      </c>
      <c r="C24" s="1">
        <f t="shared" si="2"/>
        <v>15</v>
      </c>
      <c r="E24" s="8">
        <f t="shared" ca="1" si="1"/>
        <v>-42.123633303449076</v>
      </c>
    </row>
    <row r="25" spans="1:5" x14ac:dyDescent="0.35">
      <c r="A25" s="8">
        <f t="shared" ca="1" si="0"/>
        <v>-38.914593023056412</v>
      </c>
      <c r="C25" s="1">
        <f t="shared" si="2"/>
        <v>16</v>
      </c>
      <c r="E25" s="8">
        <f t="shared" ca="1" si="1"/>
        <v>-38.48597567450021</v>
      </c>
    </row>
    <row r="26" spans="1:5" x14ac:dyDescent="0.35">
      <c r="A26" s="8">
        <f t="shared" ca="1" si="0"/>
        <v>-19.245868366777881</v>
      </c>
      <c r="C26" s="1">
        <f t="shared" si="2"/>
        <v>17</v>
      </c>
      <c r="E26" s="8">
        <f t="shared" ca="1" si="1"/>
        <v>-37.44979385773803</v>
      </c>
    </row>
    <row r="27" spans="1:5" x14ac:dyDescent="0.35">
      <c r="A27" s="8">
        <f t="shared" ca="1" si="0"/>
        <v>-7.5945330508778676E-6</v>
      </c>
      <c r="C27" s="1">
        <f t="shared" si="2"/>
        <v>18</v>
      </c>
      <c r="E27" s="8">
        <f t="shared" ca="1" si="1"/>
        <v>-8.2635266798146461</v>
      </c>
    </row>
    <row r="28" spans="1:5" x14ac:dyDescent="0.35">
      <c r="A28" s="8">
        <f t="shared" ca="1" si="0"/>
        <v>22.288641007750517</v>
      </c>
      <c r="C28" s="1">
        <f t="shared" si="2"/>
        <v>19</v>
      </c>
      <c r="E28" s="8">
        <f t="shared" ca="1" si="1"/>
        <v>10.637710065968452</v>
      </c>
    </row>
    <row r="29" spans="1:5" x14ac:dyDescent="0.35">
      <c r="A29" s="8">
        <f t="shared" ca="1" si="0"/>
        <v>32.501816282980307</v>
      </c>
      <c r="C29" s="1">
        <f t="shared" si="2"/>
        <v>20</v>
      </c>
      <c r="E29" s="8">
        <f t="shared" ca="1" si="1"/>
        <v>18.612296997843846</v>
      </c>
    </row>
    <row r="30" spans="1:5" x14ac:dyDescent="0.35">
      <c r="A30" s="8">
        <f t="shared" ca="1" si="0"/>
        <v>33.228838815539902</v>
      </c>
      <c r="C30" s="1">
        <f t="shared" si="2"/>
        <v>21</v>
      </c>
      <c r="E30" s="8">
        <f t="shared" ca="1" si="1"/>
        <v>10.506015559981787</v>
      </c>
    </row>
    <row r="31" spans="1:5" x14ac:dyDescent="0.35">
      <c r="A31" s="8">
        <f t="shared" ca="1" si="0"/>
        <v>8.7459531741007694</v>
      </c>
      <c r="C31" s="1">
        <f t="shared" si="2"/>
        <v>22</v>
      </c>
      <c r="E31" s="8">
        <f t="shared" ca="1" si="1"/>
        <v>5.8729664708990725</v>
      </c>
    </row>
    <row r="32" spans="1:5" x14ac:dyDescent="0.35">
      <c r="A32" s="8">
        <f t="shared" ca="1" si="0"/>
        <v>-7.2104125429914276</v>
      </c>
      <c r="C32" s="1">
        <f t="shared" si="2"/>
        <v>23</v>
      </c>
      <c r="E32" s="8">
        <f t="shared" ca="1" si="1"/>
        <v>-16.464948305333301</v>
      </c>
    </row>
    <row r="33" spans="1:5" x14ac:dyDescent="0.35">
      <c r="A33" s="8">
        <f t="shared" ca="1" si="0"/>
        <v>-22.406981897582895</v>
      </c>
      <c r="C33" s="1">
        <f t="shared" si="2"/>
        <v>24</v>
      </c>
      <c r="E33" s="8">
        <f t="shared" ca="1" si="1"/>
        <v>-45.313500925752741</v>
      </c>
    </row>
    <row r="34" spans="1:5" x14ac:dyDescent="0.35">
      <c r="A34" s="8">
        <f t="shared" ca="1" si="0"/>
        <v>-27.900188202164205</v>
      </c>
      <c r="C34" s="1">
        <f t="shared" si="2"/>
        <v>25</v>
      </c>
      <c r="E34" s="8">
        <f t="shared" ca="1" si="1"/>
        <v>-55.084734727405582</v>
      </c>
    </row>
    <row r="35" spans="1:5" x14ac:dyDescent="0.35">
      <c r="A35" s="8">
        <f t="shared" ca="1" si="0"/>
        <v>-24.718876421201074</v>
      </c>
      <c r="C35" s="1">
        <f t="shared" si="2"/>
        <v>26</v>
      </c>
      <c r="E35" s="8">
        <f t="shared" ca="1" si="1"/>
        <v>-24.259699495137035</v>
      </c>
    </row>
    <row r="36" spans="1:5" x14ac:dyDescent="0.35">
      <c r="A36" s="8">
        <f t="shared" ca="1" si="0"/>
        <v>-1.1895094833251229E-5</v>
      </c>
      <c r="C36" s="1">
        <f t="shared" si="2"/>
        <v>27</v>
      </c>
      <c r="E36" s="8">
        <f t="shared" ca="1" si="1"/>
        <v>-8.2635322006672887</v>
      </c>
    </row>
    <row r="37" spans="1:5" x14ac:dyDescent="0.35">
      <c r="A37" s="8">
        <f t="shared" ca="1" si="0"/>
        <v>13.123812529725793</v>
      </c>
      <c r="C37" s="1">
        <f t="shared" si="2"/>
        <v>28</v>
      </c>
      <c r="E37" s="8">
        <f t="shared" ca="1" si="1"/>
        <v>18.901249379069959</v>
      </c>
    </row>
    <row r="38" spans="1:5" x14ac:dyDescent="0.35">
      <c r="A38" s="8">
        <f t="shared" ca="1" si="0"/>
        <v>27.054617172480757</v>
      </c>
      <c r="C38" s="1">
        <f>C37+1</f>
        <v>29</v>
      </c>
      <c r="E38" s="8">
        <f t="shared" ca="1" si="1"/>
        <v>31.715364999758691</v>
      </c>
    </row>
    <row r="39" spans="1:5" x14ac:dyDescent="0.35">
      <c r="A39" s="8">
        <f t="shared" ca="1" si="0"/>
        <v>32.97480022932703</v>
      </c>
      <c r="C39" s="1">
        <f t="shared" si="2"/>
        <v>30</v>
      </c>
      <c r="E39" s="8">
        <f t="shared" ca="1" si="1"/>
        <v>26.402259802615987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261E-F51C-49E8-9E47-9F322F6AA6BA}">
  <dimension ref="A1:K39"/>
  <sheetViews>
    <sheetView zoomScale="85" zoomScaleNormal="85" workbookViewId="0">
      <selection activeCell="A2" sqref="A2"/>
    </sheetView>
  </sheetViews>
  <sheetFormatPr defaultRowHeight="14.5" x14ac:dyDescent="0.35"/>
  <cols>
    <col min="1" max="1" width="17.453125" style="1" customWidth="1"/>
    <col min="2" max="4" width="8.7265625" style="1"/>
    <col min="5" max="5" width="17.6328125" style="1" customWidth="1"/>
    <col min="6" max="16384" width="8.7265625" style="1"/>
  </cols>
  <sheetData>
    <row r="1" spans="1:11" x14ac:dyDescent="0.35">
      <c r="A1" s="4" t="s">
        <v>74</v>
      </c>
      <c r="C1" s="1" t="s">
        <v>76</v>
      </c>
      <c r="I1" s="1" t="s">
        <v>98</v>
      </c>
    </row>
    <row r="3" spans="1:11" x14ac:dyDescent="0.35">
      <c r="A3" s="1" t="s">
        <v>62</v>
      </c>
      <c r="B3" s="1">
        <v>4.5</v>
      </c>
      <c r="C3" s="1" t="s">
        <v>63</v>
      </c>
      <c r="E3" s="1" t="s">
        <v>64</v>
      </c>
      <c r="F3" s="1">
        <f>B3*2</f>
        <v>9</v>
      </c>
      <c r="G3" s="1" t="s">
        <v>63</v>
      </c>
    </row>
    <row r="4" spans="1:11" x14ac:dyDescent="0.35">
      <c r="A4" s="1" t="s">
        <v>65</v>
      </c>
      <c r="B4" s="1">
        <v>20</v>
      </c>
      <c r="C4" s="1" t="s">
        <v>25</v>
      </c>
      <c r="E4" s="1" t="s">
        <v>68</v>
      </c>
      <c r="F4" s="8">
        <f>(B4/2)*SIN((B4/2)*3.1415926/180)</f>
        <v>1.7364817473495013</v>
      </c>
      <c r="G4" s="1" t="s">
        <v>25</v>
      </c>
      <c r="I4" s="1" t="s">
        <v>68</v>
      </c>
      <c r="J4" s="8">
        <f>(B4/2)*SIN((B4/2)*3.1415926/180)</f>
        <v>1.7364817473495013</v>
      </c>
      <c r="K4" s="1" t="s">
        <v>25</v>
      </c>
    </row>
    <row r="5" spans="1:11" x14ac:dyDescent="0.35">
      <c r="A5" s="1" t="s">
        <v>66</v>
      </c>
      <c r="B5" s="1">
        <v>40</v>
      </c>
      <c r="C5" s="1" t="s">
        <v>25</v>
      </c>
      <c r="E5" s="1" t="s">
        <v>67</v>
      </c>
      <c r="F5" s="1">
        <f>B5+B4/2</f>
        <v>50</v>
      </c>
      <c r="G5" s="1" t="s">
        <v>25</v>
      </c>
      <c r="I5" s="1" t="s">
        <v>77</v>
      </c>
      <c r="J5" s="9">
        <f>B5+B4/SQRT(2)</f>
        <v>54.142135623730951</v>
      </c>
      <c r="K5" s="1" t="s">
        <v>25</v>
      </c>
    </row>
    <row r="6" spans="1:11" x14ac:dyDescent="0.35">
      <c r="E6" s="1" t="s">
        <v>69</v>
      </c>
      <c r="F6" s="1">
        <f>1-B4/B5</f>
        <v>0.5</v>
      </c>
      <c r="G6" s="1" t="s">
        <v>26</v>
      </c>
      <c r="I6" s="1" t="s">
        <v>78</v>
      </c>
      <c r="J6" s="5">
        <f>B4/J5</f>
        <v>0.36939806251812929</v>
      </c>
      <c r="K6" s="1" t="s">
        <v>26</v>
      </c>
    </row>
    <row r="7" spans="1:11" x14ac:dyDescent="0.35">
      <c r="E7" s="1" t="s">
        <v>70</v>
      </c>
      <c r="F7" s="1">
        <f>1-B4/F5</f>
        <v>0.6</v>
      </c>
      <c r="G7" s="1" t="s">
        <v>26</v>
      </c>
    </row>
    <row r="9" spans="1:11" x14ac:dyDescent="0.35">
      <c r="A9" s="1" t="s">
        <v>73</v>
      </c>
      <c r="C9" s="1" t="s">
        <v>71</v>
      </c>
      <c r="E9" s="1" t="s">
        <v>79</v>
      </c>
    </row>
    <row r="10" spans="1:11" x14ac:dyDescent="0.35">
      <c r="A10" s="8">
        <f ca="1">(1-F$7+RAND()*F$7)*F$5*SIN(2*3.1415926*C10/F$3)-B$4/2+F$4</f>
        <v>20.096784288967243</v>
      </c>
      <c r="C10" s="1">
        <v>1</v>
      </c>
      <c r="E10" s="8">
        <f ca="1">(1-J$6+RAND()*J$6)*J$5*SIN(2*3.1415926*C10/F$3)-B$4/2+J$4</f>
        <v>14.04955579728276</v>
      </c>
    </row>
    <row r="11" spans="1:11" x14ac:dyDescent="0.35">
      <c r="A11" s="8">
        <f t="shared" ref="A11:A39" ca="1" si="0">(1-F$7+RAND()*F$7)*F$5*SIN(2*3.1415926*C11/F$3)-B$4/2+F$4</f>
        <v>17.797881989042832</v>
      </c>
      <c r="C11" s="1">
        <f>C10+1</f>
        <v>2</v>
      </c>
      <c r="E11" s="8">
        <f t="shared" ref="E11:E39" ca="1" si="1">(1-J$6+RAND()*J$6)*J$5*SIN(2*3.1415926*C11/F$3)-B$4/2+J$4</f>
        <v>28.534220950400233</v>
      </c>
    </row>
    <row r="12" spans="1:11" x14ac:dyDescent="0.35">
      <c r="A12" s="8">
        <f t="shared" ca="1" si="0"/>
        <v>20.304138123635393</v>
      </c>
      <c r="C12" s="1">
        <f t="shared" ref="C12:C39" si="2">C11+1</f>
        <v>3</v>
      </c>
      <c r="E12" s="8">
        <f t="shared" ca="1" si="1"/>
        <v>21.472769975963068</v>
      </c>
    </row>
    <row r="13" spans="1:11" x14ac:dyDescent="0.35">
      <c r="A13" s="8">
        <f t="shared" ca="1" si="0"/>
        <v>4.7595844809158745</v>
      </c>
      <c r="C13" s="1">
        <f t="shared" si="2"/>
        <v>4</v>
      </c>
      <c r="E13" s="8">
        <f t="shared" ca="1" si="1"/>
        <v>10.200719836928531</v>
      </c>
    </row>
    <row r="14" spans="1:11" x14ac:dyDescent="0.35">
      <c r="A14" s="8">
        <f t="shared" ca="1" si="0"/>
        <v>-21.680908434637665</v>
      </c>
      <c r="C14" s="1">
        <f t="shared" si="2"/>
        <v>5</v>
      </c>
      <c r="E14" s="8">
        <f t="shared" ca="1" si="1"/>
        <v>-25.296930748720403</v>
      </c>
    </row>
    <row r="15" spans="1:11" x14ac:dyDescent="0.35">
      <c r="A15" s="8">
        <f t="shared" ca="1" si="0"/>
        <v>-44.084765738438044</v>
      </c>
      <c r="C15" s="1">
        <f t="shared" si="2"/>
        <v>6</v>
      </c>
      <c r="E15" s="8">
        <f t="shared" ca="1" si="1"/>
        <v>-54.875212466694862</v>
      </c>
    </row>
    <row r="16" spans="1:11" x14ac:dyDescent="0.35">
      <c r="A16" s="8">
        <f t="shared" ca="1" si="0"/>
        <v>-55.979573314277069</v>
      </c>
      <c r="C16" s="1">
        <f t="shared" si="2"/>
        <v>7</v>
      </c>
      <c r="E16" s="8">
        <f t="shared" ca="1" si="1"/>
        <v>-46.647082614511184</v>
      </c>
    </row>
    <row r="17" spans="1:5" x14ac:dyDescent="0.35">
      <c r="A17" s="8">
        <f t="shared" ca="1" si="0"/>
        <v>-35.580131000792264</v>
      </c>
      <c r="C17" s="1">
        <f t="shared" si="2"/>
        <v>8</v>
      </c>
      <c r="E17" s="8">
        <f t="shared" ca="1" si="1"/>
        <v>-31.858650128275599</v>
      </c>
    </row>
    <row r="18" spans="1:5" x14ac:dyDescent="0.35">
      <c r="A18" s="8">
        <f t="shared" ca="1" si="0"/>
        <v>-8.2635213090322921</v>
      </c>
      <c r="C18" s="1">
        <f t="shared" si="2"/>
        <v>9</v>
      </c>
      <c r="E18" s="8">
        <f t="shared" ca="1" si="1"/>
        <v>-8.2635236874172229</v>
      </c>
    </row>
    <row r="19" spans="1:5" x14ac:dyDescent="0.35">
      <c r="A19" s="8">
        <f t="shared" ca="1" si="0"/>
        <v>17.009065350049617</v>
      </c>
      <c r="C19" s="1">
        <f t="shared" si="2"/>
        <v>10</v>
      </c>
      <c r="E19" s="8">
        <f t="shared" ca="1" si="1"/>
        <v>24.439524898900366</v>
      </c>
    </row>
    <row r="20" spans="1:5" x14ac:dyDescent="0.35">
      <c r="A20" s="8">
        <f t="shared" ca="1" si="0"/>
        <v>15.341846772353446</v>
      </c>
      <c r="C20" s="1">
        <f t="shared" si="2"/>
        <v>11</v>
      </c>
      <c r="E20" s="8">
        <f t="shared" ca="1" si="1"/>
        <v>29.996473442807442</v>
      </c>
    </row>
    <row r="21" spans="1:5" x14ac:dyDescent="0.35">
      <c r="A21" s="8">
        <f t="shared" ca="1" si="0"/>
        <v>30.753187739342849</v>
      </c>
      <c r="C21" s="1">
        <f t="shared" si="2"/>
        <v>12</v>
      </c>
      <c r="E21" s="8">
        <f t="shared" ca="1" si="1"/>
        <v>37.938826993688494</v>
      </c>
    </row>
    <row r="22" spans="1:5" x14ac:dyDescent="0.35">
      <c r="A22" s="8">
        <f t="shared" ca="1" si="0"/>
        <v>3.786330832478662</v>
      </c>
      <c r="C22" s="1">
        <f t="shared" si="2"/>
        <v>13</v>
      </c>
      <c r="E22" s="8">
        <f t="shared" ca="1" si="1"/>
        <v>5.0503560073211862</v>
      </c>
    </row>
    <row r="23" spans="1:5" x14ac:dyDescent="0.35">
      <c r="A23" s="8">
        <f t="shared" ca="1" si="0"/>
        <v>-23.687186184818341</v>
      </c>
      <c r="C23" s="1">
        <f t="shared" si="2"/>
        <v>14</v>
      </c>
      <c r="E23" s="8">
        <f t="shared" ca="1" si="1"/>
        <v>-20.958412437267217</v>
      </c>
    </row>
    <row r="24" spans="1:5" x14ac:dyDescent="0.35">
      <c r="A24" s="8">
        <f t="shared" ca="1" si="0"/>
        <v>-31.228515423021605</v>
      </c>
      <c r="C24" s="1">
        <f t="shared" si="2"/>
        <v>15</v>
      </c>
      <c r="E24" s="8">
        <f t="shared" ca="1" si="1"/>
        <v>-46.606849980498872</v>
      </c>
    </row>
    <row r="25" spans="1:5" x14ac:dyDescent="0.35">
      <c r="A25" s="8">
        <f t="shared" ca="1" si="0"/>
        <v>-30.62142393792751</v>
      </c>
      <c r="C25" s="1">
        <f t="shared" si="2"/>
        <v>16</v>
      </c>
      <c r="E25" s="8">
        <f t="shared" ca="1" si="1"/>
        <v>-54.48846211799242</v>
      </c>
    </row>
    <row r="26" spans="1:5" x14ac:dyDescent="0.35">
      <c r="A26" s="8">
        <f t="shared" ca="1" si="0"/>
        <v>-34.438992277749762</v>
      </c>
      <c r="C26" s="1">
        <f t="shared" si="2"/>
        <v>17</v>
      </c>
      <c r="E26" s="8">
        <f t="shared" ca="1" si="1"/>
        <v>-40.569892849636226</v>
      </c>
    </row>
    <row r="27" spans="1:5" x14ac:dyDescent="0.35">
      <c r="A27" s="8">
        <f t="shared" ca="1" si="0"/>
        <v>-8.2635227498932657</v>
      </c>
      <c r="C27" s="1">
        <f t="shared" si="2"/>
        <v>18</v>
      </c>
      <c r="E27" s="8">
        <f t="shared" ca="1" si="1"/>
        <v>-8.2635277417659481</v>
      </c>
    </row>
    <row r="28" spans="1:5" x14ac:dyDescent="0.35">
      <c r="A28" s="8">
        <f t="shared" ca="1" si="0"/>
        <v>13.864337425491819</v>
      </c>
      <c r="C28" s="1">
        <f t="shared" si="2"/>
        <v>19</v>
      </c>
      <c r="E28" s="8">
        <f t="shared" ca="1" si="1"/>
        <v>24.616170170496062</v>
      </c>
    </row>
    <row r="29" spans="1:5" x14ac:dyDescent="0.35">
      <c r="A29" s="8">
        <f t="shared" ca="1" si="0"/>
        <v>15.250748671919943</v>
      </c>
      <c r="C29" s="1">
        <f t="shared" si="2"/>
        <v>20</v>
      </c>
      <c r="E29" s="8">
        <f t="shared" ca="1" si="1"/>
        <v>43.289490525227016</v>
      </c>
    </row>
    <row r="30" spans="1:5" x14ac:dyDescent="0.35">
      <c r="A30" s="8">
        <f t="shared" ca="1" si="0"/>
        <v>20.787971599075259</v>
      </c>
      <c r="C30" s="1">
        <f t="shared" si="2"/>
        <v>21</v>
      </c>
      <c r="E30" s="8">
        <f t="shared" ca="1" si="1"/>
        <v>30.862510995677923</v>
      </c>
    </row>
    <row r="31" spans="1:5" x14ac:dyDescent="0.35">
      <c r="A31" s="8">
        <f t="shared" ca="1" si="0"/>
        <v>3.6167780800884377</v>
      </c>
      <c r="C31" s="1">
        <f t="shared" si="2"/>
        <v>22</v>
      </c>
      <c r="E31" s="8">
        <f t="shared" ca="1" si="1"/>
        <v>6.460574858372544</v>
      </c>
    </row>
    <row r="32" spans="1:5" x14ac:dyDescent="0.35">
      <c r="A32" s="8">
        <f t="shared" ca="1" si="0"/>
        <v>-19.419664246768924</v>
      </c>
      <c r="C32" s="1">
        <f t="shared" si="2"/>
        <v>23</v>
      </c>
      <c r="E32" s="8">
        <f t="shared" ca="1" si="1"/>
        <v>-22.965159954750305</v>
      </c>
    </row>
    <row r="33" spans="1:5" x14ac:dyDescent="0.35">
      <c r="A33" s="8">
        <f t="shared" ca="1" si="0"/>
        <v>-39.026469198311688</v>
      </c>
      <c r="C33" s="1">
        <f t="shared" si="2"/>
        <v>24</v>
      </c>
      <c r="E33" s="8">
        <f t="shared" ca="1" si="1"/>
        <v>-41.721471879744769</v>
      </c>
    </row>
    <row r="34" spans="1:5" x14ac:dyDescent="0.35">
      <c r="A34" s="8">
        <f t="shared" ca="1" si="0"/>
        <v>-55.419042879311505</v>
      </c>
      <c r="C34" s="1">
        <f t="shared" si="2"/>
        <v>25</v>
      </c>
      <c r="E34" s="8">
        <f t="shared" ca="1" si="1"/>
        <v>-44.968786956060093</v>
      </c>
    </row>
    <row r="35" spans="1:5" x14ac:dyDescent="0.35">
      <c r="A35" s="8">
        <f t="shared" ca="1" si="0"/>
        <v>-22.529948230741333</v>
      </c>
      <c r="C35" s="1">
        <f t="shared" si="2"/>
        <v>26</v>
      </c>
      <c r="E35" s="8">
        <f t="shared" ca="1" si="1"/>
        <v>-38.689656416385176</v>
      </c>
    </row>
    <row r="36" spans="1:5" x14ac:dyDescent="0.35">
      <c r="A36" s="8">
        <f t="shared" ca="1" si="0"/>
        <v>-8.2635306256343899</v>
      </c>
      <c r="C36" s="1">
        <f t="shared" si="2"/>
        <v>27</v>
      </c>
      <c r="E36" s="8">
        <f t="shared" ca="1" si="1"/>
        <v>-8.2635353310003854</v>
      </c>
    </row>
    <row r="37" spans="1:5" x14ac:dyDescent="0.35">
      <c r="A37" s="8">
        <f t="shared" ca="1" si="0"/>
        <v>11.171525326709308</v>
      </c>
      <c r="C37" s="1">
        <f t="shared" si="2"/>
        <v>28</v>
      </c>
      <c r="E37" s="8">
        <f t="shared" ca="1" si="1"/>
        <v>22.562492677856195</v>
      </c>
    </row>
    <row r="38" spans="1:5" x14ac:dyDescent="0.35">
      <c r="A38" s="8">
        <f t="shared" ca="1" si="0"/>
        <v>40.40811335279772</v>
      </c>
      <c r="C38" s="1">
        <f>C37+1</f>
        <v>29</v>
      </c>
      <c r="E38" s="8">
        <f t="shared" ca="1" si="1"/>
        <v>36.479647887505273</v>
      </c>
    </row>
    <row r="39" spans="1:5" x14ac:dyDescent="0.35">
      <c r="A39" s="8">
        <f t="shared" ca="1" si="0"/>
        <v>28.555756775693688</v>
      </c>
      <c r="C39" s="1">
        <f t="shared" si="2"/>
        <v>30</v>
      </c>
      <c r="E39" s="8">
        <f t="shared" ca="1" si="1"/>
        <v>35.717766884440174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203B-C033-4B66-9AAD-D787CFBA4693}">
  <dimension ref="A1:K21"/>
  <sheetViews>
    <sheetView workbookViewId="0"/>
  </sheetViews>
  <sheetFormatPr defaultRowHeight="14.5" x14ac:dyDescent="0.35"/>
  <cols>
    <col min="1" max="1" width="16.81640625" style="1" customWidth="1"/>
    <col min="2" max="4" width="8.7265625" style="1"/>
    <col min="5" max="5" width="17.36328125" style="1" customWidth="1"/>
    <col min="6" max="8" width="8.7265625" style="1"/>
    <col min="9" max="9" width="17.7265625" style="1" customWidth="1"/>
    <col min="10" max="16384" width="8.7265625" style="1"/>
  </cols>
  <sheetData>
    <row r="1" spans="1:11" x14ac:dyDescent="0.35">
      <c r="I1" s="1" t="s">
        <v>96</v>
      </c>
    </row>
    <row r="2" spans="1:11" x14ac:dyDescent="0.35">
      <c r="A2" s="2" t="s">
        <v>1</v>
      </c>
      <c r="B2" s="2"/>
      <c r="C2" s="2"/>
      <c r="D2" s="2"/>
      <c r="E2" s="3" t="s">
        <v>2</v>
      </c>
      <c r="I2" s="6" t="s">
        <v>20</v>
      </c>
    </row>
    <row r="3" spans="1:11" x14ac:dyDescent="0.35">
      <c r="A3" s="2"/>
      <c r="B3" s="2"/>
      <c r="C3" s="2"/>
      <c r="D3" s="2"/>
      <c r="I3" s="6"/>
    </row>
    <row r="4" spans="1:11" x14ac:dyDescent="0.35">
      <c r="A4" s="1" t="s">
        <v>81</v>
      </c>
      <c r="B4" s="1">
        <v>100</v>
      </c>
      <c r="C4" s="1" t="s">
        <v>39</v>
      </c>
      <c r="E4" s="13" t="s">
        <v>95</v>
      </c>
      <c r="I4" s="1" t="s">
        <v>82</v>
      </c>
      <c r="J4" s="1">
        <f>ROUNDUP((B4/B5)*(1-B7),0)</f>
        <v>14</v>
      </c>
    </row>
    <row r="5" spans="1:11" x14ac:dyDescent="0.35">
      <c r="A5" s="1" t="s">
        <v>80</v>
      </c>
      <c r="B5" s="1">
        <v>5</v>
      </c>
      <c r="C5" s="1" t="s">
        <v>39</v>
      </c>
      <c r="E5" s="1" t="s">
        <v>93</v>
      </c>
      <c r="F5" s="12">
        <f>1-(1-F9)^2</f>
        <v>0.99555555555555553</v>
      </c>
      <c r="I5" s="1" t="s">
        <v>83</v>
      </c>
      <c r="J5" s="11">
        <f>1/COMBIN(J4-B6,2)</f>
        <v>6.6666666666666666E-2</v>
      </c>
    </row>
    <row r="6" spans="1:11" x14ac:dyDescent="0.35">
      <c r="A6" s="1" t="s">
        <v>84</v>
      </c>
      <c r="B6" s="1">
        <v>8</v>
      </c>
      <c r="C6" s="1" t="s">
        <v>85</v>
      </c>
      <c r="E6" s="1" t="s">
        <v>90</v>
      </c>
      <c r="F6" s="12">
        <f ca="1">1-(1-F10)^2</f>
        <v>0.99489795918367352</v>
      </c>
      <c r="I6" s="1" t="s">
        <v>90</v>
      </c>
      <c r="J6" s="11">
        <f ca="1">K10/J4</f>
        <v>7.1428571428571425E-2</v>
      </c>
    </row>
    <row r="7" spans="1:11" x14ac:dyDescent="0.35">
      <c r="A7" s="1" t="s">
        <v>91</v>
      </c>
      <c r="B7" s="11">
        <v>0.3</v>
      </c>
      <c r="C7" s="1" t="s">
        <v>92</v>
      </c>
      <c r="J7" s="11"/>
    </row>
    <row r="8" spans="1:11" x14ac:dyDescent="0.35">
      <c r="E8" s="13" t="s">
        <v>94</v>
      </c>
    </row>
    <row r="9" spans="1:11" x14ac:dyDescent="0.35">
      <c r="A9" s="1" t="s">
        <v>86</v>
      </c>
      <c r="E9" s="1" t="s">
        <v>93</v>
      </c>
      <c r="F9" s="12">
        <f>1-J5</f>
        <v>0.93333333333333335</v>
      </c>
      <c r="I9" s="1" t="s">
        <v>87</v>
      </c>
      <c r="J9" s="1" t="s">
        <v>88</v>
      </c>
      <c r="K9" s="1" t="s">
        <v>89</v>
      </c>
    </row>
    <row r="10" spans="1:11" x14ac:dyDescent="0.35">
      <c r="A10" s="1">
        <v>1</v>
      </c>
      <c r="E10" s="1" t="s">
        <v>90</v>
      </c>
      <c r="F10" s="12">
        <f ca="1">1-J6</f>
        <v>0.9285714285714286</v>
      </c>
      <c r="I10" s="1">
        <f ca="1">ROUNDUP($J$4*RAND(),0)</f>
        <v>1</v>
      </c>
      <c r="J10" s="1">
        <f ca="1">I10-I11</f>
        <v>-10</v>
      </c>
      <c r="K10" s="1">
        <f ca="1">COUNTIF(J10:J26,0)</f>
        <v>1</v>
      </c>
    </row>
    <row r="11" spans="1:11" x14ac:dyDescent="0.35">
      <c r="A11" s="1">
        <f>A10+1</f>
        <v>2</v>
      </c>
      <c r="I11" s="1">
        <f t="shared" ref="I11:I17" ca="1" si="0">ROUNDUP($J$4*RAND(),0)</f>
        <v>11</v>
      </c>
      <c r="J11" s="1">
        <f t="shared" ref="J11:J16" ca="1" si="1">I11-I12</f>
        <v>-3</v>
      </c>
    </row>
    <row r="12" spans="1:11" x14ac:dyDescent="0.35">
      <c r="A12" s="1">
        <f t="shared" ref="A12:A17" si="2">A11+1</f>
        <v>3</v>
      </c>
      <c r="I12" s="1">
        <f t="shared" ca="1" si="0"/>
        <v>14</v>
      </c>
      <c r="J12" s="1">
        <f t="shared" ca="1" si="1"/>
        <v>5</v>
      </c>
    </row>
    <row r="13" spans="1:11" x14ac:dyDescent="0.35">
      <c r="A13" s="1">
        <f t="shared" si="2"/>
        <v>4</v>
      </c>
      <c r="I13" s="1">
        <f t="shared" ca="1" si="0"/>
        <v>9</v>
      </c>
      <c r="J13" s="1">
        <f t="shared" ca="1" si="1"/>
        <v>7</v>
      </c>
    </row>
    <row r="14" spans="1:11" x14ac:dyDescent="0.35">
      <c r="A14" s="1">
        <f t="shared" si="2"/>
        <v>5</v>
      </c>
      <c r="I14" s="1">
        <f t="shared" ca="1" si="0"/>
        <v>2</v>
      </c>
      <c r="J14" s="1">
        <f t="shared" ca="1" si="1"/>
        <v>0</v>
      </c>
    </row>
    <row r="15" spans="1:11" x14ac:dyDescent="0.35">
      <c r="A15" s="1">
        <f t="shared" si="2"/>
        <v>6</v>
      </c>
      <c r="I15" s="1">
        <f t="shared" ca="1" si="0"/>
        <v>2</v>
      </c>
      <c r="J15" s="1">
        <f t="shared" ca="1" si="1"/>
        <v>-10</v>
      </c>
    </row>
    <row r="16" spans="1:11" x14ac:dyDescent="0.35">
      <c r="A16" s="1">
        <f t="shared" si="2"/>
        <v>7</v>
      </c>
      <c r="I16" s="1">
        <f t="shared" ca="1" si="0"/>
        <v>12</v>
      </c>
      <c r="J16" s="1">
        <f t="shared" ca="1" si="1"/>
        <v>2</v>
      </c>
    </row>
    <row r="17" spans="1:10" x14ac:dyDescent="0.35">
      <c r="A17" s="1">
        <f t="shared" si="2"/>
        <v>8</v>
      </c>
      <c r="I17" s="1">
        <f t="shared" ca="1" si="0"/>
        <v>10</v>
      </c>
      <c r="J17" s="1" t="s">
        <v>10</v>
      </c>
    </row>
    <row r="18" spans="1:10" x14ac:dyDescent="0.35">
      <c r="A18" s="1" t="s">
        <v>10</v>
      </c>
      <c r="I18" s="1" t="s">
        <v>10</v>
      </c>
      <c r="J18" s="1" t="s">
        <v>10</v>
      </c>
    </row>
    <row r="19" spans="1:10" x14ac:dyDescent="0.35">
      <c r="A19" s="1" t="s">
        <v>10</v>
      </c>
      <c r="I19" s="1" t="s">
        <v>10</v>
      </c>
      <c r="J19" s="1" t="s">
        <v>10</v>
      </c>
    </row>
    <row r="20" spans="1:10" x14ac:dyDescent="0.35">
      <c r="A20" s="1" t="s">
        <v>10</v>
      </c>
      <c r="I20" s="1" t="s">
        <v>10</v>
      </c>
      <c r="J20" s="1" t="s">
        <v>10</v>
      </c>
    </row>
    <row r="21" spans="1:10" x14ac:dyDescent="0.35">
      <c r="A21" s="1" t="s">
        <v>10</v>
      </c>
      <c r="I2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LinkBudget</vt:lpstr>
      <vt:lpstr>Occlusion1</vt:lpstr>
      <vt:lpstr>Occlusion2</vt:lpstr>
      <vt:lpstr>FreqHopSimu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steed</cp:lastModifiedBy>
  <dcterms:created xsi:type="dcterms:W3CDTF">2015-06-05T18:17:20Z</dcterms:created>
  <dcterms:modified xsi:type="dcterms:W3CDTF">2023-03-18T14:23:00Z</dcterms:modified>
</cp:coreProperties>
</file>