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ne84\OneDrive - The University Of British Columbia\Documents\Dissertation\HabitatRecovery\"/>
    </mc:Choice>
  </mc:AlternateContent>
  <xr:revisionPtr revIDLastSave="34" documentId="8_{F928DD00-6613-4A3E-9DF0-4AEE4A8D1677}" xr6:coauthVersionLast="36" xr6:coauthVersionMax="36" xr10:uidLastSave="{212AF73C-41CA-4ABF-A76E-F49327DEBF42}"/>
  <bookViews>
    <workbookView xWindow="0" yWindow="0" windowWidth="19200" windowHeight="7750" activeTab="1" xr2:uid="{C05EFD09-5AA6-4BEF-9249-D79F91253A1B}"/>
  </bookViews>
  <sheets>
    <sheet name="README" sheetId="2" r:id="rId1"/>
    <sheet name="Sheet1" sheetId="1" r:id="rId2"/>
  </sheets>
  <definedNames>
    <definedName name="_xlnm._FilterDatabase" localSheetId="1" hidden="1">Sheet1!$A$1:$Y$65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4" i="1" l="1"/>
  <c r="S64" i="1"/>
  <c r="Q64" i="1"/>
  <c r="O64" i="1"/>
  <c r="J64" i="1"/>
  <c r="X63" i="1"/>
  <c r="S63" i="1"/>
  <c r="Q63" i="1"/>
  <c r="O63" i="1"/>
  <c r="M63" i="1"/>
  <c r="J63" i="1"/>
  <c r="H63" i="1"/>
  <c r="X61" i="1"/>
  <c r="V61" i="1"/>
  <c r="S61" i="1"/>
  <c r="Q61" i="1"/>
  <c r="O61" i="1"/>
  <c r="M61" i="1"/>
  <c r="H61" i="1"/>
  <c r="U45" i="1"/>
  <c r="P45" i="1"/>
  <c r="O45" i="1"/>
  <c r="N45" i="1"/>
  <c r="J45" i="1"/>
  <c r="S39" i="1"/>
  <c r="J39" i="1"/>
  <c r="I39" i="1"/>
  <c r="H39" i="1"/>
  <c r="G39" i="1"/>
  <c r="X37" i="1"/>
  <c r="S37" i="1"/>
  <c r="Q37" i="1"/>
  <c r="J37" i="1"/>
  <c r="H37" i="1"/>
  <c r="X35" i="1"/>
  <c r="V35" i="1"/>
  <c r="S35" i="1"/>
  <c r="Q35" i="1"/>
  <c r="J35" i="1"/>
  <c r="H35" i="1"/>
  <c r="X34" i="1"/>
  <c r="S34" i="1"/>
  <c r="Q34" i="1"/>
  <c r="O34" i="1"/>
  <c r="J34" i="1"/>
  <c r="H34" i="1"/>
  <c r="X33" i="1"/>
  <c r="U33" i="1"/>
  <c r="T33" i="1"/>
  <c r="P33" i="1"/>
  <c r="K33" i="1"/>
  <c r="J33" i="1"/>
  <c r="X32" i="1"/>
  <c r="U32" i="1"/>
  <c r="T32" i="1"/>
  <c r="P32" i="1"/>
  <c r="K32" i="1"/>
  <c r="J32" i="1"/>
  <c r="X29" i="1"/>
  <c r="U29" i="1"/>
  <c r="T29" i="1"/>
  <c r="P29" i="1"/>
  <c r="O29" i="1"/>
  <c r="K29" i="1"/>
  <c r="J29" i="1"/>
  <c r="X28" i="1"/>
  <c r="U28" i="1"/>
  <c r="T28" i="1"/>
  <c r="S28" i="1"/>
  <c r="P28" i="1"/>
  <c r="O28" i="1"/>
  <c r="K28" i="1"/>
  <c r="J28" i="1"/>
  <c r="H28" i="1"/>
  <c r="S25" i="1"/>
  <c r="Q25" i="1"/>
  <c r="O25" i="1"/>
  <c r="J25" i="1"/>
  <c r="H25" i="1"/>
  <c r="S24" i="1"/>
  <c r="Q24" i="1"/>
  <c r="O24" i="1"/>
  <c r="J24" i="1"/>
  <c r="H24" i="1"/>
  <c r="S23" i="1"/>
  <c r="Q23" i="1"/>
  <c r="O23" i="1"/>
  <c r="J23" i="1"/>
  <c r="H23" i="1"/>
  <c r="S22" i="1"/>
  <c r="Q22" i="1"/>
  <c r="O22" i="1"/>
  <c r="J22" i="1"/>
  <c r="H22" i="1"/>
  <c r="H21" i="1"/>
  <c r="J21" i="1"/>
  <c r="S21" i="1"/>
  <c r="X19" i="1"/>
  <c r="Q19" i="1"/>
  <c r="O19" i="1"/>
  <c r="J19" i="1"/>
  <c r="H19" i="1"/>
  <c r="X18" i="1"/>
  <c r="S18" i="1"/>
  <c r="O18" i="1"/>
  <c r="J18" i="1"/>
  <c r="H18" i="1"/>
  <c r="X15" i="1"/>
  <c r="U15" i="1"/>
  <c r="S15" i="1"/>
  <c r="P15" i="1"/>
  <c r="O15" i="1"/>
  <c r="M15" i="1"/>
  <c r="L15" i="1"/>
  <c r="H15" i="1"/>
  <c r="T12" i="1"/>
  <c r="S12" i="1"/>
  <c r="Q12" i="1"/>
  <c r="O12" i="1"/>
  <c r="N12" i="1"/>
  <c r="M12" i="1"/>
  <c r="H12" i="1"/>
</calcChain>
</file>

<file path=xl/sharedStrings.xml><?xml version="1.0" encoding="utf-8"?>
<sst xmlns="http://schemas.openxmlformats.org/spreadsheetml/2006/main" count="229" uniqueCount="74">
  <si>
    <t>REF_01_A</t>
  </si>
  <si>
    <t>REF_01_B</t>
  </si>
  <si>
    <t>NA</t>
  </si>
  <si>
    <t>REF_02_A</t>
  </si>
  <si>
    <t>REF_02_B</t>
  </si>
  <si>
    <t>REF_03_A</t>
  </si>
  <si>
    <t>REF_03_B</t>
  </si>
  <si>
    <t>REF_04_A</t>
  </si>
  <si>
    <t>REF_04_B</t>
  </si>
  <si>
    <t>GRB_01_A</t>
  </si>
  <si>
    <t>GRB_01_B</t>
  </si>
  <si>
    <t>GRB_02_A</t>
  </si>
  <si>
    <t>GRB_02_B</t>
  </si>
  <si>
    <t>GRB_03_A</t>
  </si>
  <si>
    <t>GRB_03_B</t>
  </si>
  <si>
    <t>GRB_04_A</t>
  </si>
  <si>
    <t>GRB_04_B</t>
  </si>
  <si>
    <t>20_03_A</t>
  </si>
  <si>
    <t>20_03_B</t>
  </si>
  <si>
    <t>20_04_A</t>
  </si>
  <si>
    <t>20_04_B</t>
  </si>
  <si>
    <t>20_05_A</t>
  </si>
  <si>
    <t>20_05_B</t>
  </si>
  <si>
    <t>20_06_A</t>
  </si>
  <si>
    <t>20_06_B</t>
  </si>
  <si>
    <t>10_10_A</t>
  </si>
  <si>
    <t>10_05_B</t>
  </si>
  <si>
    <t>10_06_A</t>
  </si>
  <si>
    <t>10_06_B</t>
  </si>
  <si>
    <t>10_10_B</t>
  </si>
  <si>
    <t>10_11_A</t>
  </si>
  <si>
    <t>10_11_B</t>
  </si>
  <si>
    <t>GRB_05_A</t>
  </si>
  <si>
    <t>GRB_05_B</t>
  </si>
  <si>
    <t>GRB_06_A</t>
  </si>
  <si>
    <t>GRB_06_B</t>
  </si>
  <si>
    <t>GRB_11_A</t>
  </si>
  <si>
    <t>GRB_11_B</t>
  </si>
  <si>
    <t>10_05_A</t>
  </si>
  <si>
    <t>site</t>
  </si>
  <si>
    <t>id</t>
  </si>
  <si>
    <t>disturbance</t>
  </si>
  <si>
    <t>estuary</t>
  </si>
  <si>
    <t>agre</t>
  </si>
  <si>
    <t>agsp</t>
  </si>
  <si>
    <t>atpa</t>
  </si>
  <si>
    <t>caly</t>
  </si>
  <si>
    <t>coco</t>
  </si>
  <si>
    <t>daca</t>
  </si>
  <si>
    <t>dece</t>
  </si>
  <si>
    <t>disp</t>
  </si>
  <si>
    <t>glma</t>
  </si>
  <si>
    <t>juba</t>
  </si>
  <si>
    <t>pofo</t>
  </si>
  <si>
    <t>popa</t>
  </si>
  <si>
    <t>sade</t>
  </si>
  <si>
    <t>spca</t>
  </si>
  <si>
    <t>sysu</t>
  </si>
  <si>
    <t>trwo</t>
  </si>
  <si>
    <t>trma</t>
  </si>
  <si>
    <t>ere</t>
  </si>
  <si>
    <t>nre</t>
  </si>
  <si>
    <t>lqre</t>
  </si>
  <si>
    <t>grubbed</t>
  </si>
  <si>
    <t>reference</t>
  </si>
  <si>
    <t>excl10</t>
  </si>
  <si>
    <t>elev</t>
  </si>
  <si>
    <t>sal</t>
  </si>
  <si>
    <t>bare</t>
  </si>
  <si>
    <t>"bare" is percent of plot not covered by aerial vegetation, calcualted as 100-(sum of plots)</t>
  </si>
  <si>
    <t>relative cover</t>
  </si>
  <si>
    <t>for any plots with &gt; 100 coverage (after bare ground calculation), all cover was standardized to be relative of 100%. (value/plot sum)*100</t>
  </si>
  <si>
    <t>elpar</t>
  </si>
  <si>
    <t>excl1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</si>
</sst>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76BF-CB5E-496A-9131-BCB1B651D8F3}">
  <dimension ref="A4:B5"/>
  <sheetViews>
    <sheetView workbookViewId="0">
      <selection activeCell="L13" sqref="L13"/>
    </sheetView>
  </sheetViews>
  <sheetFormatPr defaultRowHeight="14.5" x14ac:dyDescent="0.35"/>
  <sheetData>
    <row r="4" spans="1:2" x14ac:dyDescent="0.35">
      <c r="A4" t="s">
        <v>68</v>
      </c>
      <c r="B4" t="s">
        <v>69</v>
      </c>
    </row>
    <row r="5" spans="1:2" x14ac:dyDescent="0.35">
      <c r="A5" t="s">
        <v>70</v>
      </c>
      <c r="B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5E54-0B45-4B81-A2DF-8CDA466E2B4F}">
  <dimension ref="A1:Y65"/>
  <sheetViews>
    <sheetView tabSelected="1" workbookViewId="0">
      <pane ySplit="1" topLeftCell="A2" activePane="bottomLeft" state="frozen"/>
      <selection activeCell="I1" sqref="I1"/>
      <selection pane="bottomLeft" activeCell="D71" sqref="D71"/>
    </sheetView>
  </sheetViews>
  <sheetFormatPr defaultRowHeight="14.5" x14ac:dyDescent="0.35"/>
  <cols>
    <col min="2" max="2" width="13.90625" bestFit="1" customWidth="1"/>
    <col min="6" max="6" width="5.81640625" bestFit="1" customWidth="1"/>
    <col min="7" max="12" width="8.7265625" style="1"/>
  </cols>
  <sheetData>
    <row r="1" spans="1:25" x14ac:dyDescent="0.35">
      <c r="A1" t="s">
        <v>42</v>
      </c>
      <c r="B1" t="s">
        <v>41</v>
      </c>
      <c r="C1" t="s">
        <v>39</v>
      </c>
      <c r="D1" t="s">
        <v>40</v>
      </c>
      <c r="E1" t="s">
        <v>67</v>
      </c>
      <c r="F1" t="s">
        <v>66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t="s">
        <v>49</v>
      </c>
      <c r="N1" t="s">
        <v>50</v>
      </c>
      <c r="O1" t="s">
        <v>51</v>
      </c>
      <c r="P1" t="s">
        <v>72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68</v>
      </c>
    </row>
    <row r="2" spans="1:25" x14ac:dyDescent="0.35">
      <c r="A2" t="s">
        <v>60</v>
      </c>
      <c r="B2" t="s">
        <v>63</v>
      </c>
      <c r="C2" t="s">
        <v>9</v>
      </c>
      <c r="D2">
        <v>1</v>
      </c>
      <c r="E2">
        <v>1.63</v>
      </c>
      <c r="F2">
        <v>3.51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3">
        <v>0</v>
      </c>
      <c r="N2" s="3">
        <v>0</v>
      </c>
      <c r="O2" s="3">
        <v>20</v>
      </c>
      <c r="P2" s="3">
        <v>0</v>
      </c>
      <c r="Q2" s="3">
        <v>0</v>
      </c>
      <c r="R2" s="3">
        <v>0</v>
      </c>
      <c r="S2" s="3">
        <v>50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29</v>
      </c>
    </row>
    <row r="3" spans="1:25" x14ac:dyDescent="0.35">
      <c r="A3" t="s">
        <v>60</v>
      </c>
      <c r="B3" t="s">
        <v>63</v>
      </c>
      <c r="C3" t="s">
        <v>10</v>
      </c>
      <c r="D3">
        <v>2</v>
      </c>
      <c r="E3">
        <v>0.96</v>
      </c>
      <c r="F3">
        <v>3.44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3">
        <v>0</v>
      </c>
      <c r="N3" s="3">
        <v>0</v>
      </c>
      <c r="O3" s="3">
        <v>50</v>
      </c>
      <c r="P3" s="3">
        <v>12.5</v>
      </c>
      <c r="Q3" s="3">
        <v>0</v>
      </c>
      <c r="R3" s="3">
        <v>0</v>
      </c>
      <c r="S3" s="3">
        <v>18.75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17.75</v>
      </c>
    </row>
    <row r="4" spans="1:25" x14ac:dyDescent="0.35">
      <c r="A4" t="s">
        <v>60</v>
      </c>
      <c r="B4" t="s">
        <v>63</v>
      </c>
      <c r="C4" t="s">
        <v>11</v>
      </c>
      <c r="D4">
        <v>3</v>
      </c>
      <c r="E4">
        <v>13.42</v>
      </c>
      <c r="F4">
        <v>3.4049999999999998</v>
      </c>
      <c r="G4" s="2">
        <v>0</v>
      </c>
      <c r="H4" s="2">
        <v>0</v>
      </c>
      <c r="I4" s="2">
        <v>0</v>
      </c>
      <c r="J4" s="2">
        <v>0</v>
      </c>
      <c r="K4" s="2">
        <v>0.1</v>
      </c>
      <c r="L4" s="2">
        <v>0</v>
      </c>
      <c r="M4" s="3">
        <v>0</v>
      </c>
      <c r="N4" s="3">
        <v>0</v>
      </c>
      <c r="O4" s="3">
        <v>0</v>
      </c>
      <c r="P4" s="3">
        <v>20</v>
      </c>
      <c r="Q4" s="3">
        <v>0</v>
      </c>
      <c r="R4" s="3">
        <v>0</v>
      </c>
      <c r="S4" s="3">
        <v>0</v>
      </c>
      <c r="T4" s="3">
        <v>20</v>
      </c>
      <c r="U4" s="3">
        <v>1</v>
      </c>
      <c r="V4" s="3">
        <v>0</v>
      </c>
      <c r="W4" s="3">
        <v>0</v>
      </c>
      <c r="X4" s="3">
        <v>0</v>
      </c>
      <c r="Y4" s="3">
        <v>58.9</v>
      </c>
    </row>
    <row r="5" spans="1:25" x14ac:dyDescent="0.35">
      <c r="A5" t="s">
        <v>60</v>
      </c>
      <c r="B5" t="s">
        <v>63</v>
      </c>
      <c r="C5" t="s">
        <v>12</v>
      </c>
      <c r="D5">
        <v>4</v>
      </c>
      <c r="E5">
        <v>8.2200000000000006</v>
      </c>
      <c r="F5">
        <v>3.5</v>
      </c>
      <c r="G5" s="2">
        <v>0</v>
      </c>
      <c r="H5" s="2">
        <v>0.1</v>
      </c>
      <c r="I5" s="2">
        <v>0</v>
      </c>
      <c r="J5" s="2">
        <v>0</v>
      </c>
      <c r="K5" s="2">
        <v>3.125</v>
      </c>
      <c r="L5" s="2">
        <v>0</v>
      </c>
      <c r="M5" s="3">
        <v>0</v>
      </c>
      <c r="N5" s="3">
        <v>0</v>
      </c>
      <c r="O5" s="3">
        <v>1</v>
      </c>
      <c r="P5" s="3">
        <v>60</v>
      </c>
      <c r="Q5" s="3">
        <v>0</v>
      </c>
      <c r="R5" s="3">
        <v>0</v>
      </c>
      <c r="S5" s="3">
        <v>0</v>
      </c>
      <c r="T5" s="3">
        <v>15</v>
      </c>
      <c r="U5" s="3">
        <v>1</v>
      </c>
      <c r="V5" s="3">
        <v>0</v>
      </c>
      <c r="W5" s="3">
        <v>0</v>
      </c>
      <c r="X5" s="3">
        <v>0</v>
      </c>
      <c r="Y5" s="3">
        <v>19.775000000000006</v>
      </c>
    </row>
    <row r="6" spans="1:25" x14ac:dyDescent="0.35">
      <c r="A6" t="s">
        <v>60</v>
      </c>
      <c r="B6" t="s">
        <v>63</v>
      </c>
      <c r="C6" t="s">
        <v>13</v>
      </c>
      <c r="D6">
        <v>5</v>
      </c>
      <c r="E6">
        <v>12.48</v>
      </c>
      <c r="F6">
        <v>3.32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0</v>
      </c>
      <c r="N6" s="3">
        <v>0</v>
      </c>
      <c r="O6" s="3">
        <v>0</v>
      </c>
      <c r="P6" s="3">
        <v>2</v>
      </c>
      <c r="Q6" s="3">
        <v>0</v>
      </c>
      <c r="R6" s="3">
        <v>0</v>
      </c>
      <c r="S6" s="3">
        <v>0</v>
      </c>
      <c r="T6" s="3">
        <v>2</v>
      </c>
      <c r="U6" s="3">
        <v>1</v>
      </c>
      <c r="V6" s="3">
        <v>0</v>
      </c>
      <c r="W6" s="3">
        <v>0</v>
      </c>
      <c r="X6" s="3">
        <v>0</v>
      </c>
      <c r="Y6" s="3">
        <v>95</v>
      </c>
    </row>
    <row r="7" spans="1:25" x14ac:dyDescent="0.35">
      <c r="A7" t="s">
        <v>60</v>
      </c>
      <c r="B7" t="s">
        <v>63</v>
      </c>
      <c r="C7" t="s">
        <v>14</v>
      </c>
      <c r="D7">
        <v>6</v>
      </c>
      <c r="E7">
        <v>13.45</v>
      </c>
      <c r="F7">
        <v>3.3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>
        <v>0</v>
      </c>
      <c r="N7" s="3">
        <v>0</v>
      </c>
      <c r="O7" s="3">
        <v>0</v>
      </c>
      <c r="P7" s="3">
        <v>0</v>
      </c>
      <c r="Q7" s="3">
        <v>10</v>
      </c>
      <c r="R7" s="3">
        <v>0</v>
      </c>
      <c r="S7" s="3">
        <v>0</v>
      </c>
      <c r="T7" s="3">
        <v>2</v>
      </c>
      <c r="U7" s="3">
        <v>1</v>
      </c>
      <c r="V7" s="3">
        <v>0</v>
      </c>
      <c r="W7" s="3">
        <v>0</v>
      </c>
      <c r="X7" s="3">
        <v>0</v>
      </c>
      <c r="Y7" s="3">
        <v>87</v>
      </c>
    </row>
    <row r="8" spans="1:25" x14ac:dyDescent="0.35">
      <c r="A8" t="s">
        <v>60</v>
      </c>
      <c r="B8" t="s">
        <v>63</v>
      </c>
      <c r="C8" t="s">
        <v>15</v>
      </c>
      <c r="D8">
        <v>7</v>
      </c>
      <c r="E8">
        <v>13.73</v>
      </c>
      <c r="F8">
        <v>3.4449999999999998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3">
        <v>0</v>
      </c>
      <c r="O8" s="3">
        <v>0</v>
      </c>
      <c r="P8" s="3">
        <v>50</v>
      </c>
      <c r="Q8" s="3">
        <v>0</v>
      </c>
      <c r="R8" s="3">
        <v>0</v>
      </c>
      <c r="S8" s="3">
        <v>0</v>
      </c>
      <c r="T8" s="3">
        <v>33</v>
      </c>
      <c r="U8" s="3">
        <v>6.25</v>
      </c>
      <c r="V8" s="3">
        <v>0</v>
      </c>
      <c r="W8" s="3">
        <v>0</v>
      </c>
      <c r="X8" s="3">
        <v>0</v>
      </c>
      <c r="Y8" s="3">
        <v>10.75</v>
      </c>
    </row>
    <row r="9" spans="1:25" x14ac:dyDescent="0.35">
      <c r="A9" t="s">
        <v>60</v>
      </c>
      <c r="B9" t="s">
        <v>63</v>
      </c>
      <c r="C9" t="s">
        <v>16</v>
      </c>
      <c r="D9">
        <v>8</v>
      </c>
      <c r="E9">
        <v>13.56</v>
      </c>
      <c r="F9">
        <v>3.4249999999999998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0</v>
      </c>
      <c r="N9" s="3">
        <v>0</v>
      </c>
      <c r="O9" s="3">
        <v>0</v>
      </c>
      <c r="P9" s="3">
        <v>25</v>
      </c>
      <c r="Q9" s="3">
        <v>0</v>
      </c>
      <c r="R9" s="3">
        <v>0</v>
      </c>
      <c r="S9" s="3">
        <v>0</v>
      </c>
      <c r="T9" s="3">
        <v>20</v>
      </c>
      <c r="U9" s="3">
        <v>18.75</v>
      </c>
      <c r="V9" s="3">
        <v>0</v>
      </c>
      <c r="W9" s="3">
        <v>0</v>
      </c>
      <c r="X9" s="3">
        <v>0</v>
      </c>
      <c r="Y9" s="3">
        <v>36.25</v>
      </c>
    </row>
    <row r="10" spans="1:25" x14ac:dyDescent="0.35">
      <c r="A10" t="s">
        <v>60</v>
      </c>
      <c r="B10" t="s">
        <v>64</v>
      </c>
      <c r="C10" t="s">
        <v>0</v>
      </c>
      <c r="D10">
        <v>9</v>
      </c>
      <c r="E10">
        <v>10.199999999999999</v>
      </c>
      <c r="F10">
        <v>3.56</v>
      </c>
      <c r="G10" s="2">
        <v>0</v>
      </c>
      <c r="H10" s="2">
        <v>0</v>
      </c>
      <c r="I10" s="2">
        <v>0</v>
      </c>
      <c r="J10" s="2">
        <v>0</v>
      </c>
      <c r="K10" s="2">
        <v>0.1</v>
      </c>
      <c r="L10" s="2">
        <v>0</v>
      </c>
      <c r="M10" s="3">
        <v>0</v>
      </c>
      <c r="N10" s="3">
        <v>0</v>
      </c>
      <c r="O10" s="3">
        <v>0</v>
      </c>
      <c r="P10" s="3">
        <v>2</v>
      </c>
      <c r="Q10" s="3">
        <v>90</v>
      </c>
      <c r="R10" s="3">
        <v>0</v>
      </c>
      <c r="S10" s="3">
        <v>0</v>
      </c>
      <c r="T10" s="3">
        <v>2</v>
      </c>
      <c r="U10" s="3">
        <v>2</v>
      </c>
      <c r="V10" s="3">
        <v>0</v>
      </c>
      <c r="W10" s="3">
        <v>0</v>
      </c>
      <c r="X10" s="3">
        <v>0</v>
      </c>
      <c r="Y10" s="3">
        <v>3.9000000000000057</v>
      </c>
    </row>
    <row r="11" spans="1:25" x14ac:dyDescent="0.35">
      <c r="A11" t="s">
        <v>60</v>
      </c>
      <c r="B11" t="s">
        <v>64</v>
      </c>
      <c r="C11" t="s">
        <v>1</v>
      </c>
      <c r="D11">
        <v>10</v>
      </c>
      <c r="E11">
        <v>9.35</v>
      </c>
      <c r="F11">
        <v>3.5799999999999996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3">
        <v>0</v>
      </c>
      <c r="N11" s="3">
        <v>0</v>
      </c>
      <c r="O11" s="3">
        <v>0</v>
      </c>
      <c r="P11" s="3">
        <v>2</v>
      </c>
      <c r="Q11" s="3">
        <v>60</v>
      </c>
      <c r="R11" s="3">
        <v>0</v>
      </c>
      <c r="S11" s="3">
        <v>0</v>
      </c>
      <c r="T11" s="3">
        <v>25</v>
      </c>
      <c r="U11" s="3">
        <v>2</v>
      </c>
      <c r="V11" s="3">
        <v>0</v>
      </c>
      <c r="W11" s="3">
        <v>0</v>
      </c>
      <c r="X11" s="3">
        <v>0</v>
      </c>
      <c r="Y11" s="3">
        <v>9</v>
      </c>
    </row>
    <row r="12" spans="1:25" x14ac:dyDescent="0.35">
      <c r="A12" t="s">
        <v>60</v>
      </c>
      <c r="B12" t="s">
        <v>64</v>
      </c>
      <c r="C12" t="s">
        <v>3</v>
      </c>
      <c r="D12">
        <v>11</v>
      </c>
      <c r="E12">
        <v>0.81399999999999995</v>
      </c>
      <c r="F12">
        <v>3.5999999999999996</v>
      </c>
      <c r="G12" s="2">
        <v>0</v>
      </c>
      <c r="H12" s="2">
        <f>(20/113.5)*100</f>
        <v>17.621145374449341</v>
      </c>
      <c r="I12" s="2">
        <v>0</v>
      </c>
      <c r="J12" s="2">
        <v>0</v>
      </c>
      <c r="K12" s="2">
        <v>0</v>
      </c>
      <c r="L12" s="2">
        <v>0</v>
      </c>
      <c r="M12" s="3">
        <f>(12.5/113.5)*100</f>
        <v>11.013215859030836</v>
      </c>
      <c r="N12" s="3">
        <f>(20/113.5)*100</f>
        <v>17.621145374449341</v>
      </c>
      <c r="O12" s="3">
        <f>(1/113.5)*100</f>
        <v>0.88105726872246704</v>
      </c>
      <c r="P12" s="3">
        <v>0</v>
      </c>
      <c r="Q12" s="3">
        <f>(25/113.5)*100</f>
        <v>22.026431718061673</v>
      </c>
      <c r="R12" s="3">
        <v>0</v>
      </c>
      <c r="S12" s="3">
        <f>(33/113.5)*100</f>
        <v>29.074889867841406</v>
      </c>
      <c r="T12" s="3">
        <f>(2/113.5)*100</f>
        <v>1.7621145374449341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35">
      <c r="A13" t="s">
        <v>60</v>
      </c>
      <c r="B13" t="s">
        <v>64</v>
      </c>
      <c r="C13" t="s">
        <v>4</v>
      </c>
      <c r="D13">
        <v>12</v>
      </c>
      <c r="E13">
        <v>0.43</v>
      </c>
      <c r="F13">
        <v>3.5349999999999997</v>
      </c>
      <c r="G13" s="2">
        <v>0</v>
      </c>
      <c r="H13" s="2">
        <v>3.125</v>
      </c>
      <c r="I13" s="2">
        <v>0</v>
      </c>
      <c r="J13" s="2">
        <v>0</v>
      </c>
      <c r="K13" s="2">
        <v>0</v>
      </c>
      <c r="L13" s="2">
        <v>0</v>
      </c>
      <c r="M13" s="3">
        <v>60</v>
      </c>
      <c r="N13" s="3">
        <v>6.25</v>
      </c>
      <c r="O13" s="3">
        <v>2</v>
      </c>
      <c r="P13" s="3">
        <v>0</v>
      </c>
      <c r="Q13" s="3">
        <v>12.5</v>
      </c>
      <c r="R13" s="3">
        <v>0</v>
      </c>
      <c r="S13" s="3">
        <v>12.5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2.625</v>
      </c>
    </row>
    <row r="14" spans="1:25" x14ac:dyDescent="0.35">
      <c r="A14" t="s">
        <v>60</v>
      </c>
      <c r="B14" t="s">
        <v>64</v>
      </c>
      <c r="C14" t="s">
        <v>5</v>
      </c>
      <c r="D14">
        <v>13</v>
      </c>
      <c r="E14">
        <v>0.52</v>
      </c>
      <c r="F14">
        <v>3.4249999999999998</v>
      </c>
      <c r="G14" s="2">
        <v>0</v>
      </c>
      <c r="H14" s="2">
        <v>1</v>
      </c>
      <c r="I14" s="2">
        <v>0</v>
      </c>
      <c r="J14" s="2">
        <v>0.1</v>
      </c>
      <c r="K14" s="2">
        <v>0</v>
      </c>
      <c r="L14" s="2">
        <v>0</v>
      </c>
      <c r="M14" s="3">
        <v>25</v>
      </c>
      <c r="N14" s="3">
        <v>1</v>
      </c>
      <c r="O14" s="3">
        <v>6.25</v>
      </c>
      <c r="P14" s="3">
        <v>0</v>
      </c>
      <c r="Q14" s="3">
        <v>0</v>
      </c>
      <c r="R14" s="3">
        <v>0</v>
      </c>
      <c r="S14" s="3">
        <v>15.625</v>
      </c>
      <c r="T14" s="3">
        <v>6.25</v>
      </c>
      <c r="U14" s="3">
        <v>0</v>
      </c>
      <c r="V14" s="3">
        <v>0</v>
      </c>
      <c r="W14" s="3">
        <v>0</v>
      </c>
      <c r="X14" s="3">
        <v>0</v>
      </c>
      <c r="Y14" s="3">
        <v>44.774999999999999</v>
      </c>
    </row>
    <row r="15" spans="1:25" x14ac:dyDescent="0.35">
      <c r="A15" t="s">
        <v>60</v>
      </c>
      <c r="B15" t="s">
        <v>64</v>
      </c>
      <c r="C15" t="s">
        <v>6</v>
      </c>
      <c r="D15">
        <v>14</v>
      </c>
      <c r="E15">
        <v>1.82</v>
      </c>
      <c r="F15">
        <v>3.7349999999999999</v>
      </c>
      <c r="G15" s="2">
        <v>0</v>
      </c>
      <c r="H15" s="2">
        <f>(6.25/117.35)*100</f>
        <v>5.3259480187473374</v>
      </c>
      <c r="I15" s="2">
        <v>0</v>
      </c>
      <c r="J15" s="2">
        <v>0</v>
      </c>
      <c r="K15" s="2">
        <v>0</v>
      </c>
      <c r="L15" s="2">
        <f>(0.1/117.35)*100</f>
        <v>8.52151682999574E-2</v>
      </c>
      <c r="M15" s="3">
        <f>(75/117.35)*100</f>
        <v>63.911376224968052</v>
      </c>
      <c r="N15" s="3">
        <v>0</v>
      </c>
      <c r="O15" s="3">
        <f>(2/117.35)*100</f>
        <v>1.704303365999148</v>
      </c>
      <c r="P15" s="3">
        <f>(2/117.35)*100</f>
        <v>1.704303365999148</v>
      </c>
      <c r="Q15" s="3">
        <v>0</v>
      </c>
      <c r="R15" s="3">
        <v>0</v>
      </c>
      <c r="S15" s="3">
        <f>(30/117.35)*100</f>
        <v>25.564550489987219</v>
      </c>
      <c r="T15" s="3">
        <v>0</v>
      </c>
      <c r="U15" s="3">
        <f>(1/117.35)*100</f>
        <v>0.852151682999574</v>
      </c>
      <c r="V15" s="3">
        <v>0</v>
      </c>
      <c r="W15" s="3">
        <v>0</v>
      </c>
      <c r="X15" s="3">
        <f>(1/117.35)*100</f>
        <v>0.852151682999574</v>
      </c>
      <c r="Y15" s="3">
        <v>0</v>
      </c>
    </row>
    <row r="16" spans="1:25" x14ac:dyDescent="0.35">
      <c r="A16" t="s">
        <v>60</v>
      </c>
      <c r="B16" t="s">
        <v>64</v>
      </c>
      <c r="C16" t="s">
        <v>7</v>
      </c>
      <c r="D16">
        <v>15</v>
      </c>
      <c r="E16">
        <v>0.47</v>
      </c>
      <c r="F16">
        <v>3.5649999999999999</v>
      </c>
      <c r="G16" s="2">
        <v>0</v>
      </c>
      <c r="H16" s="2">
        <v>12.5</v>
      </c>
      <c r="I16" s="2">
        <v>0</v>
      </c>
      <c r="J16" s="2">
        <v>0</v>
      </c>
      <c r="K16" s="2">
        <v>0</v>
      </c>
      <c r="L16" s="2">
        <v>0</v>
      </c>
      <c r="M16" s="3">
        <v>6.25</v>
      </c>
      <c r="N16" s="3">
        <v>1</v>
      </c>
      <c r="O16" s="3">
        <v>0</v>
      </c>
      <c r="P16" s="3">
        <v>0</v>
      </c>
      <c r="Q16" s="3">
        <v>25</v>
      </c>
      <c r="R16" s="3">
        <v>0</v>
      </c>
      <c r="S16" s="3">
        <v>6.25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49</v>
      </c>
    </row>
    <row r="17" spans="1:25" x14ac:dyDescent="0.35">
      <c r="A17" t="s">
        <v>60</v>
      </c>
      <c r="B17" t="s">
        <v>64</v>
      </c>
      <c r="C17" t="s">
        <v>8</v>
      </c>
      <c r="D17">
        <v>16</v>
      </c>
      <c r="E17">
        <v>0.61</v>
      </c>
      <c r="F17">
        <v>3.9449999999999998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3">
        <v>0.1</v>
      </c>
      <c r="N17" s="3">
        <v>0</v>
      </c>
      <c r="O17" s="3">
        <v>0</v>
      </c>
      <c r="P17" s="3">
        <v>0</v>
      </c>
      <c r="Q17" s="3">
        <v>95</v>
      </c>
      <c r="R17" s="3">
        <v>0</v>
      </c>
      <c r="S17" s="3">
        <v>3.125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0.77500000000000568</v>
      </c>
    </row>
    <row r="18" spans="1:25" x14ac:dyDescent="0.35">
      <c r="A18" t="s">
        <v>62</v>
      </c>
      <c r="B18" t="s">
        <v>65</v>
      </c>
      <c r="C18" t="s">
        <v>38</v>
      </c>
      <c r="D18">
        <v>17</v>
      </c>
      <c r="E18">
        <v>6.56</v>
      </c>
      <c r="F18">
        <v>3.46</v>
      </c>
      <c r="G18" s="2">
        <v>0</v>
      </c>
      <c r="H18" s="2">
        <f>(80/138.25)*100</f>
        <v>57.866184448462931</v>
      </c>
      <c r="I18" s="2">
        <v>0</v>
      </c>
      <c r="J18" s="2">
        <f>(1/138.25)*100</f>
        <v>0.72332730560578662</v>
      </c>
      <c r="K18" s="2">
        <v>0</v>
      </c>
      <c r="L18" s="2">
        <v>0</v>
      </c>
      <c r="M18" s="3">
        <v>0</v>
      </c>
      <c r="N18" s="3">
        <v>0</v>
      </c>
      <c r="O18" s="3">
        <f>(1/138.25)*100</f>
        <v>0.72332730560578662</v>
      </c>
      <c r="P18" s="3">
        <v>0</v>
      </c>
      <c r="Q18" s="3">
        <v>0</v>
      </c>
      <c r="R18" s="3">
        <v>0</v>
      </c>
      <c r="S18" s="3">
        <f>(50/138.25)*100</f>
        <v>36.166365280289334</v>
      </c>
      <c r="T18" s="3">
        <v>0</v>
      </c>
      <c r="U18" s="3">
        <v>0</v>
      </c>
      <c r="V18" s="3">
        <v>0</v>
      </c>
      <c r="W18" s="3">
        <v>0</v>
      </c>
      <c r="X18" s="3">
        <f>(6.25/138.25)*100</f>
        <v>4.5207956600361667</v>
      </c>
      <c r="Y18" s="3">
        <v>0</v>
      </c>
    </row>
    <row r="19" spans="1:25" x14ac:dyDescent="0.35">
      <c r="A19" t="s">
        <v>62</v>
      </c>
      <c r="B19" t="s">
        <v>65</v>
      </c>
      <c r="C19" t="s">
        <v>26</v>
      </c>
      <c r="D19">
        <v>18</v>
      </c>
      <c r="E19">
        <v>6.45</v>
      </c>
      <c r="F19">
        <v>3.4850000000000003</v>
      </c>
      <c r="G19" s="2">
        <v>0</v>
      </c>
      <c r="H19" s="2">
        <f>(85/131.975)*100</f>
        <v>64.406137526046606</v>
      </c>
      <c r="I19" s="2">
        <v>0</v>
      </c>
      <c r="J19" s="2">
        <f>(0.1/131.975)*100</f>
        <v>7.5771926501231296E-2</v>
      </c>
      <c r="K19" s="2">
        <v>0</v>
      </c>
      <c r="L19" s="2">
        <v>0</v>
      </c>
      <c r="M19" s="3">
        <v>0</v>
      </c>
      <c r="N19" s="3">
        <v>0</v>
      </c>
      <c r="O19" s="3">
        <f>(3.125/131.975)*100</f>
        <v>2.3678727031634783</v>
      </c>
      <c r="P19" s="3">
        <v>0</v>
      </c>
      <c r="Q19" s="3">
        <f>(18.75/131.975)*100</f>
        <v>14.207236218980867</v>
      </c>
      <c r="R19" s="3">
        <v>0</v>
      </c>
      <c r="S19" s="3">
        <v>14.21</v>
      </c>
      <c r="T19" s="3">
        <v>0</v>
      </c>
      <c r="U19" s="3">
        <v>0</v>
      </c>
      <c r="V19" s="3">
        <v>0</v>
      </c>
      <c r="W19" s="3">
        <v>0</v>
      </c>
      <c r="X19" s="3">
        <f>(6.25/131.975)*100</f>
        <v>4.7357454063269566</v>
      </c>
      <c r="Y19" s="3">
        <v>0</v>
      </c>
    </row>
    <row r="20" spans="1:25" x14ac:dyDescent="0.35">
      <c r="A20" t="s">
        <v>62</v>
      </c>
      <c r="B20" t="s">
        <v>65</v>
      </c>
      <c r="C20" t="s">
        <v>27</v>
      </c>
      <c r="D20">
        <v>19</v>
      </c>
      <c r="E20" t="s">
        <v>2</v>
      </c>
      <c r="F20">
        <v>3.2350000000000003</v>
      </c>
      <c r="G20" s="2">
        <v>0</v>
      </c>
      <c r="H20" s="2">
        <v>40</v>
      </c>
      <c r="I20" s="2">
        <v>0</v>
      </c>
      <c r="J20" s="2">
        <v>50</v>
      </c>
      <c r="K20" s="2">
        <v>0</v>
      </c>
      <c r="L20" s="2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9</v>
      </c>
    </row>
    <row r="21" spans="1:25" x14ac:dyDescent="0.35">
      <c r="A21" t="s">
        <v>62</v>
      </c>
      <c r="B21" t="s">
        <v>65</v>
      </c>
      <c r="C21" t="s">
        <v>28</v>
      </c>
      <c r="D21">
        <v>20</v>
      </c>
      <c r="E21" t="s">
        <v>2</v>
      </c>
      <c r="F21">
        <v>3.3</v>
      </c>
      <c r="G21" s="2">
        <v>0</v>
      </c>
      <c r="H21" s="2">
        <f>(35/115.1)*100</f>
        <v>30.408340573414421</v>
      </c>
      <c r="I21" s="2">
        <v>0</v>
      </c>
      <c r="J21" s="2">
        <f>(80/115.1)*100</f>
        <v>69.504778453518682</v>
      </c>
      <c r="K21" s="2">
        <v>0</v>
      </c>
      <c r="L21" s="2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>(0.1/115.1)*100</f>
        <v>8.6880973066898348E-2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35">
      <c r="A22" t="s">
        <v>62</v>
      </c>
      <c r="B22" t="s">
        <v>65</v>
      </c>
      <c r="C22" t="s">
        <v>25</v>
      </c>
      <c r="D22">
        <v>21</v>
      </c>
      <c r="E22">
        <v>6.47</v>
      </c>
      <c r="F22">
        <v>3.46</v>
      </c>
      <c r="G22" s="2">
        <v>0</v>
      </c>
      <c r="H22" s="2">
        <f>(90/109.75)*100</f>
        <v>82.004555808656036</v>
      </c>
      <c r="I22" s="2">
        <v>0</v>
      </c>
      <c r="J22" s="2">
        <f>(6.25/109.75)*100</f>
        <v>5.6947608200455582</v>
      </c>
      <c r="K22" s="2">
        <v>0</v>
      </c>
      <c r="L22" s="2">
        <v>0</v>
      </c>
      <c r="M22" s="3">
        <v>0</v>
      </c>
      <c r="N22" s="3">
        <v>0</v>
      </c>
      <c r="O22" s="3">
        <f>(1/109.75)*100</f>
        <v>0.91116173120728927</v>
      </c>
      <c r="P22" s="3">
        <v>0</v>
      </c>
      <c r="Q22" s="3">
        <f>(6.25/109.75)*100</f>
        <v>5.6947608200455582</v>
      </c>
      <c r="R22" s="3">
        <v>0</v>
      </c>
      <c r="S22" s="3">
        <f>(6.25/109.75)*100</f>
        <v>5.6947608200455582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35">
      <c r="A23" t="s">
        <v>62</v>
      </c>
      <c r="B23" t="s">
        <v>65</v>
      </c>
      <c r="C23" t="s">
        <v>29</v>
      </c>
      <c r="D23">
        <v>22</v>
      </c>
      <c r="E23">
        <v>7.76</v>
      </c>
      <c r="F23">
        <v>3.3600000000000003</v>
      </c>
      <c r="G23" s="2">
        <v>0</v>
      </c>
      <c r="H23" s="2">
        <f>(80/115.375)*100</f>
        <v>69.339111592632719</v>
      </c>
      <c r="I23" s="2">
        <v>0</v>
      </c>
      <c r="J23" s="2">
        <f>(25/115.375)*100</f>
        <v>21.668472372697725</v>
      </c>
      <c r="K23" s="2">
        <v>0</v>
      </c>
      <c r="L23" s="2">
        <v>0</v>
      </c>
      <c r="M23" s="3">
        <v>0</v>
      </c>
      <c r="N23" s="3">
        <v>0</v>
      </c>
      <c r="O23" s="3">
        <f>(1/115.375)*100</f>
        <v>0.8667388949079089</v>
      </c>
      <c r="P23" s="3">
        <v>0</v>
      </c>
      <c r="Q23" s="3">
        <f>(3.125/115.375)*100</f>
        <v>2.7085590465872156</v>
      </c>
      <c r="R23" s="3">
        <v>0</v>
      </c>
      <c r="S23" s="3">
        <f>(6.25/115.375)*100</f>
        <v>5.4171180931744312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35">
      <c r="A24" t="s">
        <v>62</v>
      </c>
      <c r="B24" t="s">
        <v>65</v>
      </c>
      <c r="C24" t="s">
        <v>30</v>
      </c>
      <c r="D24">
        <v>23</v>
      </c>
      <c r="E24">
        <v>5.61</v>
      </c>
      <c r="F24">
        <v>3.48</v>
      </c>
      <c r="G24" s="2">
        <v>0</v>
      </c>
      <c r="H24" s="2">
        <f>(80/109.125)*100</f>
        <v>73.310423825887739</v>
      </c>
      <c r="I24" s="2">
        <v>0</v>
      </c>
      <c r="J24" s="2">
        <f>(6.25/109.125)*100</f>
        <v>5.72737686139748</v>
      </c>
      <c r="K24" s="2">
        <v>0</v>
      </c>
      <c r="L24" s="2">
        <v>0</v>
      </c>
      <c r="M24" s="3">
        <v>0</v>
      </c>
      <c r="N24" s="3">
        <v>0</v>
      </c>
      <c r="O24" s="3">
        <f>(1/109.125)*100</f>
        <v>0.91638029782359687</v>
      </c>
      <c r="P24" s="3">
        <v>0</v>
      </c>
      <c r="Q24" s="3">
        <f>(9.375/109.125)*100</f>
        <v>8.5910652920962196</v>
      </c>
      <c r="R24" s="3">
        <v>0</v>
      </c>
      <c r="S24" s="3">
        <f>(12.5/109.125)*100</f>
        <v>11.45475372279496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35">
      <c r="A25" t="s">
        <v>62</v>
      </c>
      <c r="B25" t="s">
        <v>65</v>
      </c>
      <c r="C25" t="s">
        <v>31</v>
      </c>
      <c r="D25">
        <v>24</v>
      </c>
      <c r="E25">
        <v>5.4</v>
      </c>
      <c r="F25">
        <v>3.51</v>
      </c>
      <c r="G25" s="2">
        <v>0</v>
      </c>
      <c r="H25" s="2">
        <f>(65/117)*100</f>
        <v>55.555555555555557</v>
      </c>
      <c r="I25" s="2">
        <v>0</v>
      </c>
      <c r="J25" s="2">
        <f>(1/117)*100</f>
        <v>0.85470085470085477</v>
      </c>
      <c r="K25" s="2">
        <v>0</v>
      </c>
      <c r="L25" s="2">
        <v>0</v>
      </c>
      <c r="M25" s="3">
        <v>0</v>
      </c>
      <c r="N25" s="3">
        <v>0</v>
      </c>
      <c r="O25" s="3">
        <f>(1/117)*100</f>
        <v>0.85470085470085477</v>
      </c>
      <c r="P25" s="3">
        <v>0</v>
      </c>
      <c r="Q25" s="3">
        <f>(10/117)*100</f>
        <v>8.5470085470085468</v>
      </c>
      <c r="R25" s="3">
        <v>0</v>
      </c>
      <c r="S25" s="3">
        <f>(40/117)*100</f>
        <v>34.188034188034187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 x14ac:dyDescent="0.35">
      <c r="A26" t="s">
        <v>62</v>
      </c>
      <c r="B26" t="s">
        <v>63</v>
      </c>
      <c r="C26" t="s">
        <v>15</v>
      </c>
      <c r="D26">
        <v>25</v>
      </c>
      <c r="E26">
        <v>7.02</v>
      </c>
      <c r="F26">
        <v>2.9800000000000004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3">
        <v>0</v>
      </c>
      <c r="O26" s="3">
        <v>6.25</v>
      </c>
      <c r="P26" s="3">
        <v>25</v>
      </c>
      <c r="Q26" s="3">
        <v>0</v>
      </c>
      <c r="R26" s="3">
        <v>0</v>
      </c>
      <c r="S26" s="3">
        <v>0</v>
      </c>
      <c r="T26" s="3">
        <v>1</v>
      </c>
      <c r="U26" s="3">
        <v>3.125</v>
      </c>
      <c r="V26" s="3">
        <v>0</v>
      </c>
      <c r="W26" s="3">
        <v>0</v>
      </c>
      <c r="X26" s="3">
        <v>0</v>
      </c>
      <c r="Y26" s="3">
        <v>64.625</v>
      </c>
    </row>
    <row r="27" spans="1:25" x14ac:dyDescent="0.35">
      <c r="A27" t="s">
        <v>62</v>
      </c>
      <c r="B27" t="s">
        <v>63</v>
      </c>
      <c r="C27" t="s">
        <v>16</v>
      </c>
      <c r="D27">
        <v>26</v>
      </c>
      <c r="E27">
        <v>10.62</v>
      </c>
      <c r="F27">
        <v>3.06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3">
        <v>0</v>
      </c>
      <c r="N27" s="3">
        <v>0</v>
      </c>
      <c r="O27" s="3">
        <v>0</v>
      </c>
      <c r="P27" s="3">
        <v>25</v>
      </c>
      <c r="Q27" s="3">
        <v>0</v>
      </c>
      <c r="R27" s="3">
        <v>0</v>
      </c>
      <c r="S27" s="3">
        <v>0</v>
      </c>
      <c r="T27" s="3">
        <v>1</v>
      </c>
      <c r="U27" s="3">
        <v>3.125</v>
      </c>
      <c r="V27" s="3">
        <v>0</v>
      </c>
      <c r="W27" s="3">
        <v>0</v>
      </c>
      <c r="X27" s="3">
        <v>1</v>
      </c>
      <c r="Y27" s="3">
        <v>68.875</v>
      </c>
    </row>
    <row r="28" spans="1:25" x14ac:dyDescent="0.35">
      <c r="A28" t="s">
        <v>62</v>
      </c>
      <c r="B28" t="s">
        <v>63</v>
      </c>
      <c r="C28" t="s">
        <v>32</v>
      </c>
      <c r="D28">
        <v>27</v>
      </c>
      <c r="E28">
        <v>3.75</v>
      </c>
      <c r="F28">
        <v>2.9400000000000004</v>
      </c>
      <c r="G28" s="2">
        <v>0</v>
      </c>
      <c r="H28" s="2">
        <f>(1/188.5)*100</f>
        <v>0.53050397877984079</v>
      </c>
      <c r="I28" s="2">
        <v>0</v>
      </c>
      <c r="J28" s="2">
        <f>(9.375/188.5)*100</f>
        <v>4.9734748010610081</v>
      </c>
      <c r="K28" s="2">
        <f>(3.125/188.5)*100</f>
        <v>1.6578249336870028</v>
      </c>
      <c r="L28" s="2">
        <v>0</v>
      </c>
      <c r="M28" s="3">
        <v>0</v>
      </c>
      <c r="N28" s="3">
        <v>0</v>
      </c>
      <c r="O28" s="3">
        <f>(75/188.5)*100</f>
        <v>39.787798408488065</v>
      </c>
      <c r="P28" s="3">
        <f>(50/188.5)*100</f>
        <v>26.525198938992045</v>
      </c>
      <c r="Q28" s="3">
        <v>0</v>
      </c>
      <c r="R28" s="3">
        <v>0</v>
      </c>
      <c r="S28" s="3">
        <f>(18.75/188.5)*100</f>
        <v>9.9469496021220163</v>
      </c>
      <c r="T28" s="3">
        <f>(3.125/188.5)*100</f>
        <v>1.6578249336870028</v>
      </c>
      <c r="U28" s="3">
        <f>(25/188.5)*100</f>
        <v>13.262599469496022</v>
      </c>
      <c r="V28" s="3">
        <v>0</v>
      </c>
      <c r="W28" s="3">
        <v>0</v>
      </c>
      <c r="X28" s="3">
        <f>(3.125/188.5)*100</f>
        <v>1.6578249336870028</v>
      </c>
      <c r="Y28" s="3">
        <v>0</v>
      </c>
    </row>
    <row r="29" spans="1:25" x14ac:dyDescent="0.35">
      <c r="A29" t="s">
        <v>62</v>
      </c>
      <c r="B29" t="s">
        <v>63</v>
      </c>
      <c r="C29" t="s">
        <v>33</v>
      </c>
      <c r="D29">
        <v>28</v>
      </c>
      <c r="E29">
        <v>5.17</v>
      </c>
      <c r="F29">
        <v>2.83</v>
      </c>
      <c r="G29" s="2">
        <v>0</v>
      </c>
      <c r="H29" s="2">
        <v>0</v>
      </c>
      <c r="I29" s="2">
        <v>0</v>
      </c>
      <c r="J29" s="2">
        <f>(12.5/154.25)*100</f>
        <v>8.1037277147487838</v>
      </c>
      <c r="K29" s="2">
        <f>(18.75/154.25)*100</f>
        <v>12.155591572123177</v>
      </c>
      <c r="L29" s="2">
        <v>0</v>
      </c>
      <c r="M29" s="3">
        <v>0</v>
      </c>
      <c r="N29" s="3">
        <v>0</v>
      </c>
      <c r="O29" s="3">
        <f>(1/154.25)*100</f>
        <v>0.64829821717990277</v>
      </c>
      <c r="P29" s="3">
        <f>(75/154.25)*100</f>
        <v>48.622366288492707</v>
      </c>
      <c r="Q29" s="3">
        <v>0</v>
      </c>
      <c r="R29" s="3">
        <v>0</v>
      </c>
      <c r="S29" s="3">
        <v>0</v>
      </c>
      <c r="T29" s="3">
        <f>(1/154.25)*100</f>
        <v>0.64829821717990277</v>
      </c>
      <c r="U29" s="3">
        <f>(45/154.25)*100</f>
        <v>29.17341977309562</v>
      </c>
      <c r="V29" s="3">
        <v>0</v>
      </c>
      <c r="W29" s="3">
        <v>0</v>
      </c>
      <c r="X29" s="3">
        <f>(1/154.25)*100</f>
        <v>0.64829821717990277</v>
      </c>
      <c r="Y29" s="3">
        <v>0</v>
      </c>
    </row>
    <row r="30" spans="1:25" x14ac:dyDescent="0.35">
      <c r="A30" t="s">
        <v>62</v>
      </c>
      <c r="B30" t="s">
        <v>63</v>
      </c>
      <c r="C30" t="s">
        <v>34</v>
      </c>
      <c r="D30">
        <v>29</v>
      </c>
      <c r="E30">
        <v>3.71</v>
      </c>
      <c r="F30">
        <v>2.92</v>
      </c>
      <c r="G30" s="2">
        <v>0</v>
      </c>
      <c r="H30" s="2">
        <v>1</v>
      </c>
      <c r="I30" s="2">
        <v>0</v>
      </c>
      <c r="J30" s="2">
        <v>0</v>
      </c>
      <c r="K30" s="2">
        <v>1</v>
      </c>
      <c r="L30" s="2">
        <v>0</v>
      </c>
      <c r="M30" s="3">
        <v>0</v>
      </c>
      <c r="N30" s="3">
        <v>0</v>
      </c>
      <c r="O30" s="3">
        <v>0</v>
      </c>
      <c r="P30" s="3">
        <v>33</v>
      </c>
      <c r="Q30" s="3">
        <v>0</v>
      </c>
      <c r="R30" s="3">
        <v>0</v>
      </c>
      <c r="S30" s="3">
        <v>3.125</v>
      </c>
      <c r="T30" s="3">
        <v>1</v>
      </c>
      <c r="U30" s="3">
        <v>6.25</v>
      </c>
      <c r="V30" s="3">
        <v>0</v>
      </c>
      <c r="W30" s="3">
        <v>0</v>
      </c>
      <c r="X30" s="3">
        <v>1</v>
      </c>
      <c r="Y30" s="3">
        <v>53.625</v>
      </c>
    </row>
    <row r="31" spans="1:25" x14ac:dyDescent="0.35">
      <c r="A31" t="s">
        <v>62</v>
      </c>
      <c r="B31" t="s">
        <v>63</v>
      </c>
      <c r="C31" t="s">
        <v>35</v>
      </c>
      <c r="D31">
        <v>30</v>
      </c>
      <c r="E31">
        <v>5.0199999999999996</v>
      </c>
      <c r="F31">
        <v>2.92</v>
      </c>
      <c r="G31" s="2">
        <v>0</v>
      </c>
      <c r="H31" s="2">
        <v>1</v>
      </c>
      <c r="I31" s="2">
        <v>0</v>
      </c>
      <c r="J31" s="2">
        <v>0</v>
      </c>
      <c r="K31" s="2">
        <v>1</v>
      </c>
      <c r="L31" s="2">
        <v>0</v>
      </c>
      <c r="M31" s="3">
        <v>0</v>
      </c>
      <c r="N31" s="3">
        <v>0</v>
      </c>
      <c r="O31" s="3">
        <v>3.125</v>
      </c>
      <c r="P31" s="3">
        <v>65</v>
      </c>
      <c r="Q31" s="3">
        <v>0</v>
      </c>
      <c r="R31" s="3">
        <v>0</v>
      </c>
      <c r="S31" s="3">
        <v>1</v>
      </c>
      <c r="T31" s="3">
        <v>6.25</v>
      </c>
      <c r="U31" s="3">
        <v>10</v>
      </c>
      <c r="V31" s="3">
        <v>0</v>
      </c>
      <c r="W31" s="3">
        <v>0</v>
      </c>
      <c r="X31" s="3">
        <v>1</v>
      </c>
      <c r="Y31" s="3">
        <v>11.625</v>
      </c>
    </row>
    <row r="32" spans="1:25" x14ac:dyDescent="0.35">
      <c r="A32" t="s">
        <v>62</v>
      </c>
      <c r="B32" t="s">
        <v>63</v>
      </c>
      <c r="C32" t="s">
        <v>36</v>
      </c>
      <c r="D32">
        <v>31</v>
      </c>
      <c r="E32">
        <v>11.16</v>
      </c>
      <c r="F32">
        <v>2.8849999999999998</v>
      </c>
      <c r="G32" s="2">
        <v>0</v>
      </c>
      <c r="H32" s="2">
        <v>0</v>
      </c>
      <c r="I32" s="2">
        <v>0</v>
      </c>
      <c r="J32" s="2">
        <f>(0.1/107.45)*100</f>
        <v>9.3066542577943237E-2</v>
      </c>
      <c r="K32" s="2">
        <f>(6.25/107.45)*100</f>
        <v>5.8166589111214515</v>
      </c>
      <c r="L32" s="2">
        <v>0</v>
      </c>
      <c r="M32" s="3">
        <v>0</v>
      </c>
      <c r="N32" s="3">
        <v>0</v>
      </c>
      <c r="O32" s="3">
        <v>0</v>
      </c>
      <c r="P32" s="3">
        <f>(60/107.45)*100</f>
        <v>55.839925546765933</v>
      </c>
      <c r="Q32" s="3">
        <v>0</v>
      </c>
      <c r="R32" s="3">
        <v>0</v>
      </c>
      <c r="S32" s="3">
        <v>0</v>
      </c>
      <c r="T32" s="3">
        <f>(1/107.45)*100</f>
        <v>0.93066542577943234</v>
      </c>
      <c r="U32" s="3">
        <f>(40/107.45)*100</f>
        <v>37.226617031177291</v>
      </c>
      <c r="V32" s="3">
        <v>0</v>
      </c>
      <c r="W32" s="3">
        <v>0</v>
      </c>
      <c r="X32" s="3">
        <f>(0.1/107.45)*100</f>
        <v>9.3066542577943237E-2</v>
      </c>
      <c r="Y32" s="3">
        <v>0</v>
      </c>
    </row>
    <row r="33" spans="1:25" x14ac:dyDescent="0.35">
      <c r="A33" t="s">
        <v>62</v>
      </c>
      <c r="B33" t="s">
        <v>63</v>
      </c>
      <c r="C33" t="s">
        <v>37</v>
      </c>
      <c r="D33">
        <v>32</v>
      </c>
      <c r="E33">
        <v>8.27</v>
      </c>
      <c r="F33">
        <v>2.91</v>
      </c>
      <c r="G33" s="2">
        <v>0</v>
      </c>
      <c r="H33" s="2">
        <v>0</v>
      </c>
      <c r="I33" s="2">
        <v>0</v>
      </c>
      <c r="J33" s="2">
        <f>(1/101.375)*100</f>
        <v>0.98643649815043155</v>
      </c>
      <c r="K33" s="2">
        <f>(6.25/101.375)*100</f>
        <v>6.1652281134401976</v>
      </c>
      <c r="L33" s="2">
        <v>0</v>
      </c>
      <c r="M33" s="3">
        <v>0</v>
      </c>
      <c r="N33" s="3">
        <v>0</v>
      </c>
      <c r="O33" s="3">
        <v>0</v>
      </c>
      <c r="P33" s="3">
        <f>(70/101.375)*100</f>
        <v>69.050554870530206</v>
      </c>
      <c r="Q33" s="3">
        <v>0</v>
      </c>
      <c r="R33" s="3">
        <v>0</v>
      </c>
      <c r="S33" s="3">
        <v>0</v>
      </c>
      <c r="T33" s="3">
        <f>(1/101.375)*100</f>
        <v>0.98643649815043155</v>
      </c>
      <c r="U33" s="3">
        <f>(20/101.375)*100</f>
        <v>19.728729963008632</v>
      </c>
      <c r="V33" s="3">
        <v>0</v>
      </c>
      <c r="W33" s="3">
        <v>0</v>
      </c>
      <c r="X33" s="3">
        <f>(3.125/101.375)*100</f>
        <v>3.0826140567200988</v>
      </c>
      <c r="Y33" s="3">
        <v>0</v>
      </c>
    </row>
    <row r="34" spans="1:25" x14ac:dyDescent="0.35">
      <c r="A34" t="s">
        <v>62</v>
      </c>
      <c r="B34" t="s">
        <v>64</v>
      </c>
      <c r="C34" t="s">
        <v>0</v>
      </c>
      <c r="D34">
        <v>33</v>
      </c>
      <c r="E34">
        <v>4.9400000000000004</v>
      </c>
      <c r="F34">
        <v>3.5</v>
      </c>
      <c r="G34" s="2">
        <v>0</v>
      </c>
      <c r="H34" s="2">
        <f>(85/125.5)*100</f>
        <v>67.729083665338635</v>
      </c>
      <c r="I34" s="2">
        <v>0</v>
      </c>
      <c r="J34" s="2">
        <f>(6.25/125.5)*100</f>
        <v>4.9800796812749004</v>
      </c>
      <c r="K34" s="2">
        <v>0</v>
      </c>
      <c r="L34" s="2">
        <v>0</v>
      </c>
      <c r="M34" s="3">
        <v>0</v>
      </c>
      <c r="N34" s="3">
        <v>0</v>
      </c>
      <c r="O34" s="3">
        <f>(1/125.5)*100</f>
        <v>0.79681274900398402</v>
      </c>
      <c r="P34" s="3">
        <v>0</v>
      </c>
      <c r="Q34" s="3">
        <f>(2/125.5)*100</f>
        <v>1.593625498007968</v>
      </c>
      <c r="R34" s="3">
        <v>0</v>
      </c>
      <c r="S34" s="3">
        <f>(25/125.5)*100</f>
        <v>19.920318725099602</v>
      </c>
      <c r="T34" s="3">
        <v>0</v>
      </c>
      <c r="U34" s="3">
        <v>0</v>
      </c>
      <c r="V34" s="3">
        <v>0</v>
      </c>
      <c r="W34" s="3">
        <v>0</v>
      </c>
      <c r="X34" s="3">
        <f>(6.25/125.5)*100</f>
        <v>4.9800796812749004</v>
      </c>
      <c r="Y34" s="3">
        <v>0</v>
      </c>
    </row>
    <row r="35" spans="1:25" x14ac:dyDescent="0.35">
      <c r="A35" t="s">
        <v>62</v>
      </c>
      <c r="B35" t="s">
        <v>64</v>
      </c>
      <c r="C35" t="s">
        <v>1</v>
      </c>
      <c r="D35">
        <v>34</v>
      </c>
      <c r="E35">
        <v>6.34</v>
      </c>
      <c r="F35">
        <v>3.56</v>
      </c>
      <c r="G35" s="2">
        <v>0</v>
      </c>
      <c r="H35" s="2">
        <f>(12.5/113.225)*100</f>
        <v>11.039964672113049</v>
      </c>
      <c r="I35" s="2">
        <v>0</v>
      </c>
      <c r="J35" s="2">
        <f>(0.1/113.225)*100</f>
        <v>8.8319717376904402E-2</v>
      </c>
      <c r="K35" s="2">
        <v>0</v>
      </c>
      <c r="L35" s="2">
        <v>0</v>
      </c>
      <c r="M35" s="3">
        <v>0</v>
      </c>
      <c r="N35" s="3">
        <v>0</v>
      </c>
      <c r="O35" s="3">
        <v>0</v>
      </c>
      <c r="P35" s="3">
        <v>0</v>
      </c>
      <c r="Q35" s="3">
        <f>(3.125/113.225)*100</f>
        <v>2.7599911680282623</v>
      </c>
      <c r="R35" s="3">
        <v>0</v>
      </c>
      <c r="S35" s="3">
        <f>(6.25/113.225)*100</f>
        <v>5.5199823360565246</v>
      </c>
      <c r="T35" s="3">
        <v>0</v>
      </c>
      <c r="U35" s="3">
        <v>0</v>
      </c>
      <c r="V35" s="3">
        <f>(85/113.225)*100</f>
        <v>75.071759770368743</v>
      </c>
      <c r="W35" s="3">
        <v>0</v>
      </c>
      <c r="X35" s="3">
        <f>(6.25/113.225)*100</f>
        <v>5.5199823360565246</v>
      </c>
      <c r="Y35" s="3">
        <v>0</v>
      </c>
    </row>
    <row r="36" spans="1:25" x14ac:dyDescent="0.35">
      <c r="A36" t="s">
        <v>62</v>
      </c>
      <c r="B36" t="s">
        <v>64</v>
      </c>
      <c r="C36" t="s">
        <v>3</v>
      </c>
      <c r="D36">
        <v>35</v>
      </c>
      <c r="E36">
        <v>4.9800000000000004</v>
      </c>
      <c r="F36">
        <v>3.3600000000000003</v>
      </c>
      <c r="G36" s="2">
        <v>0</v>
      </c>
      <c r="H36" s="2">
        <v>0</v>
      </c>
      <c r="I36" s="2">
        <v>0.1</v>
      </c>
      <c r="J36" s="2">
        <v>33</v>
      </c>
      <c r="K36" s="2">
        <v>0</v>
      </c>
      <c r="L36" s="2">
        <v>0</v>
      </c>
      <c r="M36" s="3">
        <v>0</v>
      </c>
      <c r="N36" s="3">
        <v>0</v>
      </c>
      <c r="O36" s="3">
        <v>0.1</v>
      </c>
      <c r="P36" s="3">
        <v>0</v>
      </c>
      <c r="Q36" s="3">
        <v>25</v>
      </c>
      <c r="R36" s="3">
        <v>0</v>
      </c>
      <c r="S36" s="3">
        <v>25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16.799999999999997</v>
      </c>
    </row>
    <row r="37" spans="1:25" x14ac:dyDescent="0.35">
      <c r="A37" t="s">
        <v>62</v>
      </c>
      <c r="B37" t="s">
        <v>64</v>
      </c>
      <c r="C37" t="s">
        <v>4</v>
      </c>
      <c r="D37">
        <v>36</v>
      </c>
      <c r="E37">
        <v>6.26</v>
      </c>
      <c r="F37">
        <v>3.4750000000000001</v>
      </c>
      <c r="G37" s="2">
        <v>0</v>
      </c>
      <c r="H37" s="2">
        <f>(24/110.625)*100</f>
        <v>21.694915254237287</v>
      </c>
      <c r="I37" s="2">
        <v>0</v>
      </c>
      <c r="J37" s="2">
        <f>(6.25/110.625)*100</f>
        <v>5.6497175141242941</v>
      </c>
      <c r="K37" s="2">
        <v>0</v>
      </c>
      <c r="L37" s="2">
        <v>0</v>
      </c>
      <c r="M37" s="3">
        <v>0</v>
      </c>
      <c r="N37" s="3">
        <v>0</v>
      </c>
      <c r="O37" s="3">
        <v>0</v>
      </c>
      <c r="P37" s="3">
        <v>0</v>
      </c>
      <c r="Q37" s="3">
        <f>(36/110.625)*100</f>
        <v>32.542372881355931</v>
      </c>
      <c r="R37" s="3">
        <v>0</v>
      </c>
      <c r="S37" s="3">
        <f>(35/110.625)*100</f>
        <v>31.638418079096049</v>
      </c>
      <c r="T37" s="3">
        <v>0</v>
      </c>
      <c r="U37" s="3">
        <v>0</v>
      </c>
      <c r="V37" s="3">
        <v>0</v>
      </c>
      <c r="W37" s="3">
        <v>0</v>
      </c>
      <c r="X37" s="3">
        <f>(9.375/110.625)*100</f>
        <v>8.4745762711864394</v>
      </c>
      <c r="Y37" s="3">
        <v>0</v>
      </c>
    </row>
    <row r="38" spans="1:25" x14ac:dyDescent="0.35">
      <c r="A38" t="s">
        <v>62</v>
      </c>
      <c r="B38" t="s">
        <v>64</v>
      </c>
      <c r="C38" t="s">
        <v>5</v>
      </c>
      <c r="D38">
        <v>37</v>
      </c>
      <c r="E38">
        <v>7.14</v>
      </c>
      <c r="F38">
        <v>3.37</v>
      </c>
      <c r="G38" s="2">
        <v>0</v>
      </c>
      <c r="H38" s="2">
        <v>1</v>
      </c>
      <c r="I38" s="2">
        <v>0</v>
      </c>
      <c r="J38" s="2">
        <v>90</v>
      </c>
      <c r="K38" s="2">
        <v>0</v>
      </c>
      <c r="L38" s="2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3.125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5.875</v>
      </c>
    </row>
    <row r="39" spans="1:25" x14ac:dyDescent="0.35">
      <c r="A39" t="s">
        <v>62</v>
      </c>
      <c r="B39" t="s">
        <v>64</v>
      </c>
      <c r="C39" t="s">
        <v>6</v>
      </c>
      <c r="D39">
        <v>38</v>
      </c>
      <c r="E39">
        <v>5.37</v>
      </c>
      <c r="F39">
        <v>3.4350000000000001</v>
      </c>
      <c r="G39" s="2">
        <f>(1/106.375)*100</f>
        <v>0.9400705052878966</v>
      </c>
      <c r="H39" s="2">
        <f>(6.25/106.375)*100</f>
        <v>5.8754406580493539</v>
      </c>
      <c r="I39" s="2">
        <f>(1/106.375)*100</f>
        <v>0.9400705052878966</v>
      </c>
      <c r="J39" s="2">
        <f>(95/106.375)*100</f>
        <v>89.306698002350174</v>
      </c>
      <c r="K39" s="2">
        <v>0</v>
      </c>
      <c r="L39" s="2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>(3.125/106.375)*100</f>
        <v>2.9377203290246769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35">
      <c r="A40" t="s">
        <v>62</v>
      </c>
      <c r="B40" t="s">
        <v>64</v>
      </c>
      <c r="C40" t="s">
        <v>7</v>
      </c>
      <c r="D40">
        <v>39</v>
      </c>
      <c r="E40" t="s">
        <v>2</v>
      </c>
      <c r="F40">
        <v>3.3449999999999998</v>
      </c>
      <c r="G40" s="2">
        <v>0</v>
      </c>
      <c r="H40" s="2">
        <v>0</v>
      </c>
      <c r="I40" s="2">
        <v>2</v>
      </c>
      <c r="J40" s="2">
        <v>95</v>
      </c>
      <c r="K40" s="2">
        <v>0</v>
      </c>
      <c r="L40" s="2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2</v>
      </c>
    </row>
    <row r="41" spans="1:25" x14ac:dyDescent="0.35">
      <c r="A41" t="s">
        <v>62</v>
      </c>
      <c r="B41" t="s">
        <v>64</v>
      </c>
      <c r="C41" t="s">
        <v>8</v>
      </c>
      <c r="D41">
        <v>40</v>
      </c>
      <c r="E41" t="s">
        <v>2</v>
      </c>
      <c r="F41">
        <v>3.3600000000000003</v>
      </c>
      <c r="G41" s="2">
        <v>0</v>
      </c>
      <c r="H41" s="2">
        <v>0</v>
      </c>
      <c r="I41" s="2">
        <v>0</v>
      </c>
      <c r="J41" s="2">
        <v>90</v>
      </c>
      <c r="K41" s="2">
        <v>0</v>
      </c>
      <c r="L41" s="2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9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1</v>
      </c>
    </row>
    <row r="42" spans="1:25" x14ac:dyDescent="0.35">
      <c r="A42" t="s">
        <v>61</v>
      </c>
      <c r="B42" t="s">
        <v>73</v>
      </c>
      <c r="C42" t="s">
        <v>17</v>
      </c>
      <c r="D42">
        <v>41</v>
      </c>
      <c r="E42" t="s">
        <v>2</v>
      </c>
      <c r="F42">
        <v>3.75</v>
      </c>
      <c r="G42" s="2">
        <v>0</v>
      </c>
      <c r="H42" s="2">
        <v>0</v>
      </c>
      <c r="I42" s="2">
        <v>0</v>
      </c>
      <c r="J42" s="2">
        <v>12.5</v>
      </c>
      <c r="K42" s="2">
        <v>0.1</v>
      </c>
      <c r="L42" s="2">
        <v>0</v>
      </c>
      <c r="M42" s="3">
        <v>1</v>
      </c>
      <c r="N42" s="3">
        <v>0</v>
      </c>
      <c r="O42" s="3">
        <v>33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12.5</v>
      </c>
      <c r="V42" s="3">
        <v>0</v>
      </c>
      <c r="W42" s="3">
        <v>0</v>
      </c>
      <c r="X42" s="3">
        <v>0</v>
      </c>
      <c r="Y42" s="3">
        <v>40.9</v>
      </c>
    </row>
    <row r="43" spans="1:25" x14ac:dyDescent="0.35">
      <c r="A43" t="s">
        <v>61</v>
      </c>
      <c r="B43" t="s">
        <v>73</v>
      </c>
      <c r="C43" t="s">
        <v>18</v>
      </c>
      <c r="D43">
        <v>42</v>
      </c>
      <c r="E43" t="s">
        <v>2</v>
      </c>
      <c r="F43">
        <v>3.7649999999999997</v>
      </c>
      <c r="G43" s="2">
        <v>0</v>
      </c>
      <c r="H43" s="2">
        <v>0</v>
      </c>
      <c r="I43" s="2">
        <v>0</v>
      </c>
      <c r="J43" s="2">
        <v>9.375</v>
      </c>
      <c r="K43" s="2">
        <v>0</v>
      </c>
      <c r="L43" s="2">
        <v>0</v>
      </c>
      <c r="M43" s="3">
        <v>9.375</v>
      </c>
      <c r="N43" s="3">
        <v>0</v>
      </c>
      <c r="O43" s="3">
        <v>20</v>
      </c>
      <c r="P43" s="3">
        <v>20</v>
      </c>
      <c r="Q43" s="3">
        <v>0</v>
      </c>
      <c r="R43" s="3">
        <v>0</v>
      </c>
      <c r="S43" s="3">
        <v>0</v>
      </c>
      <c r="T43" s="3">
        <v>2</v>
      </c>
      <c r="U43" s="3">
        <v>20</v>
      </c>
      <c r="V43" s="3">
        <v>0</v>
      </c>
      <c r="W43" s="3">
        <v>0</v>
      </c>
      <c r="X43" s="3">
        <v>1</v>
      </c>
      <c r="Y43" s="3">
        <v>18.25</v>
      </c>
    </row>
    <row r="44" spans="1:25" x14ac:dyDescent="0.35">
      <c r="A44" t="s">
        <v>61</v>
      </c>
      <c r="B44" t="s">
        <v>73</v>
      </c>
      <c r="C44" t="s">
        <v>19</v>
      </c>
      <c r="D44">
        <v>43</v>
      </c>
      <c r="E44">
        <v>9.36</v>
      </c>
      <c r="F44">
        <v>3.8099999999999996</v>
      </c>
      <c r="G44" s="2">
        <v>0</v>
      </c>
      <c r="H44" s="2">
        <v>0</v>
      </c>
      <c r="I44" s="2">
        <v>0</v>
      </c>
      <c r="J44" s="2">
        <v>12.5</v>
      </c>
      <c r="K44" s="2">
        <v>0</v>
      </c>
      <c r="L44" s="2">
        <v>0</v>
      </c>
      <c r="M44" s="3">
        <v>0</v>
      </c>
      <c r="N44" s="3">
        <v>1</v>
      </c>
      <c r="O44" s="3">
        <v>33</v>
      </c>
      <c r="P44" s="3">
        <v>18.75</v>
      </c>
      <c r="Q44" s="3">
        <v>0</v>
      </c>
      <c r="R44" s="3">
        <v>0</v>
      </c>
      <c r="S44" s="3">
        <v>0</v>
      </c>
      <c r="T44" s="3">
        <v>0</v>
      </c>
      <c r="U44" s="3">
        <v>12.5</v>
      </c>
      <c r="V44" s="3">
        <v>0</v>
      </c>
      <c r="W44" s="3">
        <v>0</v>
      </c>
      <c r="X44" s="3">
        <v>0</v>
      </c>
      <c r="Y44" s="3">
        <v>22.25</v>
      </c>
    </row>
    <row r="45" spans="1:25" x14ac:dyDescent="0.35">
      <c r="A45" t="s">
        <v>61</v>
      </c>
      <c r="B45" t="s">
        <v>73</v>
      </c>
      <c r="C45" t="s">
        <v>20</v>
      </c>
      <c r="D45">
        <v>44</v>
      </c>
      <c r="E45">
        <v>4.67</v>
      </c>
      <c r="F45">
        <v>3.7050000000000001</v>
      </c>
      <c r="G45" s="2">
        <v>0</v>
      </c>
      <c r="H45" s="2">
        <v>0</v>
      </c>
      <c r="I45" s="2">
        <v>0</v>
      </c>
      <c r="J45" s="2">
        <f>(60/106.5)*100</f>
        <v>56.338028169014088</v>
      </c>
      <c r="K45" s="2">
        <v>0</v>
      </c>
      <c r="L45" s="2">
        <v>0</v>
      </c>
      <c r="M45" s="3">
        <v>0</v>
      </c>
      <c r="N45" s="3">
        <f>(1/106.5)*100</f>
        <v>0.93896713615023475</v>
      </c>
      <c r="O45" s="3">
        <f>(33/106.5)*100</f>
        <v>30.985915492957744</v>
      </c>
      <c r="P45" s="3">
        <f>(6.25/106.5)*100</f>
        <v>5.868544600938967</v>
      </c>
      <c r="Q45" s="3">
        <v>0</v>
      </c>
      <c r="R45" s="3">
        <v>0</v>
      </c>
      <c r="S45" s="3">
        <v>0</v>
      </c>
      <c r="T45" s="3">
        <v>0</v>
      </c>
      <c r="U45" s="3">
        <f>(6.25/106.5)*100</f>
        <v>5.868544600938967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35">
      <c r="A46" t="s">
        <v>61</v>
      </c>
      <c r="B46" t="s">
        <v>73</v>
      </c>
      <c r="C46" t="s">
        <v>21</v>
      </c>
      <c r="D46">
        <v>45</v>
      </c>
      <c r="E46">
        <v>9.09</v>
      </c>
      <c r="F46">
        <v>3.7549999999999999</v>
      </c>
      <c r="G46" s="2">
        <v>0</v>
      </c>
      <c r="H46" s="2">
        <v>0</v>
      </c>
      <c r="I46" s="2">
        <v>0</v>
      </c>
      <c r="J46" s="2">
        <v>9.375</v>
      </c>
      <c r="K46" s="2">
        <v>0</v>
      </c>
      <c r="L46" s="2">
        <v>0</v>
      </c>
      <c r="M46" s="3">
        <v>0</v>
      </c>
      <c r="N46" s="3">
        <v>0</v>
      </c>
      <c r="O46" s="3">
        <v>0.1</v>
      </c>
      <c r="P46" s="3">
        <v>0</v>
      </c>
      <c r="Q46" s="3">
        <v>20</v>
      </c>
      <c r="R46" s="3">
        <v>0</v>
      </c>
      <c r="S46" s="3">
        <v>0</v>
      </c>
      <c r="T46" s="3">
        <v>0</v>
      </c>
      <c r="U46" s="3">
        <v>1</v>
      </c>
      <c r="V46" s="3">
        <v>0</v>
      </c>
      <c r="W46" s="3">
        <v>0</v>
      </c>
      <c r="X46" s="3">
        <v>0</v>
      </c>
      <c r="Y46" s="3">
        <v>69.525000000000006</v>
      </c>
    </row>
    <row r="47" spans="1:25" x14ac:dyDescent="0.35">
      <c r="A47" t="s">
        <v>61</v>
      </c>
      <c r="B47" t="s">
        <v>73</v>
      </c>
      <c r="C47" t="s">
        <v>22</v>
      </c>
      <c r="D47">
        <v>46</v>
      </c>
      <c r="E47">
        <v>9.44</v>
      </c>
      <c r="F47">
        <v>3.7050000000000001</v>
      </c>
      <c r="G47" s="2">
        <v>0</v>
      </c>
      <c r="H47" s="2">
        <v>0</v>
      </c>
      <c r="I47" s="2">
        <v>0</v>
      </c>
      <c r="J47" s="2">
        <v>20</v>
      </c>
      <c r="K47" s="2">
        <v>0</v>
      </c>
      <c r="L47" s="2">
        <v>0</v>
      </c>
      <c r="M47" s="3">
        <v>1</v>
      </c>
      <c r="N47" s="3">
        <v>0</v>
      </c>
      <c r="O47" s="3">
        <v>1</v>
      </c>
      <c r="P47" s="3">
        <v>20</v>
      </c>
      <c r="Q47" s="3">
        <v>0</v>
      </c>
      <c r="R47" s="3">
        <v>0</v>
      </c>
      <c r="S47" s="3">
        <v>0</v>
      </c>
      <c r="T47" s="3">
        <v>0</v>
      </c>
      <c r="U47" s="3">
        <v>3.125</v>
      </c>
      <c r="V47" s="3">
        <v>0</v>
      </c>
      <c r="W47" s="3">
        <v>0</v>
      </c>
      <c r="X47" s="3">
        <v>0</v>
      </c>
      <c r="Y47" s="3">
        <v>54.875</v>
      </c>
    </row>
    <row r="48" spans="1:25" x14ac:dyDescent="0.35">
      <c r="A48" t="s">
        <v>61</v>
      </c>
      <c r="B48" t="s">
        <v>73</v>
      </c>
      <c r="C48" t="s">
        <v>23</v>
      </c>
      <c r="D48">
        <v>47</v>
      </c>
      <c r="E48" t="s">
        <v>2</v>
      </c>
      <c r="F48">
        <v>3.5999999999999996</v>
      </c>
      <c r="G48" s="2">
        <v>0</v>
      </c>
      <c r="H48" s="2">
        <v>0</v>
      </c>
      <c r="I48" s="2">
        <v>0</v>
      </c>
      <c r="J48" s="2">
        <v>20</v>
      </c>
      <c r="K48" s="2">
        <v>0</v>
      </c>
      <c r="L48" s="2">
        <v>0</v>
      </c>
      <c r="M48" s="3">
        <v>0</v>
      </c>
      <c r="N48" s="3">
        <v>0</v>
      </c>
      <c r="O48" s="3">
        <v>20</v>
      </c>
      <c r="P48" s="3">
        <v>10</v>
      </c>
      <c r="Q48" s="3">
        <v>0</v>
      </c>
      <c r="R48" s="3">
        <v>0</v>
      </c>
      <c r="S48" s="3">
        <v>0</v>
      </c>
      <c r="T48" s="3">
        <v>1</v>
      </c>
      <c r="U48" s="3">
        <v>33</v>
      </c>
      <c r="V48" s="3">
        <v>0</v>
      </c>
      <c r="W48" s="3">
        <v>0</v>
      </c>
      <c r="X48" s="3">
        <v>0</v>
      </c>
      <c r="Y48" s="3">
        <v>16</v>
      </c>
    </row>
    <row r="49" spans="1:25" x14ac:dyDescent="0.35">
      <c r="A49" t="s">
        <v>61</v>
      </c>
      <c r="B49" t="s">
        <v>73</v>
      </c>
      <c r="C49" t="s">
        <v>24</v>
      </c>
      <c r="D49">
        <v>48</v>
      </c>
      <c r="E49" t="s">
        <v>2</v>
      </c>
      <c r="F49">
        <v>3.66</v>
      </c>
      <c r="G49" s="2">
        <v>0</v>
      </c>
      <c r="H49" s="2">
        <v>0</v>
      </c>
      <c r="I49" s="2">
        <v>0</v>
      </c>
      <c r="J49" s="2">
        <v>20</v>
      </c>
      <c r="K49" s="2">
        <v>0</v>
      </c>
      <c r="L49" s="2">
        <v>0</v>
      </c>
      <c r="M49" s="3">
        <v>0</v>
      </c>
      <c r="N49" s="3">
        <v>0</v>
      </c>
      <c r="O49" s="3">
        <v>1</v>
      </c>
      <c r="P49" s="3">
        <v>25</v>
      </c>
      <c r="Q49" s="3">
        <v>0</v>
      </c>
      <c r="R49" s="3">
        <v>0</v>
      </c>
      <c r="S49" s="3">
        <v>0</v>
      </c>
      <c r="T49" s="3">
        <v>0</v>
      </c>
      <c r="U49" s="3">
        <v>12.5</v>
      </c>
      <c r="V49" s="3">
        <v>0</v>
      </c>
      <c r="W49" s="3">
        <v>0</v>
      </c>
      <c r="X49" s="3">
        <v>0</v>
      </c>
      <c r="Y49" s="3">
        <v>41.5</v>
      </c>
    </row>
    <row r="50" spans="1:25" x14ac:dyDescent="0.35">
      <c r="A50" t="s">
        <v>61</v>
      </c>
      <c r="B50" t="s">
        <v>63</v>
      </c>
      <c r="C50" t="s">
        <v>9</v>
      </c>
      <c r="D50">
        <v>49</v>
      </c>
      <c r="E50">
        <v>11.09</v>
      </c>
      <c r="F50">
        <v>3.8849999999999998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3">
        <v>0</v>
      </c>
      <c r="N50" s="3">
        <v>0.1</v>
      </c>
      <c r="O50" s="3">
        <v>18.75</v>
      </c>
      <c r="P50" s="3">
        <v>60</v>
      </c>
      <c r="Q50" s="3">
        <v>0</v>
      </c>
      <c r="R50" s="3">
        <v>0</v>
      </c>
      <c r="S50" s="3">
        <v>0</v>
      </c>
      <c r="T50" s="3">
        <v>0</v>
      </c>
      <c r="U50" s="3">
        <v>2</v>
      </c>
      <c r="V50" s="3">
        <v>0</v>
      </c>
      <c r="W50" s="3">
        <v>0</v>
      </c>
      <c r="X50" s="3">
        <v>0</v>
      </c>
      <c r="Y50" s="3">
        <v>19.150000000000006</v>
      </c>
    </row>
    <row r="51" spans="1:25" x14ac:dyDescent="0.35">
      <c r="A51" t="s">
        <v>61</v>
      </c>
      <c r="B51" t="s">
        <v>63</v>
      </c>
      <c r="C51" t="s">
        <v>10</v>
      </c>
      <c r="D51">
        <v>50</v>
      </c>
      <c r="E51">
        <v>12.92</v>
      </c>
      <c r="F51">
        <v>3.75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3">
        <v>0</v>
      </c>
      <c r="N51" s="3">
        <v>0</v>
      </c>
      <c r="O51" s="3">
        <v>9.375</v>
      </c>
      <c r="P51" s="3">
        <v>25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0</v>
      </c>
      <c r="Y51" s="3">
        <v>64.625</v>
      </c>
    </row>
    <row r="52" spans="1:25" x14ac:dyDescent="0.35">
      <c r="A52" t="s">
        <v>61</v>
      </c>
      <c r="B52" t="s">
        <v>63</v>
      </c>
      <c r="C52" t="s">
        <v>11</v>
      </c>
      <c r="D52">
        <v>51</v>
      </c>
      <c r="E52">
        <v>9.17</v>
      </c>
      <c r="F52">
        <v>3.95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3">
        <v>0</v>
      </c>
      <c r="N52" s="3">
        <v>2</v>
      </c>
      <c r="O52" s="3">
        <v>25</v>
      </c>
      <c r="P52" s="3">
        <v>9.375</v>
      </c>
      <c r="Q52" s="3">
        <v>0</v>
      </c>
      <c r="R52" s="3">
        <v>0</v>
      </c>
      <c r="S52" s="3">
        <v>6.25</v>
      </c>
      <c r="T52" s="3">
        <v>0</v>
      </c>
      <c r="U52" s="3">
        <v>1</v>
      </c>
      <c r="V52" s="3">
        <v>0</v>
      </c>
      <c r="W52" s="3">
        <v>0</v>
      </c>
      <c r="X52" s="3">
        <v>0</v>
      </c>
      <c r="Y52" s="3">
        <v>56.375</v>
      </c>
    </row>
    <row r="53" spans="1:25" x14ac:dyDescent="0.35">
      <c r="A53" t="s">
        <v>61</v>
      </c>
      <c r="B53" t="s">
        <v>63</v>
      </c>
      <c r="C53" t="s">
        <v>12</v>
      </c>
      <c r="D53">
        <v>52</v>
      </c>
      <c r="E53">
        <v>7.57</v>
      </c>
      <c r="F53">
        <v>3.96</v>
      </c>
      <c r="G53" s="2">
        <v>0</v>
      </c>
      <c r="H53" s="2">
        <v>0</v>
      </c>
      <c r="I53" s="2">
        <v>0</v>
      </c>
      <c r="J53" s="2">
        <v>0</v>
      </c>
      <c r="K53" s="2">
        <v>0.1</v>
      </c>
      <c r="L53" s="2">
        <v>0</v>
      </c>
      <c r="M53" s="3">
        <v>0.1</v>
      </c>
      <c r="N53" s="3">
        <v>0</v>
      </c>
      <c r="O53" s="3">
        <v>25</v>
      </c>
      <c r="P53" s="3">
        <v>10</v>
      </c>
      <c r="Q53" s="3">
        <v>0</v>
      </c>
      <c r="R53" s="3">
        <v>0</v>
      </c>
      <c r="S53" s="3">
        <v>3.125</v>
      </c>
      <c r="T53" s="3">
        <v>0</v>
      </c>
      <c r="U53" s="3">
        <v>3.125</v>
      </c>
      <c r="V53" s="3">
        <v>0</v>
      </c>
      <c r="W53" s="3">
        <v>0</v>
      </c>
      <c r="X53" s="3">
        <v>0</v>
      </c>
      <c r="Y53" s="3">
        <v>58.55</v>
      </c>
    </row>
    <row r="54" spans="1:25" x14ac:dyDescent="0.35">
      <c r="A54" t="s">
        <v>61</v>
      </c>
      <c r="B54" t="s">
        <v>63</v>
      </c>
      <c r="C54" t="s">
        <v>13</v>
      </c>
      <c r="D54">
        <v>53</v>
      </c>
      <c r="E54">
        <v>9.36</v>
      </c>
      <c r="F54">
        <v>3.7249999999999996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3">
        <v>0</v>
      </c>
      <c r="N54" s="3">
        <v>0</v>
      </c>
      <c r="O54" s="3">
        <v>12.5</v>
      </c>
      <c r="P54" s="3">
        <v>25</v>
      </c>
      <c r="Q54" s="3">
        <v>0</v>
      </c>
      <c r="R54" s="3">
        <v>0</v>
      </c>
      <c r="S54" s="3">
        <v>0</v>
      </c>
      <c r="T54" s="3">
        <v>0.1</v>
      </c>
      <c r="U54" s="3">
        <v>2</v>
      </c>
      <c r="V54" s="3">
        <v>0</v>
      </c>
      <c r="W54" s="3">
        <v>0</v>
      </c>
      <c r="X54" s="3">
        <v>0</v>
      </c>
      <c r="Y54" s="3">
        <v>60.4</v>
      </c>
    </row>
    <row r="55" spans="1:25" x14ac:dyDescent="0.35">
      <c r="A55" t="s">
        <v>61</v>
      </c>
      <c r="B55" t="s">
        <v>63</v>
      </c>
      <c r="C55" t="s">
        <v>14</v>
      </c>
      <c r="D55">
        <v>54</v>
      </c>
      <c r="E55">
        <v>5.77</v>
      </c>
      <c r="F55">
        <v>3.7349999999999999</v>
      </c>
      <c r="G55" s="2">
        <v>0</v>
      </c>
      <c r="H55" s="2">
        <v>0</v>
      </c>
      <c r="I55" s="2">
        <v>0</v>
      </c>
      <c r="J55" s="2">
        <v>0</v>
      </c>
      <c r="K55" s="2">
        <v>0.1</v>
      </c>
      <c r="L55" s="2">
        <v>0</v>
      </c>
      <c r="M55" s="3">
        <v>0</v>
      </c>
      <c r="N55" s="3">
        <v>0</v>
      </c>
      <c r="O55" s="3">
        <v>9.375</v>
      </c>
      <c r="P55" s="3">
        <v>20</v>
      </c>
      <c r="Q55" s="3">
        <v>0</v>
      </c>
      <c r="R55" s="3">
        <v>0</v>
      </c>
      <c r="S55" s="3">
        <v>0</v>
      </c>
      <c r="T55" s="3">
        <v>0</v>
      </c>
      <c r="U55" s="3">
        <v>1</v>
      </c>
      <c r="V55" s="3">
        <v>0</v>
      </c>
      <c r="W55" s="3">
        <v>0</v>
      </c>
      <c r="X55" s="3">
        <v>0</v>
      </c>
      <c r="Y55" s="3">
        <v>69.525000000000006</v>
      </c>
    </row>
    <row r="56" spans="1:25" x14ac:dyDescent="0.35">
      <c r="A56" t="s">
        <v>61</v>
      </c>
      <c r="B56" t="s">
        <v>63</v>
      </c>
      <c r="C56" t="s">
        <v>15</v>
      </c>
      <c r="D56">
        <v>55</v>
      </c>
      <c r="E56">
        <v>9.11</v>
      </c>
      <c r="F56">
        <v>3.8650000000000002</v>
      </c>
      <c r="G56" s="2">
        <v>0</v>
      </c>
      <c r="H56" s="2">
        <v>0</v>
      </c>
      <c r="I56" s="2">
        <v>0</v>
      </c>
      <c r="J56" s="2">
        <v>0</v>
      </c>
      <c r="K56" s="2">
        <v>0.1</v>
      </c>
      <c r="L56" s="2">
        <v>0</v>
      </c>
      <c r="M56" s="3">
        <v>0</v>
      </c>
      <c r="N56" s="3">
        <v>0</v>
      </c>
      <c r="O56" s="3">
        <v>9.375</v>
      </c>
      <c r="P56" s="3">
        <v>20</v>
      </c>
      <c r="Q56" s="3">
        <v>0</v>
      </c>
      <c r="R56" s="3">
        <v>0</v>
      </c>
      <c r="S56" s="3">
        <v>0</v>
      </c>
      <c r="T56" s="3">
        <v>0.1</v>
      </c>
      <c r="U56" s="3">
        <v>6.25</v>
      </c>
      <c r="V56" s="3">
        <v>0</v>
      </c>
      <c r="W56" s="3">
        <v>0</v>
      </c>
      <c r="X56" s="3">
        <v>0</v>
      </c>
      <c r="Y56" s="3">
        <v>64.174999999999997</v>
      </c>
    </row>
    <row r="57" spans="1:25" x14ac:dyDescent="0.35">
      <c r="A57" t="s">
        <v>61</v>
      </c>
      <c r="B57" t="s">
        <v>63</v>
      </c>
      <c r="C57" t="s">
        <v>16</v>
      </c>
      <c r="D57">
        <v>56</v>
      </c>
      <c r="E57">
        <v>8.7100000000000009</v>
      </c>
      <c r="F57">
        <v>3.7850000000000001</v>
      </c>
      <c r="G57" s="2">
        <v>0</v>
      </c>
      <c r="H57" s="2">
        <v>0</v>
      </c>
      <c r="I57" s="2">
        <v>0</v>
      </c>
      <c r="J57" s="2">
        <v>0.1</v>
      </c>
      <c r="K57" s="2">
        <v>1</v>
      </c>
      <c r="L57" s="2">
        <v>0</v>
      </c>
      <c r="M57" s="3">
        <v>1</v>
      </c>
      <c r="N57" s="3">
        <v>0</v>
      </c>
      <c r="O57" s="3">
        <v>35</v>
      </c>
      <c r="P57" s="3">
        <v>12.5</v>
      </c>
      <c r="Q57" s="3">
        <v>0</v>
      </c>
      <c r="R57" s="3">
        <v>0</v>
      </c>
      <c r="S57" s="3">
        <v>0</v>
      </c>
      <c r="T57" s="3">
        <v>0</v>
      </c>
      <c r="U57" s="3">
        <v>3.125</v>
      </c>
      <c r="V57" s="3">
        <v>0</v>
      </c>
      <c r="W57" s="3">
        <v>0</v>
      </c>
      <c r="X57" s="3">
        <v>1</v>
      </c>
      <c r="Y57" s="3">
        <v>46.274999999999999</v>
      </c>
    </row>
    <row r="58" spans="1:25" x14ac:dyDescent="0.35">
      <c r="A58" t="s">
        <v>61</v>
      </c>
      <c r="B58" t="s">
        <v>64</v>
      </c>
      <c r="C58" t="s">
        <v>0</v>
      </c>
      <c r="D58">
        <v>57</v>
      </c>
      <c r="E58">
        <v>6.44</v>
      </c>
      <c r="F58">
        <v>3.5</v>
      </c>
      <c r="G58" s="2">
        <v>0</v>
      </c>
      <c r="H58" s="2">
        <v>0</v>
      </c>
      <c r="I58" s="2">
        <v>0</v>
      </c>
      <c r="J58" s="2">
        <v>65</v>
      </c>
      <c r="K58" s="2">
        <v>0</v>
      </c>
      <c r="L58" s="2">
        <v>0</v>
      </c>
      <c r="M58" s="3">
        <v>0</v>
      </c>
      <c r="N58" s="3">
        <v>0</v>
      </c>
      <c r="O58" s="3">
        <v>0</v>
      </c>
      <c r="P58" s="3">
        <v>2</v>
      </c>
      <c r="Q58" s="3">
        <v>0</v>
      </c>
      <c r="R58" s="3">
        <v>0</v>
      </c>
      <c r="S58" s="3">
        <v>0</v>
      </c>
      <c r="T58" s="3">
        <v>0</v>
      </c>
      <c r="U58" s="3">
        <v>1</v>
      </c>
      <c r="V58" s="3">
        <v>0</v>
      </c>
      <c r="W58" s="3">
        <v>0</v>
      </c>
      <c r="X58" s="3">
        <v>0</v>
      </c>
      <c r="Y58" s="3">
        <v>32</v>
      </c>
    </row>
    <row r="59" spans="1:25" x14ac:dyDescent="0.35">
      <c r="A59" t="s">
        <v>61</v>
      </c>
      <c r="B59" t="s">
        <v>64</v>
      </c>
      <c r="C59" t="s">
        <v>1</v>
      </c>
      <c r="D59">
        <v>58</v>
      </c>
      <c r="E59">
        <v>8.02</v>
      </c>
      <c r="F59">
        <v>3.57</v>
      </c>
      <c r="G59" s="2">
        <v>0</v>
      </c>
      <c r="H59" s="2">
        <v>0</v>
      </c>
      <c r="I59" s="2">
        <v>0</v>
      </c>
      <c r="J59" s="2">
        <v>90</v>
      </c>
      <c r="K59" s="2">
        <v>0</v>
      </c>
      <c r="L59" s="2">
        <v>0</v>
      </c>
      <c r="M59" s="3">
        <v>6.25</v>
      </c>
      <c r="N59" s="3">
        <v>0</v>
      </c>
      <c r="O59" s="3">
        <v>0.1</v>
      </c>
      <c r="P59" s="3">
        <v>2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1.6500000000000057</v>
      </c>
    </row>
    <row r="60" spans="1:25" x14ac:dyDescent="0.35">
      <c r="A60" t="s">
        <v>61</v>
      </c>
      <c r="B60" t="s">
        <v>64</v>
      </c>
      <c r="C60" t="s">
        <v>3</v>
      </c>
      <c r="D60">
        <v>59</v>
      </c>
      <c r="E60">
        <v>8.93</v>
      </c>
      <c r="F60">
        <v>4.2450000000000001</v>
      </c>
      <c r="G60" s="2">
        <v>0</v>
      </c>
      <c r="H60" s="2">
        <v>16.666666666666664</v>
      </c>
      <c r="I60" s="2">
        <v>0</v>
      </c>
      <c r="J60" s="2">
        <v>6.25</v>
      </c>
      <c r="K60" s="2">
        <v>0</v>
      </c>
      <c r="L60" s="2">
        <v>0</v>
      </c>
      <c r="M60" s="3">
        <v>6.25</v>
      </c>
      <c r="N60" s="3">
        <v>16.666666666666664</v>
      </c>
      <c r="O60" s="3">
        <v>1</v>
      </c>
      <c r="P60" s="3">
        <v>0</v>
      </c>
      <c r="Q60" s="3">
        <v>0</v>
      </c>
      <c r="R60" s="3">
        <v>0</v>
      </c>
      <c r="S60" s="3">
        <v>12.5</v>
      </c>
      <c r="T60" s="3">
        <v>0</v>
      </c>
      <c r="U60" s="3">
        <v>0</v>
      </c>
      <c r="V60" s="3">
        <v>0</v>
      </c>
      <c r="W60" s="3">
        <v>1</v>
      </c>
      <c r="X60" s="3">
        <v>6.25</v>
      </c>
      <c r="Y60" s="3">
        <v>33.416666666666671</v>
      </c>
    </row>
    <row r="61" spans="1:25" x14ac:dyDescent="0.35">
      <c r="A61" t="s">
        <v>61</v>
      </c>
      <c r="B61" t="s">
        <v>64</v>
      </c>
      <c r="C61" t="s">
        <v>4</v>
      </c>
      <c r="D61">
        <v>60</v>
      </c>
      <c r="E61">
        <v>6.15</v>
      </c>
      <c r="F61">
        <v>3.95</v>
      </c>
      <c r="G61" s="2">
        <v>0</v>
      </c>
      <c r="H61" s="2">
        <f>(33/111.6)*100</f>
        <v>29.56989247311828</v>
      </c>
      <c r="I61" s="2">
        <v>0</v>
      </c>
      <c r="J61" s="2">
        <v>0.1</v>
      </c>
      <c r="K61" s="2">
        <v>0</v>
      </c>
      <c r="L61" s="2">
        <v>0</v>
      </c>
      <c r="M61" s="3">
        <f>(1/111.6)*100</f>
        <v>0.89605734767025103</v>
      </c>
      <c r="N61" s="3">
        <v>0</v>
      </c>
      <c r="O61" s="3">
        <f>(6.25/111.6)*100</f>
        <v>5.6003584229390686</v>
      </c>
      <c r="P61" s="3">
        <v>0</v>
      </c>
      <c r="Q61" s="3">
        <f>(6.25/111.6)*100</f>
        <v>5.6003584229390686</v>
      </c>
      <c r="R61" s="3">
        <v>0</v>
      </c>
      <c r="S61" s="3">
        <f>(12.5/111.6)*100</f>
        <v>11.200716845878137</v>
      </c>
      <c r="T61" s="3">
        <v>0</v>
      </c>
      <c r="U61" s="3">
        <v>0</v>
      </c>
      <c r="V61" s="3">
        <f>(40/111.6)*100</f>
        <v>35.842293906810035</v>
      </c>
      <c r="W61" s="3">
        <v>0</v>
      </c>
      <c r="X61" s="3">
        <f>(12.5/111.6)*100</f>
        <v>11.200716845878137</v>
      </c>
      <c r="Y61" s="3">
        <v>0</v>
      </c>
    </row>
    <row r="62" spans="1:25" x14ac:dyDescent="0.35">
      <c r="A62" t="s">
        <v>61</v>
      </c>
      <c r="B62" t="s">
        <v>64</v>
      </c>
      <c r="C62" t="s">
        <v>5</v>
      </c>
      <c r="D62">
        <v>61</v>
      </c>
      <c r="E62">
        <v>7.34</v>
      </c>
      <c r="F62">
        <v>3.95</v>
      </c>
      <c r="G62" s="2">
        <v>0</v>
      </c>
      <c r="H62" s="2">
        <v>1</v>
      </c>
      <c r="I62" s="2">
        <v>0</v>
      </c>
      <c r="J62" s="2">
        <v>6.25</v>
      </c>
      <c r="K62" s="2">
        <v>0</v>
      </c>
      <c r="L62" s="2">
        <v>0</v>
      </c>
      <c r="M62" s="3">
        <v>0</v>
      </c>
      <c r="N62" s="3">
        <v>0</v>
      </c>
      <c r="O62" s="3">
        <v>1</v>
      </c>
      <c r="P62" s="3">
        <v>0</v>
      </c>
      <c r="Q62" s="3">
        <v>50</v>
      </c>
      <c r="R62" s="3">
        <v>0</v>
      </c>
      <c r="S62" s="3">
        <v>18.75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23</v>
      </c>
    </row>
    <row r="63" spans="1:25" x14ac:dyDescent="0.35">
      <c r="A63" t="s">
        <v>61</v>
      </c>
      <c r="B63" t="s">
        <v>64</v>
      </c>
      <c r="C63" t="s">
        <v>6</v>
      </c>
      <c r="D63">
        <v>62</v>
      </c>
      <c r="E63">
        <v>6.79</v>
      </c>
      <c r="F63">
        <v>3.8899999999999997</v>
      </c>
      <c r="G63" s="2">
        <v>0</v>
      </c>
      <c r="H63" s="2">
        <f>(3.125/104)*100</f>
        <v>3.0048076923076925</v>
      </c>
      <c r="I63" s="2">
        <v>0</v>
      </c>
      <c r="J63" s="2">
        <f>(3.125/104)*100</f>
        <v>3.0048076923076925</v>
      </c>
      <c r="K63" s="2">
        <v>0</v>
      </c>
      <c r="L63" s="2">
        <v>0</v>
      </c>
      <c r="M63" s="3">
        <f>(25/104)*100</f>
        <v>24.03846153846154</v>
      </c>
      <c r="N63" s="3">
        <v>0</v>
      </c>
      <c r="O63" s="3">
        <f>(20/104)*100</f>
        <v>19.230769230769234</v>
      </c>
      <c r="P63" s="3">
        <v>0</v>
      </c>
      <c r="Q63" s="3">
        <f>(33/104)*100</f>
        <v>31.73076923076923</v>
      </c>
      <c r="R63" s="3">
        <v>0</v>
      </c>
      <c r="S63" s="3">
        <f>(12.5/104)*100</f>
        <v>12.01923076923077</v>
      </c>
      <c r="T63" s="3">
        <v>1</v>
      </c>
      <c r="U63" s="3">
        <v>0</v>
      </c>
      <c r="V63" s="3">
        <v>0</v>
      </c>
      <c r="W63" s="3">
        <v>0</v>
      </c>
      <c r="X63" s="3">
        <f>(6.25/104)*100</f>
        <v>6.009615384615385</v>
      </c>
      <c r="Y63" s="3">
        <v>0</v>
      </c>
    </row>
    <row r="64" spans="1:25" x14ac:dyDescent="0.35">
      <c r="A64" t="s">
        <v>61</v>
      </c>
      <c r="B64" t="s">
        <v>64</v>
      </c>
      <c r="C64" t="s">
        <v>7</v>
      </c>
      <c r="D64">
        <v>63</v>
      </c>
      <c r="E64">
        <v>6.99</v>
      </c>
      <c r="F64">
        <v>3.9749999999999996</v>
      </c>
      <c r="G64" s="2">
        <v>0</v>
      </c>
      <c r="H64" s="2">
        <v>0</v>
      </c>
      <c r="I64" s="2">
        <v>0</v>
      </c>
      <c r="J64" s="2">
        <f>(75/130.125)*100</f>
        <v>57.636887608069166</v>
      </c>
      <c r="K64" s="2">
        <v>0</v>
      </c>
      <c r="L64" s="2">
        <v>0</v>
      </c>
      <c r="M64" s="3">
        <v>0</v>
      </c>
      <c r="N64" s="3">
        <v>0</v>
      </c>
      <c r="O64" s="3">
        <f>(1/130.125)*100</f>
        <v>0.76849183477425553</v>
      </c>
      <c r="P64" s="3">
        <v>0</v>
      </c>
      <c r="Q64" s="3">
        <f>(50/130.125)*100</f>
        <v>38.424591738712778</v>
      </c>
      <c r="R64" s="3">
        <v>0</v>
      </c>
      <c r="S64" s="3">
        <f>(1/130.125)*100</f>
        <v>0.76849183477425553</v>
      </c>
      <c r="T64" s="3">
        <v>0</v>
      </c>
      <c r="U64" s="3">
        <v>0</v>
      </c>
      <c r="V64" s="3">
        <v>0</v>
      </c>
      <c r="W64" s="3">
        <v>0</v>
      </c>
      <c r="X64" s="3">
        <f>(3.125/130.125)*100</f>
        <v>2.4015369836695486</v>
      </c>
      <c r="Y64" s="3">
        <v>0</v>
      </c>
    </row>
    <row r="65" spans="1:25" x14ac:dyDescent="0.35">
      <c r="A65" t="s">
        <v>61</v>
      </c>
      <c r="B65" t="s">
        <v>64</v>
      </c>
      <c r="C65" t="s">
        <v>8</v>
      </c>
      <c r="D65">
        <v>64</v>
      </c>
      <c r="E65">
        <v>6.49</v>
      </c>
      <c r="F65">
        <v>3.95</v>
      </c>
      <c r="G65" s="2">
        <v>0</v>
      </c>
      <c r="H65" s="2">
        <v>0</v>
      </c>
      <c r="I65" s="2">
        <v>0</v>
      </c>
      <c r="J65" s="2">
        <v>60</v>
      </c>
      <c r="K65" s="2">
        <v>0</v>
      </c>
      <c r="L65" s="2">
        <v>0</v>
      </c>
      <c r="M65" s="3">
        <v>0</v>
      </c>
      <c r="N65" s="3">
        <v>0</v>
      </c>
      <c r="O65" s="3">
        <v>1</v>
      </c>
      <c r="P65" s="3">
        <v>0</v>
      </c>
      <c r="Q65" s="3">
        <v>30</v>
      </c>
      <c r="R65" s="3">
        <v>0</v>
      </c>
      <c r="S65" s="3">
        <v>6.25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2.75</v>
      </c>
    </row>
  </sheetData>
  <sortState ref="A2:X65">
    <sortCondition ref="A2:A65"/>
    <sortCondition ref="C2:C65"/>
  </sortState>
  <pageMargins left="0.7" right="0.7" top="0.75" bottom="0.75" header="0.3" footer="0.3"/>
  <pageSetup orientation="landscape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C28B76-38B1-42C2-BC86-877DCD4E3D41}">
  <ds:schemaRefs>
    <ds:schemaRef ds:uri="8c008993-a31f-4b40-b1f3-88dd9c6e1924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360018dd-41eb-4458-b1d4-4b46a95a2b02"/>
  </ds:schemaRefs>
</ds:datastoreItem>
</file>

<file path=customXml/itemProps2.xml><?xml version="1.0" encoding="utf-8"?>
<ds:datastoreItem xmlns:ds="http://schemas.openxmlformats.org/officeDocument/2006/customXml" ds:itemID="{48A40046-D3A0-4D6D-B520-70CE63006E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813DBA-621D-4C89-861D-3205ECE7D3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Lane</dc:creator>
  <cp:lastModifiedBy>Stefanie Lane</cp:lastModifiedBy>
  <dcterms:created xsi:type="dcterms:W3CDTF">2021-07-19T01:08:07Z</dcterms:created>
  <dcterms:modified xsi:type="dcterms:W3CDTF">2022-05-27T18:02:32Z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