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hidePivotFieldList="1"/>
  <mc:AlternateContent xmlns:mc="http://schemas.openxmlformats.org/markup-compatibility/2006">
    <mc:Choice Requires="x15">
      <x15ac:absPath xmlns:x15ac="http://schemas.microsoft.com/office/spreadsheetml/2010/11/ac" url="/Users/felipemaronesi/Downloads/"/>
    </mc:Choice>
  </mc:AlternateContent>
  <xr:revisionPtr revIDLastSave="0" documentId="13_ncr:1_{69B31C13-3B33-8941-BD21-02A2A0F0AE11}" xr6:coauthVersionLast="47" xr6:coauthVersionMax="47" xr10:uidLastSave="{00000000-0000-0000-0000-000000000000}"/>
  <bookViews>
    <workbookView xWindow="0" yWindow="760" windowWidth="28800" windowHeight="17120" tabRatio="894" firstSheet="2" activeTab="12" xr2:uid="{00000000-000D-0000-FFFF-FFFF00000000}"/>
  </bookViews>
  <sheets>
    <sheet name="Dashboard" sheetId="19" r:id="rId1"/>
    <sheet name="Explicação" sheetId="4" r:id="rId2"/>
    <sheet name="Dados do Forms" sheetId="1" r:id="rId3"/>
    <sheet name="Escala" sheetId="2" r:id="rId4"/>
    <sheet name="Resumo por Tópico" sheetId="3" r:id="rId5"/>
    <sheet name="Análise e Avaliação" sheetId="6" r:id="rId6"/>
    <sheet name="Dados Gráficos" sheetId="13" state="hidden" r:id="rId7"/>
    <sheet name="Planilha5" sheetId="21" state="hidden" r:id="rId8"/>
    <sheet name="Planilha2" sheetId="7" state="hidden" r:id="rId9"/>
    <sheet name="Medidas de Controle " sheetId="8" r:id="rId10"/>
    <sheet name="Monitoramento do desempenho" sheetId="9" r:id="rId11"/>
    <sheet name="Critérios de Probabilidade " sheetId="18" r:id="rId12"/>
    <sheet name="Revisão e Melhoria Continua " sheetId="10" r:id="rId13"/>
  </sheets>
  <definedNames>
    <definedName name="SegmentaçãodeDados_Qual_o_seu_Setor?">#N/A</definedName>
  </definedNames>
  <calcPr calcId="191029"/>
  <pivotCaches>
    <pivotCache cacheId="8" r:id="rId1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KFkBMB54hHTsoSFSzdvhrSrFAEIZhBFFqxYeB25pK8g="/>
    </ext>
  </extLst>
</workbook>
</file>

<file path=xl/calcChain.xml><?xml version="1.0" encoding="utf-8"?>
<calcChain xmlns="http://schemas.openxmlformats.org/spreadsheetml/2006/main">
  <c r="E18" i="3" l="1"/>
  <c r="F24" i="6" s="1"/>
  <c r="E19" i="3"/>
  <c r="F25" i="6" s="1"/>
  <c r="E20" i="3"/>
  <c r="F26" i="6" s="1"/>
  <c r="E17" i="3"/>
  <c r="F23" i="6" s="1"/>
  <c r="C13" i="21"/>
  <c r="C5" i="21"/>
  <c r="C12" i="21"/>
  <c r="C4" i="21"/>
  <c r="C11" i="21"/>
  <c r="C10" i="21"/>
  <c r="C9" i="21"/>
  <c r="C16" i="21"/>
  <c r="C8" i="21"/>
  <c r="C14" i="21"/>
  <c r="C7" i="21"/>
  <c r="C15" i="21"/>
  <c r="C6" i="21"/>
  <c r="D15" i="21" l="1"/>
  <c r="F29" i="13" s="1"/>
  <c r="D14" i="21"/>
  <c r="F28" i="13" s="1"/>
  <c r="D16" i="21"/>
  <c r="F30" i="13" s="1"/>
  <c r="D13" i="21"/>
  <c r="F27" i="13" s="1"/>
  <c r="BA2" i="1"/>
  <c r="H2" i="1"/>
  <c r="I2" i="1"/>
  <c r="J2" i="1"/>
  <c r="K2" i="1"/>
  <c r="L2" i="1"/>
  <c r="M2" i="1"/>
  <c r="N2" i="1"/>
  <c r="O2" i="1"/>
  <c r="P2" i="1"/>
  <c r="Q2" i="1"/>
  <c r="R2" i="1"/>
  <c r="S2" i="1"/>
  <c r="T2" i="1"/>
  <c r="U2" i="1"/>
  <c r="V2" i="1"/>
  <c r="W2" i="1"/>
  <c r="X2" i="1"/>
  <c r="Y2" i="1"/>
  <c r="Z2" i="1"/>
  <c r="AA2" i="1"/>
  <c r="AB2" i="1"/>
  <c r="AC2" i="1"/>
  <c r="AD2" i="1"/>
  <c r="AE2" i="1"/>
  <c r="AF2" i="1"/>
  <c r="AG2" i="1"/>
  <c r="AH2" i="1"/>
  <c r="AI2" i="1"/>
  <c r="AJ2" i="1"/>
  <c r="AK2" i="1"/>
  <c r="AL2" i="1"/>
  <c r="AM2" i="1"/>
  <c r="AN2" i="1"/>
  <c r="AO2" i="1"/>
  <c r="AP2" i="1"/>
  <c r="AQ2" i="1"/>
  <c r="AR2" i="1"/>
  <c r="AS2" i="1"/>
  <c r="AT2" i="1"/>
  <c r="AU2" i="1"/>
  <c r="AV2" i="1"/>
  <c r="AW2" i="1"/>
  <c r="AX2" i="1"/>
  <c r="AY2" i="1"/>
  <c r="AZ2" i="1"/>
  <c r="BB2" i="1"/>
  <c r="BC2" i="1"/>
  <c r="BD2" i="1"/>
  <c r="BE2" i="1"/>
  <c r="BF2" i="1"/>
  <c r="BG2" i="1"/>
  <c r="BH2" i="1"/>
  <c r="BI2" i="1"/>
  <c r="BJ2" i="1"/>
  <c r="BK2" i="1"/>
  <c r="BL2" i="1"/>
  <c r="BM2" i="1"/>
  <c r="BN2" i="1"/>
  <c r="BO2" i="1"/>
  <c r="BP2" i="1"/>
  <c r="BQ2" i="1"/>
  <c r="BR2" i="1"/>
  <c r="BS2" i="1"/>
  <c r="BT2" i="1"/>
  <c r="BU2" i="1"/>
  <c r="BV2" i="1"/>
  <c r="BW2" i="1"/>
  <c r="BX2" i="1"/>
  <c r="BY2" i="1"/>
  <c r="BZ2" i="1"/>
  <c r="CA2" i="1"/>
  <c r="CB2" i="1"/>
  <c r="CC2" i="1"/>
  <c r="CD2" i="1"/>
  <c r="CE2" i="1"/>
  <c r="CF2" i="1"/>
  <c r="CG2" i="1"/>
  <c r="CH2" i="1"/>
  <c r="CI2" i="1"/>
  <c r="CJ2" i="1"/>
  <c r="CK2" i="1"/>
  <c r="CL2" i="1"/>
  <c r="CM2" i="1"/>
  <c r="CN2" i="1"/>
  <c r="CO2" i="1"/>
  <c r="G2" i="1"/>
  <c r="F2" i="1"/>
  <c r="E2" i="1"/>
  <c r="D2" i="1"/>
  <c r="E8" i="3"/>
  <c r="F14" i="6" s="1"/>
  <c r="E9" i="3"/>
  <c r="F15" i="6" s="1"/>
  <c r="E10" i="3"/>
  <c r="F16" i="6" s="1"/>
  <c r="E11" i="3"/>
  <c r="F17" i="6" s="1"/>
  <c r="E12" i="3"/>
  <c r="F18" i="6" s="1"/>
  <c r="E13" i="3"/>
  <c r="F19" i="6" s="1"/>
  <c r="E14" i="3"/>
  <c r="F20" i="6" s="1"/>
  <c r="E15" i="3"/>
  <c r="F21" i="6" s="1"/>
  <c r="E16" i="3"/>
  <c r="F22" i="6" s="1"/>
  <c r="D1" i="1"/>
  <c r="E1" i="1"/>
  <c r="F1" i="1"/>
  <c r="G1" i="1"/>
  <c r="H1" i="1"/>
  <c r="I1" i="1"/>
  <c r="J1" i="1"/>
  <c r="K1" i="1"/>
  <c r="L1" i="1"/>
  <c r="M1" i="1"/>
  <c r="N1" i="1"/>
  <c r="O1" i="1"/>
  <c r="P1" i="1"/>
  <c r="Q1" i="1"/>
  <c r="R1" i="1"/>
  <c r="S1" i="1"/>
  <c r="T1" i="1"/>
  <c r="U1" i="1"/>
  <c r="V1" i="1"/>
  <c r="W1" i="1"/>
  <c r="X1" i="1"/>
  <c r="Y1" i="1"/>
  <c r="Z1" i="1"/>
  <c r="AA1" i="1"/>
  <c r="AB1" i="1"/>
  <c r="AC1" i="1"/>
  <c r="AD1" i="1"/>
  <c r="AE1" i="1"/>
  <c r="AF1" i="1"/>
  <c r="AG1" i="1"/>
  <c r="AH1" i="1"/>
  <c r="AI1" i="1"/>
  <c r="AJ1" i="1"/>
  <c r="AK1" i="1"/>
  <c r="AL1" i="1"/>
  <c r="AM1" i="1"/>
  <c r="AN1" i="1"/>
  <c r="AO1" i="1"/>
  <c r="AP1" i="1"/>
  <c r="AQ1" i="1"/>
  <c r="AR1" i="1"/>
  <c r="AS1" i="1"/>
  <c r="AT1" i="1"/>
  <c r="AU1" i="1"/>
  <c r="AV1" i="1"/>
  <c r="AW1" i="1"/>
  <c r="AX1" i="1"/>
  <c r="AY1" i="1"/>
  <c r="AZ1" i="1"/>
  <c r="BA1" i="1"/>
  <c r="BB1" i="1"/>
  <c r="BC1" i="1"/>
  <c r="BD1" i="1"/>
  <c r="BE1" i="1"/>
  <c r="BF1" i="1"/>
  <c r="BG1" i="1"/>
  <c r="BH1" i="1"/>
  <c r="BI1" i="1"/>
  <c r="BJ1" i="1"/>
  <c r="BK1" i="1"/>
  <c r="BL1" i="1"/>
  <c r="BM1" i="1"/>
  <c r="BN1" i="1"/>
  <c r="BO1" i="1"/>
  <c r="BP1" i="1"/>
  <c r="BQ1" i="1"/>
  <c r="BR1" i="1"/>
  <c r="BS1" i="1"/>
  <c r="BT1" i="1"/>
  <c r="BU1" i="1"/>
  <c r="BV1" i="1"/>
  <c r="BW1" i="1"/>
  <c r="BX1" i="1"/>
  <c r="BY1" i="1"/>
  <c r="BZ1" i="1"/>
  <c r="CA1" i="1"/>
  <c r="CB1" i="1"/>
  <c r="CC1" i="1"/>
  <c r="CD1" i="1"/>
  <c r="CE1" i="1"/>
  <c r="CF1" i="1"/>
  <c r="CG1" i="1"/>
  <c r="CH1" i="1"/>
  <c r="CI1" i="1"/>
  <c r="CJ1" i="1"/>
  <c r="CK1" i="1"/>
  <c r="CL1" i="1"/>
  <c r="CM1" i="1"/>
  <c r="CN1" i="1"/>
  <c r="CO1" i="1"/>
  <c r="D4" i="21" l="1"/>
  <c r="D6" i="21"/>
  <c r="F20" i="13" s="1"/>
  <c r="D9" i="21"/>
  <c r="F23" i="13" s="1"/>
  <c r="D8" i="21"/>
  <c r="F22" i="13" s="1"/>
  <c r="D5" i="21"/>
  <c r="F19" i="13" s="1"/>
  <c r="D10" i="21"/>
  <c r="F24" i="13" s="1"/>
  <c r="D11" i="21"/>
  <c r="F25" i="13" s="1"/>
  <c r="D12" i="21"/>
  <c r="F26" i="13" s="1"/>
  <c r="D7" i="21"/>
  <c r="F21" i="13" s="1"/>
  <c r="F18" i="13"/>
  <c r="E76" i="2"/>
  <c r="F76" i="2" s="1"/>
  <c r="G76" i="2" s="1"/>
  <c r="H76" i="2" s="1"/>
  <c r="E91" i="2"/>
  <c r="F91" i="2" s="1"/>
  <c r="G91" i="2" s="1"/>
  <c r="H91" i="2" s="1"/>
  <c r="E83" i="2"/>
  <c r="F83" i="2" s="1"/>
  <c r="G83" i="2" s="1"/>
  <c r="H83" i="2" s="1"/>
  <c r="E75" i="2"/>
  <c r="F75" i="2" s="1"/>
  <c r="G75" i="2" s="1"/>
  <c r="H75" i="2" s="1"/>
  <c r="E67" i="2"/>
  <c r="F67" i="2" s="1"/>
  <c r="G67" i="2" s="1"/>
  <c r="H67" i="2" s="1"/>
  <c r="E59" i="2"/>
  <c r="F59" i="2" s="1"/>
  <c r="G59" i="2" s="1"/>
  <c r="H59" i="2" s="1"/>
  <c r="E51" i="2"/>
  <c r="F51" i="2" s="1"/>
  <c r="G51" i="2" s="1"/>
  <c r="H51" i="2" s="1"/>
  <c r="E43" i="2"/>
  <c r="F43" i="2" s="1"/>
  <c r="G43" i="2" s="1"/>
  <c r="H43" i="2" s="1"/>
  <c r="E35" i="2"/>
  <c r="F35" i="2" s="1"/>
  <c r="G35" i="2" s="1"/>
  <c r="H35" i="2" s="1"/>
  <c r="E27" i="2"/>
  <c r="F27" i="2" s="1"/>
  <c r="G27" i="2" s="1"/>
  <c r="H27" i="2" s="1"/>
  <c r="E19" i="2"/>
  <c r="F19" i="2" s="1"/>
  <c r="G19" i="2" s="1"/>
  <c r="H19" i="2" s="1"/>
  <c r="E11" i="2"/>
  <c r="F11" i="2" s="1"/>
  <c r="G11" i="2" s="1"/>
  <c r="H11" i="2" s="1"/>
  <c r="E84" i="2"/>
  <c r="F84" i="2" s="1"/>
  <c r="G84" i="2" s="1"/>
  <c r="H84" i="2" s="1"/>
  <c r="E36" i="2"/>
  <c r="F36" i="2" s="1"/>
  <c r="G36" i="2" s="1"/>
  <c r="H36" i="2" s="1"/>
  <c r="E82" i="2"/>
  <c r="F82" i="2" s="1"/>
  <c r="G82" i="2" s="1"/>
  <c r="H82" i="2" s="1"/>
  <c r="E10" i="2"/>
  <c r="F10" i="2" s="1"/>
  <c r="G10" i="2" s="1"/>
  <c r="H10" i="2" s="1"/>
  <c r="E44" i="2"/>
  <c r="F44" i="2" s="1"/>
  <c r="G44" i="2" s="1"/>
  <c r="H44" i="2" s="1"/>
  <c r="E42" i="2"/>
  <c r="F42" i="2" s="1"/>
  <c r="G42" i="2" s="1"/>
  <c r="H42" i="2" s="1"/>
  <c r="E97" i="2"/>
  <c r="F97" i="2" s="1"/>
  <c r="G97" i="2" s="1"/>
  <c r="H97" i="2" s="1"/>
  <c r="E89" i="2"/>
  <c r="F89" i="2" s="1"/>
  <c r="G89" i="2" s="1"/>
  <c r="H89" i="2" s="1"/>
  <c r="E81" i="2"/>
  <c r="F81" i="2" s="1"/>
  <c r="G81" i="2" s="1"/>
  <c r="H81" i="2" s="1"/>
  <c r="E73" i="2"/>
  <c r="F73" i="2" s="1"/>
  <c r="G73" i="2" s="1"/>
  <c r="H73" i="2" s="1"/>
  <c r="E65" i="2"/>
  <c r="F65" i="2" s="1"/>
  <c r="G65" i="2" s="1"/>
  <c r="H65" i="2" s="1"/>
  <c r="E57" i="2"/>
  <c r="F57" i="2" s="1"/>
  <c r="G57" i="2" s="1"/>
  <c r="H57" i="2" s="1"/>
  <c r="E49" i="2"/>
  <c r="F49" i="2" s="1"/>
  <c r="G49" i="2" s="1"/>
  <c r="H49" i="2" s="1"/>
  <c r="E41" i="2"/>
  <c r="F41" i="2" s="1"/>
  <c r="G41" i="2" s="1"/>
  <c r="H41" i="2" s="1"/>
  <c r="E33" i="2"/>
  <c r="F33" i="2" s="1"/>
  <c r="G33" i="2" s="1"/>
  <c r="H33" i="2" s="1"/>
  <c r="E25" i="2"/>
  <c r="F25" i="2" s="1"/>
  <c r="G25" i="2" s="1"/>
  <c r="H25" i="2" s="1"/>
  <c r="E17" i="2"/>
  <c r="F17" i="2" s="1"/>
  <c r="G17" i="2" s="1"/>
  <c r="H17" i="2" s="1"/>
  <c r="E9" i="2"/>
  <c r="F9" i="2" s="1"/>
  <c r="E68" i="2"/>
  <c r="F68" i="2" s="1"/>
  <c r="G68" i="2" s="1"/>
  <c r="H68" i="2" s="1"/>
  <c r="E12" i="2"/>
  <c r="E66" i="2"/>
  <c r="F66" i="2" s="1"/>
  <c r="G66" i="2" s="1"/>
  <c r="H66" i="2" s="1"/>
  <c r="E18" i="2"/>
  <c r="F18" i="2" s="1"/>
  <c r="G18" i="2" s="1"/>
  <c r="H18" i="2" s="1"/>
  <c r="E88" i="2"/>
  <c r="F88" i="2" s="1"/>
  <c r="G88" i="2" s="1"/>
  <c r="H88" i="2" s="1"/>
  <c r="E80" i="2"/>
  <c r="F80" i="2" s="1"/>
  <c r="G80" i="2" s="1"/>
  <c r="H80" i="2" s="1"/>
  <c r="E72" i="2"/>
  <c r="F72" i="2" s="1"/>
  <c r="G72" i="2" s="1"/>
  <c r="H72" i="2" s="1"/>
  <c r="E64" i="2"/>
  <c r="F64" i="2" s="1"/>
  <c r="G64" i="2" s="1"/>
  <c r="H64" i="2" s="1"/>
  <c r="E56" i="2"/>
  <c r="F56" i="2" s="1"/>
  <c r="G56" i="2" s="1"/>
  <c r="H56" i="2" s="1"/>
  <c r="E48" i="2"/>
  <c r="F48" i="2" s="1"/>
  <c r="G48" i="2" s="1"/>
  <c r="H48" i="2" s="1"/>
  <c r="E40" i="2"/>
  <c r="F40" i="2" s="1"/>
  <c r="G40" i="2" s="1"/>
  <c r="H40" i="2" s="1"/>
  <c r="E32" i="2"/>
  <c r="F32" i="2" s="1"/>
  <c r="G32" i="2" s="1"/>
  <c r="H32" i="2" s="1"/>
  <c r="E24" i="2"/>
  <c r="F24" i="2" s="1"/>
  <c r="G24" i="2" s="1"/>
  <c r="H24" i="2" s="1"/>
  <c r="E16" i="2"/>
  <c r="E8" i="2"/>
  <c r="F8" i="2" s="1"/>
  <c r="G8" i="2" s="1"/>
  <c r="E60" i="2"/>
  <c r="F60" i="2" s="1"/>
  <c r="G60" i="2" s="1"/>
  <c r="H60" i="2" s="1"/>
  <c r="E20" i="2"/>
  <c r="F20" i="2" s="1"/>
  <c r="G20" i="2" s="1"/>
  <c r="H20" i="2" s="1"/>
  <c r="E58" i="2"/>
  <c r="F58" i="2" s="1"/>
  <c r="G58" i="2" s="1"/>
  <c r="H58" i="2" s="1"/>
  <c r="E26" i="2"/>
  <c r="F26" i="2" s="1"/>
  <c r="G26" i="2" s="1"/>
  <c r="H26" i="2" s="1"/>
  <c r="E96" i="2"/>
  <c r="F96" i="2" s="1"/>
  <c r="G96" i="2" s="1"/>
  <c r="H96" i="2" s="1"/>
  <c r="E95" i="2"/>
  <c r="F95" i="2" s="1"/>
  <c r="G95" i="2" s="1"/>
  <c r="H95" i="2" s="1"/>
  <c r="E87" i="2"/>
  <c r="F87" i="2" s="1"/>
  <c r="G87" i="2" s="1"/>
  <c r="H87" i="2" s="1"/>
  <c r="E79" i="2"/>
  <c r="F79" i="2" s="1"/>
  <c r="G79" i="2" s="1"/>
  <c r="H79" i="2" s="1"/>
  <c r="E71" i="2"/>
  <c r="F71" i="2" s="1"/>
  <c r="G71" i="2" s="1"/>
  <c r="H71" i="2" s="1"/>
  <c r="E63" i="2"/>
  <c r="F63" i="2" s="1"/>
  <c r="G63" i="2" s="1"/>
  <c r="H63" i="2" s="1"/>
  <c r="E55" i="2"/>
  <c r="F55" i="2" s="1"/>
  <c r="G55" i="2" s="1"/>
  <c r="H55" i="2" s="1"/>
  <c r="E47" i="2"/>
  <c r="F47" i="2" s="1"/>
  <c r="G47" i="2" s="1"/>
  <c r="H47" i="2" s="1"/>
  <c r="E39" i="2"/>
  <c r="F39" i="2" s="1"/>
  <c r="G39" i="2" s="1"/>
  <c r="H39" i="2" s="1"/>
  <c r="E31" i="2"/>
  <c r="F31" i="2" s="1"/>
  <c r="G31" i="2" s="1"/>
  <c r="H31" i="2" s="1"/>
  <c r="E23" i="2"/>
  <c r="F23" i="2" s="1"/>
  <c r="G23" i="2" s="1"/>
  <c r="H23" i="2" s="1"/>
  <c r="E15" i="2"/>
  <c r="F15" i="2" s="1"/>
  <c r="G15" i="2" s="1"/>
  <c r="H15" i="2" s="1"/>
  <c r="E92" i="2"/>
  <c r="F92" i="2" s="1"/>
  <c r="G92" i="2" s="1"/>
  <c r="H92" i="2" s="1"/>
  <c r="E28" i="2"/>
  <c r="F28" i="2" s="1"/>
  <c r="G28" i="2" s="1"/>
  <c r="H28" i="2" s="1"/>
  <c r="E74" i="2"/>
  <c r="F74" i="2" s="1"/>
  <c r="G74" i="2" s="1"/>
  <c r="H74" i="2" s="1"/>
  <c r="E34" i="2"/>
  <c r="F34" i="2" s="1"/>
  <c r="G34" i="2" s="1"/>
  <c r="H34" i="2" s="1"/>
  <c r="E94" i="2"/>
  <c r="F94" i="2" s="1"/>
  <c r="G94" i="2" s="1"/>
  <c r="H94" i="2" s="1"/>
  <c r="E78" i="2"/>
  <c r="F78" i="2" s="1"/>
  <c r="G78" i="2" s="1"/>
  <c r="H78" i="2" s="1"/>
  <c r="E62" i="2"/>
  <c r="F62" i="2" s="1"/>
  <c r="G62" i="2" s="1"/>
  <c r="H62" i="2" s="1"/>
  <c r="E46" i="2"/>
  <c r="F46" i="2" s="1"/>
  <c r="G46" i="2" s="1"/>
  <c r="H46" i="2" s="1"/>
  <c r="E38" i="2"/>
  <c r="F38" i="2" s="1"/>
  <c r="G38" i="2" s="1"/>
  <c r="H38" i="2" s="1"/>
  <c r="E30" i="2"/>
  <c r="F30" i="2" s="1"/>
  <c r="G30" i="2" s="1"/>
  <c r="H30" i="2" s="1"/>
  <c r="E22" i="2"/>
  <c r="F22" i="2" s="1"/>
  <c r="G22" i="2" s="1"/>
  <c r="H22" i="2" s="1"/>
  <c r="E14" i="2"/>
  <c r="E52" i="2"/>
  <c r="F52" i="2" s="1"/>
  <c r="G52" i="2" s="1"/>
  <c r="H52" i="2" s="1"/>
  <c r="E90" i="2"/>
  <c r="F90" i="2" s="1"/>
  <c r="G90" i="2" s="1"/>
  <c r="H90" i="2" s="1"/>
  <c r="E50" i="2"/>
  <c r="F50" i="2" s="1"/>
  <c r="G50" i="2" s="1"/>
  <c r="H50" i="2" s="1"/>
  <c r="E86" i="2"/>
  <c r="F86" i="2" s="1"/>
  <c r="G86" i="2" s="1"/>
  <c r="H86" i="2" s="1"/>
  <c r="E70" i="2"/>
  <c r="F70" i="2" s="1"/>
  <c r="G70" i="2" s="1"/>
  <c r="H70" i="2" s="1"/>
  <c r="E54" i="2"/>
  <c r="F54" i="2" s="1"/>
  <c r="G54" i="2" s="1"/>
  <c r="H54" i="2" s="1"/>
  <c r="E93" i="2"/>
  <c r="F93" i="2" s="1"/>
  <c r="G93" i="2" s="1"/>
  <c r="H93" i="2" s="1"/>
  <c r="E85" i="2"/>
  <c r="F85" i="2" s="1"/>
  <c r="G85" i="2" s="1"/>
  <c r="H85" i="2" s="1"/>
  <c r="E77" i="2"/>
  <c r="F77" i="2" s="1"/>
  <c r="G77" i="2" s="1"/>
  <c r="H77" i="2" s="1"/>
  <c r="E69" i="2"/>
  <c r="F69" i="2" s="1"/>
  <c r="G69" i="2" s="1"/>
  <c r="H69" i="2" s="1"/>
  <c r="E61" i="2"/>
  <c r="F61" i="2" s="1"/>
  <c r="G61" i="2" s="1"/>
  <c r="H61" i="2" s="1"/>
  <c r="E53" i="2"/>
  <c r="F53" i="2" s="1"/>
  <c r="G53" i="2" s="1"/>
  <c r="H53" i="2" s="1"/>
  <c r="E45" i="2"/>
  <c r="F45" i="2" s="1"/>
  <c r="G45" i="2" s="1"/>
  <c r="H45" i="2" s="1"/>
  <c r="E37" i="2"/>
  <c r="F37" i="2" s="1"/>
  <c r="G37" i="2" s="1"/>
  <c r="H37" i="2" s="1"/>
  <c r="E29" i="2"/>
  <c r="F29" i="2" s="1"/>
  <c r="G29" i="2" s="1"/>
  <c r="H29" i="2" s="1"/>
  <c r="E21" i="2"/>
  <c r="F21" i="2" s="1"/>
  <c r="G21" i="2" s="1"/>
  <c r="H21" i="2" s="1"/>
  <c r="E13" i="2"/>
  <c r="F13" i="2" s="1"/>
  <c r="G13" i="2" s="1"/>
  <c r="H13" i="2" s="1"/>
  <c r="B19" i="13" l="1"/>
  <c r="B18" i="13"/>
  <c r="B17" i="13"/>
  <c r="B20" i="3"/>
  <c r="B18" i="3"/>
  <c r="B19" i="3"/>
  <c r="B17" i="3"/>
  <c r="B16" i="3"/>
  <c r="E10" i="13" s="1"/>
  <c r="B12" i="3"/>
  <c r="E6" i="13" s="1"/>
  <c r="B11" i="3"/>
  <c r="E5" i="13" s="1"/>
  <c r="B15" i="3"/>
  <c r="E9" i="13" s="1"/>
  <c r="B10" i="3"/>
  <c r="E4" i="13" s="1"/>
  <c r="B14" i="3"/>
  <c r="E8" i="13" s="1"/>
  <c r="B13" i="3"/>
  <c r="E7" i="13" s="1"/>
  <c r="F12" i="2"/>
  <c r="G12" i="2" s="1"/>
  <c r="H12" i="2" s="1"/>
  <c r="F14" i="2"/>
  <c r="G14" i="2" s="1"/>
  <c r="F16" i="2"/>
  <c r="G16" i="2" s="1"/>
  <c r="H16" i="2" s="1"/>
  <c r="D17" i="3" l="1"/>
  <c r="E11" i="13"/>
  <c r="F11" i="13" s="1"/>
  <c r="K10" i="13" s="1"/>
  <c r="D20" i="3"/>
  <c r="E14" i="13"/>
  <c r="F14" i="13" s="1"/>
  <c r="K13" i="13" s="1"/>
  <c r="D19" i="3"/>
  <c r="E13" i="13"/>
  <c r="F13" i="13" s="1"/>
  <c r="K12" i="13" s="1"/>
  <c r="D18" i="3"/>
  <c r="E12" i="13"/>
  <c r="F12" i="13" s="1"/>
  <c r="K11" i="13" s="1"/>
  <c r="F7" i="13"/>
  <c r="K6" i="13" s="1"/>
  <c r="D13" i="3"/>
  <c r="E19" i="6" s="1"/>
  <c r="G19" i="6" s="1"/>
  <c r="F8" i="13"/>
  <c r="K7" i="13" s="1"/>
  <c r="D14" i="3"/>
  <c r="E20" i="6" s="1"/>
  <c r="G20" i="6" s="1"/>
  <c r="F4" i="13"/>
  <c r="K3" i="13" s="1"/>
  <c r="D10" i="3"/>
  <c r="E16" i="6" s="1"/>
  <c r="G16" i="6" s="1"/>
  <c r="F9" i="13"/>
  <c r="K8" i="13" s="1"/>
  <c r="D15" i="3"/>
  <c r="E21" i="6" s="1"/>
  <c r="G21" i="6" s="1"/>
  <c r="F5" i="13"/>
  <c r="K4" i="13" s="1"/>
  <c r="D11" i="3"/>
  <c r="E17" i="6" s="1"/>
  <c r="G17" i="6" s="1"/>
  <c r="F6" i="13"/>
  <c r="K5" i="13" s="1"/>
  <c r="D12" i="3"/>
  <c r="E18" i="6" s="1"/>
  <c r="G18" i="6" s="1"/>
  <c r="F10" i="13"/>
  <c r="K9" i="13" s="1"/>
  <c r="D16" i="3"/>
  <c r="H14" i="2"/>
  <c r="B9" i="3" s="1"/>
  <c r="G9" i="2"/>
  <c r="H9" i="2" s="1"/>
  <c r="H8" i="2"/>
  <c r="E3" i="13" l="1"/>
  <c r="F3" i="13" s="1"/>
  <c r="K2" i="13" s="1"/>
  <c r="E22" i="6"/>
  <c r="G22" i="6" s="1"/>
  <c r="E23" i="6"/>
  <c r="G23" i="6" s="1"/>
  <c r="E24" i="6"/>
  <c r="G24" i="6" s="1"/>
  <c r="E25" i="6"/>
  <c r="G25" i="6" s="1"/>
  <c r="E26" i="6"/>
  <c r="G26" i="6" s="1"/>
  <c r="D9" i="3"/>
  <c r="E15" i="6" s="1"/>
  <c r="G15" i="6" s="1"/>
  <c r="B8" i="3"/>
  <c r="D8" i="3" s="1"/>
  <c r="E14" i="6" l="1"/>
  <c r="G14" i="6" s="1"/>
  <c r="E2" i="13"/>
  <c r="F2" i="13" s="1"/>
  <c r="B5" i="13" l="1"/>
  <c r="B3" i="13"/>
  <c r="B4" i="13"/>
  <c r="B2" i="13"/>
  <c r="B29" i="13"/>
  <c r="B30" i="13"/>
  <c r="B28" i="13"/>
  <c r="K1"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tc={5A76AA89-24B4-AC4E-A5CB-69CEE8A06D41}</author>
  </authors>
  <commentList>
    <comment ref="C7" authorId="0" shapeId="0" xr:uid="{5A76AA89-24B4-AC4E-A5CB-69CEE8A06D4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 classificação da Probabilidade deve ser feita por cada setor. Ou seja sempre que um setor for filtrado, é preciso inserir a probabilidade dele aqui para que os resultados não fiquem iguais.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abela_2" description="Conexão com a consulta 'Tabela_2' na pasta de trabalho." type="5" refreshedVersion="8" background="1" saveData="1">
    <dbPr connection="Provider=Microsoft.Mashup.OleDb.1;Data Source=$Workbook$;Location=Tabela_2;Extended Properties=&quot;&quot;" command="SELECT * FROM [Tabela_2]"/>
  </connection>
</connections>
</file>

<file path=xl/sharedStrings.xml><?xml version="1.0" encoding="utf-8"?>
<sst xmlns="http://schemas.openxmlformats.org/spreadsheetml/2006/main" count="782" uniqueCount="354">
  <si>
    <t>Carimbo de data/hora</t>
  </si>
  <si>
    <t xml:space="preserve">Qual o seu cargo/ Função? </t>
  </si>
  <si>
    <t xml:space="preserve">Qual o seu Setor? </t>
  </si>
  <si>
    <t>Tópico</t>
  </si>
  <si>
    <t>Nº</t>
  </si>
  <si>
    <t>Pergunta</t>
  </si>
  <si>
    <t>Lógica</t>
  </si>
  <si>
    <t>Pontuação Corrigida</t>
  </si>
  <si>
    <t>Gravidade</t>
  </si>
  <si>
    <t>Probabilidade</t>
  </si>
  <si>
    <t>GravidadeNum</t>
  </si>
  <si>
    <t>Você já presenciou ou sofreu comentários ofensivos, piadas ou insinuações inadequadas no ambiente de trabalho?</t>
  </si>
  <si>
    <t>Direta</t>
  </si>
  <si>
    <t>Você se sente à vontade para relatar situações de assédio moral ou sexual na empresa sem medo de represálias?</t>
  </si>
  <si>
    <t>Invertida</t>
  </si>
  <si>
    <t>Existe um canal seguro e sigiloso para denunciar assédio na empresa?</t>
  </si>
  <si>
    <t>Há casos conhecidos de assédio moral ou sexual que não foram devidamente investigados ou punidos?</t>
  </si>
  <si>
    <t>O RH e os gestores demonstram comprometimento real com a prevenção do assédio?</t>
  </si>
  <si>
    <t>Você frequentemente precisa fazer horas extras ou levar trabalho para casa?</t>
  </si>
  <si>
    <t>Você sente que seu esforço e desempenho são reconhecidos pela liderança?</t>
  </si>
  <si>
    <t>Você sente que há igualdade no reconhecimento entre diferentes áreas ou equipes?</t>
  </si>
  <si>
    <t>Os gestores promovem um ambiente saudável e respeitoso?</t>
  </si>
  <si>
    <t>Você sente que pode contar com seus colegas em momentos de dificuldade?</t>
  </si>
  <si>
    <t>O excesso de controle ou burocracia interfere no seu desempenho?</t>
  </si>
  <si>
    <t>Você já presenciou casos de demissões injustas?</t>
  </si>
  <si>
    <t>Média Gravidade</t>
  </si>
  <si>
    <t>Média Probabilidade</t>
  </si>
  <si>
    <t>Classificação Gravidade</t>
  </si>
  <si>
    <t>Classificação Probabilidade</t>
  </si>
  <si>
    <t>Média</t>
  </si>
  <si>
    <t>Alta</t>
  </si>
  <si>
    <t>Baixa</t>
  </si>
  <si>
    <t>Item</t>
  </si>
  <si>
    <t>Descrição</t>
  </si>
  <si>
    <t>Lógica Direta</t>
  </si>
  <si>
    <t>Lógica Invertida</t>
  </si>
  <si>
    <t>Campo calculado automaticamente com base na lógica direta ou invertida.</t>
  </si>
  <si>
    <t>Classificação do risco com base na Pontuação Corrigida: Alta (&gt;=3), Média (=2), Baixa (&lt;=1).</t>
  </si>
  <si>
    <t>Conversão de texto para número: Alta = 3, Média = 2, Baixa = 1. Usado para cálculo de médias.</t>
  </si>
  <si>
    <t>Media</t>
  </si>
  <si>
    <t>CNPJ</t>
  </si>
  <si>
    <t>00.000.000/0000-00</t>
  </si>
  <si>
    <t xml:space="preserve">Setor </t>
  </si>
  <si>
    <t>Possiveis Agravos a saúde Mental:</t>
  </si>
  <si>
    <t>Medidas de Controle Existentes:</t>
  </si>
  <si>
    <t xml:space="preserve">Gravidade  (Severidade) </t>
  </si>
  <si>
    <t xml:space="preserve">Probabilidade de Ocorrência </t>
  </si>
  <si>
    <t xml:space="preserve">Matriz Risco </t>
  </si>
  <si>
    <t>Falta de Reconhecimento e Recompensas</t>
  </si>
  <si>
    <t>Clima Organizacional</t>
  </si>
  <si>
    <t>Falta Autonomia e Controle sobre o Trabalho</t>
  </si>
  <si>
    <t>Pressão e Metas Irrealistas</t>
  </si>
  <si>
    <t>Insegurança e Ameaças</t>
  </si>
  <si>
    <t>Conflitos Interpessoais e Falta de Comunicação</t>
  </si>
  <si>
    <t>Alinhamento entre Vida Pessoal e Profissional</t>
  </si>
  <si>
    <t/>
  </si>
  <si>
    <t>BAIXO</t>
  </si>
  <si>
    <t>MÉDIO</t>
  </si>
  <si>
    <t>ALTO</t>
  </si>
  <si>
    <t>CRÍTICO</t>
  </si>
  <si>
    <t>MÉDIA</t>
  </si>
  <si>
    <t>Baixo</t>
  </si>
  <si>
    <t>Médio</t>
  </si>
  <si>
    <t>Alto</t>
  </si>
  <si>
    <t>Crítico</t>
  </si>
  <si>
    <t xml:space="preserve">Acão de Prevencão e Controle </t>
  </si>
  <si>
    <t xml:space="preserve">DRPS - Diagnóstico de 
Riscos Psicossociais </t>
  </si>
  <si>
    <t xml:space="preserve">Monitoramento do Desempenho Psicosocial </t>
  </si>
  <si>
    <t>Essa Aplicacão poderá ser feita apartir de 5 meses Após a Realizacao do DRPS</t>
  </si>
  <si>
    <t xml:space="preserve">Risco Baixo </t>
  </si>
  <si>
    <t xml:space="preserve">Progamas Prevencionistas </t>
  </si>
  <si>
    <t>Risco Moderado</t>
  </si>
  <si>
    <t>✅</t>
  </si>
  <si>
    <t>Risco Alto</t>
  </si>
  <si>
    <t>➡️</t>
  </si>
  <si>
    <t xml:space="preserve">Revisão e Melhoria Contínua </t>
  </si>
  <si>
    <t xml:space="preserve">Check List de Aplicacão das acões </t>
  </si>
  <si>
    <t xml:space="preserve">Reunião Mensal com a Gestão e RH </t>
  </si>
  <si>
    <t xml:space="preserve">Reaplicacão do DRPS </t>
  </si>
  <si>
    <t xml:space="preserve">Auditoria Interna do Sistema de Gestão Piscosocial </t>
  </si>
  <si>
    <t xml:space="preserve">Treinamento de lideres, gestão, e RH. </t>
  </si>
  <si>
    <t xml:space="preserve">TST, Eng, MT, Enf., RH, Compras, CIPA, SIPAT, Ergonomista </t>
  </si>
  <si>
    <t>Avaliação Qualitativa da Probabilidade de Ocorrência dos Riscos Psicossociais</t>
  </si>
  <si>
    <t>SETOR:</t>
  </si>
  <si>
    <t>Critério</t>
  </si>
  <si>
    <t>Opções de Resposta para Avaliacão do Psicólogo</t>
  </si>
  <si>
    <t>Pontuacao Atribuida a Probabilidade</t>
  </si>
  <si>
    <t>Frequência</t>
  </si>
  <si>
    <t>Com que regularidade o risco psicossocial ocorre no ambiente de trabalho?</t>
  </si>
  <si>
    <t>Nunca, Raramente, Ocasionalmente, Frequentemente, Sempre</t>
  </si>
  <si>
    <t>1 - Baixa / 2 Média / 3 Alta</t>
  </si>
  <si>
    <t>Qual é a duração típica dos episódios desse risco?</t>
  </si>
  <si>
    <t>Menos de uma hora, Algumas horas, Um dia inteiro, Vários dias consecutivos</t>
  </si>
  <si>
    <t>Quantos colaboradores são afetados simultaneamente quando o risco ocorre?</t>
  </si>
  <si>
    <t>Nenhum, 1-2 colaboradores, 3-5 colaboradores, Mais de 5 colaboradores</t>
  </si>
  <si>
    <t>Histórico do Risco no Setor</t>
  </si>
  <si>
    <t>Há registros anteriores de incidentes relacionados a esse risco no setor?</t>
  </si>
  <si>
    <t>Não há registros, Registros esporádicos, Registros ocasionais, Registros frequentes, Registros constantes</t>
  </si>
  <si>
    <t>Qual foi a gravidade dos incidentes anteriores relacionados a esse risco?</t>
  </si>
  <si>
    <t>Nenhum impacto, Impacto leve, Impacto moderado, Impacto significativo, Impacto severo</t>
  </si>
  <si>
    <t>As causas desses incidentes foram identificadas e abordadas de forma eficaz?</t>
  </si>
  <si>
    <t>Não identificadas, Identificadas, mas não abordadas, Identificadas e parcialmente abordadas, Identificadas e totalmente abordadas</t>
  </si>
  <si>
    <t>Recursos Disponíveis</t>
  </si>
  <si>
    <t>Quais medidas preventivas estão atualmente implementadas para mitigar esse risco?</t>
  </si>
  <si>
    <t>Nenhuma medida, Medidas informais, Procedimentos formais documentados, Treinamentos regulares, Suporte psicológico disponível</t>
  </si>
  <si>
    <t>Com que frequência as medidas preventivas existentes são revisadas ou atualizadas?</t>
  </si>
  <si>
    <t>Nunca, Raramente, Anualmente, Semestralmente, Trimestralmente ou mais frequentemente</t>
  </si>
  <si>
    <t>Qual é o nível de conhecimento e treinamento dos gestores e colaboradores sobre as medidas de mitigação disponíveis?</t>
  </si>
  <si>
    <t>Nenhum conhecimento, Conhecimento básico, Conhecimento intermediário, Alto nível de conhecimento</t>
  </si>
  <si>
    <t>Existem recursos dedicados para apoiar a implementação e monitoramento das medidas de mitigação?</t>
  </si>
  <si>
    <t>Não existem recursos dedicados, Recursos limitados disponíveis, Recursos adequados disponíveis, Recursos amplamente disponíveis e acessíveis</t>
  </si>
  <si>
    <t xml:space="preserve">Critério </t>
  </si>
  <si>
    <t xml:space="preserve">Quantitativo e Qualitativo </t>
  </si>
  <si>
    <t>DRPS - DIAGNÓSTICO DE RISCOS PSICOSSOCIAIS</t>
  </si>
  <si>
    <t>CRP:</t>
  </si>
  <si>
    <t>Escala</t>
  </si>
  <si>
    <t>A probabilidade é Classificação da chance do risco ocorrer com base na Resposta Original: Alta (&gt;=3), Média (=2), Baixa (&lt;=1).</t>
  </si>
  <si>
    <t>Explicação</t>
  </si>
  <si>
    <t>Nessa aba contém todas informações sobre o critério de cálculo dessa planilha, e também orientações de uso. </t>
  </si>
  <si>
    <t>Critérios de Probabilidade </t>
  </si>
  <si>
    <t>Dados Do Forms </t>
  </si>
  <si>
    <t>Gravidade Num / Probabilidade Num</t>
  </si>
  <si>
    <t>Análise e Avaliação</t>
  </si>
  <si>
    <t>Identificação. </t>
  </si>
  <si>
    <t>Medida de Controle </t>
  </si>
  <si>
    <t>Monitoramento de Desempenho </t>
  </si>
  <si>
    <t>Sugestão para o monitoramento Contínuo do Risco.</t>
  </si>
  <si>
    <t>Media geral</t>
  </si>
  <si>
    <t>Matriz de Risco</t>
  </si>
  <si>
    <t>Risco Crítico</t>
  </si>
  <si>
    <t xml:space="preserve">Progamas interventivos  </t>
  </si>
  <si>
    <t xml:space="preserve">A cada realizacão de progamas é recomendavél uma reavaliacão do Dignóstico de Risco. </t>
  </si>
  <si>
    <t>IMPORTANTE!</t>
  </si>
  <si>
    <t xml:space="preserve">Ao selecionar um setor ele Gerára em todas as abas os dados do setor. </t>
  </si>
  <si>
    <t xml:space="preserve">Lembre-se de Desmarcar Caso deseja ver os dados Gerais como um todo. </t>
  </si>
  <si>
    <t>Fator de risco Piscossocial:</t>
  </si>
  <si>
    <t xml:space="preserve">Ex: Assédio Moral </t>
  </si>
  <si>
    <t>Ex: Carga Excessiva de Trabalho</t>
  </si>
  <si>
    <t xml:space="preserve">Lembre-se de Desmarcar Caso deseje ver os dados Gerais como um todo. </t>
  </si>
  <si>
    <t>Responsável Técnico pela Avaliação (Psicologo) (a):</t>
  </si>
  <si>
    <t>Funções</t>
  </si>
  <si>
    <t>Quantidade de Trabalhadores na Função:</t>
  </si>
  <si>
    <t>Classificaçao de Risco Psicosocial</t>
  </si>
  <si>
    <t>Data da Elaboração:</t>
  </si>
  <si>
    <t xml:space="preserve">Homens </t>
  </si>
  <si>
    <t>Mulheres</t>
  </si>
  <si>
    <t>(Ex: Tudo aquilo que pode acontecer com esses colaboradores se os riscos psicossocias não forem indentificados e controlados,
 incluindo transtornos psicológicos e emcoionais como o Burnout e outros)</t>
  </si>
  <si>
    <t xml:space="preserve">(Ex: As ações que a empresa já realiza para controle dos riscos psicossociais se houverem). </t>
  </si>
  <si>
    <t>Nessa Aba é possível visualizar por setor a média  (Simples) da gravidade das respostas, além de estar sendo feita
 a conversão dos valores das perguntas abertas e invertidas.  </t>
  </si>
  <si>
    <t>A classificação da Probabilidade deve ser feita por cada setor. Ou seja, sempre que um setor for filtrado, é
 preciso inserir a probabilidade dele aqui para que os resultados não fiquem iguais. </t>
  </si>
  <si>
    <t>Nessa aba está o calendário proposto para ações que promovem a saúde mental e previne o adoecimento emocional decorrente dos riscos
 psicossociais avaliados. Também pode ser alterado pelo Psicólogo ao avaliar as necessidades da empresa. </t>
  </si>
  <si>
    <t>Como são calculadas as médias
 de gravidade e probabilidade?</t>
  </si>
  <si>
    <t xml:space="preserve">Aqui serão gerados os Gráficos com a determinação final da matriz de risco Por Setor, Gravidade por setor, e gravidade geral da empresa. </t>
  </si>
  <si>
    <t xml:space="preserve">Resumo Por tópico </t>
  </si>
  <si>
    <t>A aba 'Resumo por Tópico' calcula automaticamente a média da gravidade de cada bloco de10 perguntas por tema. Classificações são geradas com base nos valores médios. Essa aba fará a classificação das médias, trazendo o resultado automático da média da GRAVIDADE das respostas, já convertidas por cada tópico (Fator de Risco psicossocial). </t>
  </si>
  <si>
    <t>Nessa parte o psicólogo deverá informar seu nome completo e CRP como responsável técnico pela avaliação. Em seguida, colocar
 os dados da empresa e do setor que está filtrado. Para salvar os dados o Psi deverá selecionar todo o quadro e salvar em PDF, ou imagem, 
com o nome do setor. Exemplo: (DRPS - Financeiro) Em seguida é só trocar o setor e os dados fazer um novo salvamento. </t>
  </si>
  <si>
    <t xml:space="preserve">Programa de apoio psicológico </t>
  </si>
  <si>
    <t xml:space="preserve">Programa de gestão do estresse e prevenção ao burnout </t>
  </si>
  <si>
    <t xml:space="preserve">Programa de inteligência emocional para líderes </t>
  </si>
  <si>
    <t xml:space="preserve">Programa de prevenção ao assédio moral e psicológico no trabalho </t>
  </si>
  <si>
    <t xml:space="preserve">Programa de avaliação psicológica </t>
  </si>
  <si>
    <t xml:space="preserve">Programa de psicologia positiva </t>
  </si>
  <si>
    <t xml:space="preserve">Programa de saúde mental e clima organizacional </t>
  </si>
  <si>
    <t xml:space="preserve">Programa de prevenção e manejo da ansiedade </t>
  </si>
  <si>
    <t xml:space="preserve">Programa de equilíbrio vida-trabalho </t>
  </si>
  <si>
    <t xml:space="preserve">Programa de comunicação assertiva e não agressiva </t>
  </si>
  <si>
    <t xml:space="preserve">Programa de formação de multiplicadores da cultura do cuidado </t>
  </si>
  <si>
    <t>Programa de treinamento à equipe de RH para implementação da NR 01</t>
  </si>
  <si>
    <t xml:space="preserve">Plano Anual de Implementação da NR 01 </t>
  </si>
  <si>
    <t>Mês de Implementação</t>
  </si>
  <si>
    <t xml:space="preserve">Financeiro </t>
  </si>
  <si>
    <t>Gravidade Geral</t>
  </si>
  <si>
    <t>Rótulos de Linha</t>
  </si>
  <si>
    <t>Total Geral</t>
  </si>
  <si>
    <t>Média de GravidadeNum</t>
  </si>
  <si>
    <r>
      <t>As informações dessa aba servem para realizar a análise qualitativa da probabilidade do risco por setor.
 Os critérios estão divididos entre freqência, histórico de risco e recursos.O psicólogo deverá fazer a análise através de
 entrevistas e observações baseando-se nos critérios apresentados, e depois determinar: 1 - Baixa / 2 Média / 3 Alta
 Probabilidade para cada setor e cada tópico de risco na aba resumo por tópico, na coluna "Média Probabilidade". </t>
    </r>
    <r>
      <rPr>
        <b/>
        <sz val="11"/>
        <color rgb="FF000000"/>
        <rFont val="Arial"/>
        <family val="2"/>
      </rPr>
      <t>SUGESTÃO: Copiar e colar a aba de critérios de probabilidade em outro arquivo de excel apra ter rascunhos para os diversos setores da empresa).</t>
    </r>
  </si>
  <si>
    <r>
      <t>Aqui deverão ser colados os dados da planilha do forms com as pontuações geradas do questionário.</t>
    </r>
    <r>
      <rPr>
        <b/>
        <sz val="11"/>
        <color rgb="FF000000"/>
        <rFont val="Arial"/>
        <family val="2"/>
      </rPr>
      <t> IMPORTANTE:</t>
    </r>
    <r>
      <rPr>
        <sz val="11"/>
        <color rgb="FF000000"/>
        <rFont val="Arial"/>
        <family val="2"/>
      </rPr>
      <t xml:space="preserve"> Ter muita atenção na 
hora de colar, verificar se está no início de toda a planilha (Linhas e Colunas). </t>
    </r>
  </si>
  <si>
    <r>
      <t xml:space="preserve">Quanto maior a resposta, </t>
    </r>
    <r>
      <rPr>
        <b/>
        <sz val="11"/>
        <color rgb="FF000000"/>
        <rFont val="Arial"/>
        <family val="2"/>
      </rPr>
      <t>maior</t>
    </r>
    <r>
      <rPr>
        <sz val="11"/>
        <color rgb="FF000000"/>
        <rFont val="Arial"/>
        <family val="2"/>
      </rPr>
      <t xml:space="preserve"> o risco psicossocial (ex: 'Você sofre pressão excessiva?').</t>
    </r>
  </si>
  <si>
    <r>
      <t xml:space="preserve">Quanto maior a resposta, </t>
    </r>
    <r>
      <rPr>
        <b/>
        <sz val="11"/>
        <color rgb="FF000000"/>
        <rFont val="Arial"/>
        <family val="2"/>
      </rPr>
      <t>menor</t>
    </r>
    <r>
      <rPr>
        <sz val="11"/>
        <color rgb="FF000000"/>
        <rFont val="Arial"/>
        <family val="2"/>
      </rPr>
      <t xml:space="preserve"> o risco psicossocial (ex: 'Você sente apoio da liderança?').</t>
    </r>
  </si>
  <si>
    <r>
      <t xml:space="preserve">A aba análise e avaliação trará de forma automática os dados (Média da Gravidade, Média da Probabilidade).  do setor que estiver filtrado
 na aba resumo por tópico. E também trará de forma automática, o cruzamento da gravidade com a probabilidade conforme determina
 a matriz de risco da NR 01. Classificando o risco final do tópico e do setor em </t>
    </r>
    <r>
      <rPr>
        <b/>
        <sz val="11"/>
        <color rgb="FF000000"/>
        <rFont val="Arial"/>
        <family val="2"/>
      </rPr>
      <t>baixo, médio, alto ou crítico</t>
    </r>
    <r>
      <rPr>
        <sz val="11"/>
        <color rgb="FF000000"/>
        <rFont val="Arial"/>
        <family val="2"/>
      </rPr>
      <t>. A coluna fonte geradora do risco
, também poderá ser alterada de acordo com a análise do Psicólogo. </t>
    </r>
  </si>
  <si>
    <t>Gravidade Por Setor</t>
  </si>
  <si>
    <t>Existe apoio da liderança para lidar com desafios relacionados ao trabalho?</t>
  </si>
  <si>
    <t>O RH está presente e atuante quando surgem conflitos ou dificuldades no trabalho?</t>
  </si>
  <si>
    <t>Você sente que pode expressar suas dificuldades no trabalho sem ser julgado(a)?</t>
  </si>
  <si>
    <t>Mudanças organizacionais impactaram negativamente seu sentimento de segurança no trabalho?</t>
  </si>
  <si>
    <t>Há comunicação clara sobre mudanças que afetam a empresa ou os trabalhadores?</t>
  </si>
  <si>
    <t>Você já sentiu que seu emprego estava ameaçado sem explicações claras durante períodos de mudança?</t>
  </si>
  <si>
    <t>Existe transparência na comunicação da empresa durante processos de mudança?</t>
  </si>
  <si>
    <t>Você recebe instruções claras sobre suas responsabilidades no trabalho?</t>
  </si>
  <si>
    <t>A comunicação da empresa ajuda você a entender o que é esperado do seu trabalho?</t>
  </si>
  <si>
    <t>A comunicação entre equipes e setores contribui para a clareza das suas tarefas?</t>
  </si>
  <si>
    <t>Você se sente confortável para pedir esclarecimentos quando não entende suas funções ou prioridades?</t>
  </si>
  <si>
    <t>Você recebe feedback construtivo sobre o seu trabalho com regularidade?</t>
  </si>
  <si>
    <t>Você já se sentiu desmotivado(a) por falta de reconhecimento no trabalho?</t>
  </si>
  <si>
    <t>Você tem liberdade para tomar decisões sobre como executar suas tarefas diárias?</t>
  </si>
  <si>
    <t>A empresa confia na sua capacidade de organizar e gerenciar o próprio trabalho?</t>
  </si>
  <si>
    <t>Existe excesso de supervisão que impacte negativamente sua produtividade ou bem-estar?</t>
  </si>
  <si>
    <t>Você acha justas e claras as formas que a empresa usa para avaliar o seu trabalho?</t>
  </si>
  <si>
    <t>Você sente que há transparência nas decisões de desligamento na empresa?</t>
  </si>
  <si>
    <t>Você já vivenciou ou presenciou alguma situação de violência grave no trabalho (como agressão física, ameaça séria ou ataque verbal intenso)?</t>
  </si>
  <si>
    <t>Você já passou por algum evento grave no trabalho (como acidente sério, situação de risco extremo ou episódio muito impactante)?</t>
  </si>
  <si>
    <t>Alguma situação vivida no trabalho já foi tão marcante que deixou medo, choque ou forte abalo emocional?</t>
  </si>
  <si>
    <t>Você sente que, na maior parte do tempo, tem pouco trabalho a realizar durante sua jornada?</t>
  </si>
  <si>
    <t>Você costuma ficar com tempo ocioso no trabalho por falta de tarefas ou demandas claras?</t>
  </si>
  <si>
    <t>Você sente que suas habilidades ou conhecimentos são pouco utilizados no seu trabalho?</t>
  </si>
  <si>
    <t>Seu trabalho costuma ser pouco desafiador ou repetitivo a ponto de gerar desânimo?</t>
  </si>
  <si>
    <t>Você sente que sua carga de trabalho diária é maior do que consegue realizar dentro do horário normal?</t>
  </si>
  <si>
    <t>Você já teve sintomas físicos ou emocionais (como exaustão, ansiedade ou insônia) devido ao excesso de trabalho?</t>
  </si>
  <si>
    <t>A equipe é dimensionada corretamente para a demanda de trabalho existente?</t>
  </si>
  <si>
    <t>Você já evitou colegas ou superiores por causa de desentendimentos frequentes?</t>
  </si>
  <si>
    <t>Você percebe rivalidade excessiva ou desnecessária entre colegas ou setores?</t>
  </si>
  <si>
    <t>Conflitos no trabalho costumam ser resolvidos de forma justa?</t>
  </si>
  <si>
    <t>Você trabalha em condições (como turnos diferentes, trabalho externo ou distância física) que dificultam a comunicação no trabalho?</t>
  </si>
  <si>
    <t>A distância física entre você e sua equipe ou liderança dificulta a troca de informações?</t>
  </si>
  <si>
    <t>Você já teve dificuldade para receber informações importantes no momento certo por causa da organização do trabalho?</t>
  </si>
  <si>
    <t>Você tem acesso fácil aos meios necessários para se comunicar com colegas e liderança durante o trabalho?</t>
  </si>
  <si>
    <t>Você trabalha grande parte do tempo de forma remota ou sozinho(a), com pouco contato presencial com colegas ou liderança?</t>
  </si>
  <si>
    <t>Você sente que o trabalho remoto ou isolado faz com que se sinta distante da equipe ou da empresa?</t>
  </si>
  <si>
    <t>Se Você trabalha de forma remota ou isolada, você sente que recebe apoio e acompanhamento adequados da empresa?</t>
  </si>
  <si>
    <t>Tópico 01 - Assédio de qualquer natureza no trabalho</t>
  </si>
  <si>
    <t>Tópico 02 - Falta de suporte/apoio no trabalho</t>
  </si>
  <si>
    <t>Tópico 03 - Má gestão de mudanças organizacionais</t>
  </si>
  <si>
    <t>Tópico 04 - Baixa clareza de papel/função</t>
  </si>
  <si>
    <t>Tópico 05 - Baixas recompensas e reconhecimento</t>
  </si>
  <si>
    <t>Tópico 06 - Baixo controle no trabalho / Falta de autonomia</t>
  </si>
  <si>
    <t>Tópico 07 - Baixa justiça organizacional</t>
  </si>
  <si>
    <t>Tópico 08 - Eventos violentos ou traumáticos</t>
  </si>
  <si>
    <t>Tópico 09 - Baixa demanda no trabalho (Subcarga)</t>
  </si>
  <si>
    <t>Tópico 10 - Excesso de demandas no trabalho (Sobrecarga)</t>
  </si>
  <si>
    <t>Tópico 11 - Maus relacionamentos no local de trabalho</t>
  </si>
  <si>
    <t>Tópico 12 - Trabalho em condições de difícil comunicação</t>
  </si>
  <si>
    <t>Tópico 13 - Trabalho remoto e isolado</t>
  </si>
  <si>
    <t>Assédio de qualquer natureza no trabalho</t>
  </si>
  <si>
    <t>Falta de suporte/apoio no trabalho</t>
  </si>
  <si>
    <t>Má gestão de mudanças organizacionais</t>
  </si>
  <si>
    <t>Baixa clareza de papel/função</t>
  </si>
  <si>
    <t>Baixas recompensas e reconhecimento</t>
  </si>
  <si>
    <t>Baixo controle no trabalho / Falta de autonomia</t>
  </si>
  <si>
    <t>Baixa justiça organizacional</t>
  </si>
  <si>
    <t>Eventos violentos ou traumáticos</t>
  </si>
  <si>
    <t>Baixa demanda no trabalho (Subcarga)</t>
  </si>
  <si>
    <t>Excesso de demandas no trabalho (Sobrecarga)</t>
  </si>
  <si>
    <t>Maus relacionamentos no local de trabalho</t>
  </si>
  <si>
    <t>Trabalho em condições de difícil comunicação</t>
  </si>
  <si>
    <t>Trabalho remoto e isolado</t>
  </si>
  <si>
    <t>(vazio)</t>
  </si>
  <si>
    <t>Coluna1</t>
  </si>
  <si>
    <t>Coluna2</t>
  </si>
  <si>
    <t>Coluna3</t>
  </si>
  <si>
    <t>Coluna4</t>
  </si>
  <si>
    <t>Coluna5</t>
  </si>
  <si>
    <t>As colunas 'Gravidade Num' da  aba Escala contêm valores numéricos para cada resposta (Alta=3, Média=2, Baixa=1). A aba 'Resumo por 
Tópico' calcula a média desses valores a cada 03, 04 ou 5 perguntas de um mesmo tema, e fornece a média de Gravidade  por Tópico e da probabilidade inserida pelo psicólogo. </t>
  </si>
  <si>
    <t xml:space="preserve">Dashboard </t>
  </si>
  <si>
    <t>01 - Você já presenciou ou sofreu comentários ofensivos, piadas ou insinuações inadequadas no ambiente de trabalho?
(- Responda pensando se já presenciou ou sofreu esse tipo de situação no trabalho.)</t>
  </si>
  <si>
    <t>02 - Você se sente à vontade para relatar situações de assédio moral ou sexual na empresa sem medo de represálias?
(-Responda se você se sente seguro(a) para relatar situações de assédio na empresa.)</t>
  </si>
  <si>
    <t>03 - Existe um canal seguro e sigiloso para denunciar assédio na empresa?
(-Responda se a empresa oferece um meio seguro para denunciar assédio e outras situações)</t>
  </si>
  <si>
    <t>04 - Há casos conhecidos de assédio moral ou sexual que não foram devidamente investigados ou punidos?
(- Responda se você percebe que situações de assédio não são tratadas corretamente.)</t>
  </si>
  <si>
    <t>05 - O RH e os gestores demonstram comprometimento real com a prevenção do assédio?
(- Responda se você percebe que situações de assédio não são tratadas corretamente.)</t>
  </si>
  <si>
    <t>06 - Você sente que pode contar com seus colegas em momentos de dificuldade?
(-Responda se você sente que pode contar com seus colegas quando precisa.)</t>
  </si>
  <si>
    <t>07 - Existe apoio da liderança para lidar com desafios relacionados ao trabalho?
(Responda se seus gestores ajudam quando surgem dificuldades no trabalho.)</t>
  </si>
  <si>
    <t>08 - O RH está presente e atuante quando surgem conflitos ou dificuldades no trabalho?
(Responda se o RH costuma apoiar quando há conflitos ou problemas.)</t>
  </si>
  <si>
    <t>09 - Os gestores promovem um ambiente saudável e respeitoso?
(Responda como você avalia o comportamento dos gestores no dia a dia.)</t>
  </si>
  <si>
    <t>10 - Você sente que pode expressar suas dificuldades no trabalho sem ser julgado(a)?
(Responda se você se sente à vontade para falar sobre dificuldades no trabalho.)</t>
  </si>
  <si>
    <t>11 - Mudanças organizacionais impactaram negativamente seu sentimento de segurança no trabalho? 
(Responda se mudanças na empresa afetaram sua sensação de segurança no trabalho.)</t>
  </si>
  <si>
    <t>12 - Há comunicação clara sobre mudanças que afetam a empresa ou os trabalhadores?
(Responda se a empresa costuma explicar bem as mudanças que acontecem.)</t>
  </si>
  <si>
    <t>13 - Você já sentiu que seu emprego estava ameaçado sem explicações claras durante períodos de mudança?
(Responda se já sentiu insegurança sobre seu emprego durante mudanças.)</t>
  </si>
  <si>
    <t>14 - Existe transparência na comunicação da empresa durante processos de mudança?
(Responda se as mudanças são comunicadas de forma clara e aberta.)</t>
  </si>
  <si>
    <t>15 - Você recebe instruções claras sobre suas responsabilidades no trabalho?
(Responda se você entende bem quais são suas responsabilidades.)</t>
  </si>
  <si>
    <t>16 - A comunicação da empresa ajuda você a entender o que é esperado do seu trabalho?
(Responda se a empresa deixa claro o que espera do seu trabalho.)</t>
  </si>
  <si>
    <t>17 - A comunicação entre equipes e setores contribui para a clareza das suas tarefas?
(Responda se a comunicação entre áreas ajuda no seu trabalho.)</t>
  </si>
  <si>
    <t>18 - Você se sente confortável para pedir esclarecimentos quando não entende suas funções ou prioridades?
(Responda se você se sente à vontade para perguntar quando não entende algo.)</t>
  </si>
  <si>
    <t>19 - Você sente que seu esforço e desempenho são reconhecidos pela liderança?
(Responda se você se sente valorizado(a) pelo trabalho que realiza.)</t>
  </si>
  <si>
    <t>20 - Você recebe feedback construtivo sobre o seu trabalho com regularidade?
(Responda se você recebe orientações ou retornos sobre seu trabalho.)</t>
  </si>
  <si>
    <t>21 - Com que Frequência Você já se sentiu desmotivado(a) por falta de reconhecimento no trabalho?
(Responda se a falta de reconhecimento já te deixou desmotivado(a).</t>
  </si>
  <si>
    <t>22 - Você tem liberdade para tomar decisões sobre como executar suas tarefas diárias?
(Responda se você pode sugerir melhorias ou decidir como fazer suas tarefas.)</t>
  </si>
  <si>
    <t>23 - A empresa confia na sua capacidade de organizar e gerenciar o próprio trabalho?
(Responda se sente que a empresa confia na forma como você organiza seu trabalho.)</t>
  </si>
  <si>
    <t>24 - Existe excesso de controle ou burocracia que interfere no seu desempenho?
(Responda se regras ou controles atrapalham seu desempenho.)</t>
  </si>
  <si>
    <t>25 - Existe excesso de supervisão que impacta negativamente na sua produtividade ou bem-estar?</t>
  </si>
  <si>
    <t>26 - Você acha justas e claras as formas que a empresa usa para avaliar o seu trabalho?
(Responda se as formas de avaliar seu trabalho são claras e justas.)</t>
  </si>
  <si>
    <t>27 - Você sente que há igualdade no reconhecimento entre diferentes áreas ou equipes?
(Responda se você percebe tratamento justo entre equipes ou setores.)</t>
  </si>
  <si>
    <t>28 - Você sente que há transparência nas decisões de desligamento na empresa?
(Responda se a empresa é clara quando ocorrem desligamentos.)</t>
  </si>
  <si>
    <t>29 - Você já presenciou casos de demissões que considerasse injustas?
(Responda se já presenciou demissões que considerou injustas.)</t>
  </si>
  <si>
    <t>30 - Você já vivenciou ou presenciou alguma situação de violência grave no trabalho (como agressão física, ameaça séria ou ataque verbal intenso)?</t>
  </si>
  <si>
    <t>31 - Você já passou por algum evento grave no trabalho (como acidente sério, situação de risco extremo ou episódio muito impactante)?
Responda se já passou por situações muito graves ou perigosas no trabalho.</t>
  </si>
  <si>
    <t>32 - Alguma situação vivida no trabalho já foi tão marcante que deixou medo, choque ou forte abalo emocional?
(Responda se alguma situação no trabalho já te causou forte abalo emocional.)</t>
  </si>
  <si>
    <t>33 - Você sente que, na maior parte do tempo, tem pouco trabalho a realizar durante sua jornada?
(Responda se costuma ter pouco trabalho durante sua jornada.)</t>
  </si>
  <si>
    <t>34 - Você costuma ficar com tempo ocioso no trabalho por falta de tarefas ou demandas claras?
(Responda se frequentemente fica sem tarefas para realizar.)</t>
  </si>
  <si>
    <t>35 - Você sente que suas habilidades ou conhecimentos são pouco utilizados no seu trabalho?
(Responda se sente que suas habilidades são pouco aproveitadas.)</t>
  </si>
  <si>
    <t>36 - Seu trabalho costuma ser pouco desafiador ou repetitivo a ponto de gerar desânimo?
(Responda se o trabalho é repetitivo ou desmotivador.)</t>
  </si>
  <si>
    <t>37 - Você sente que sua carga de trabalho diária é maior do que consegue realizar dentro do horário normal? 
(Responda se a quantidade de trabalho é maior do que consegue realizar.)</t>
  </si>
  <si>
    <t>38 - Você frequentemente precisa fazer horas extras ou levar trabalho para casa?
(Responda se costuma trabalhar além do horário normal.)</t>
  </si>
  <si>
    <t>39 - Você já teve sintomas físicos ou emocionais (como exaustão, ansiedade ou insônia) devido ao excesso de trabalho?
(Responda se o excesso de trabalho já afetou sua saúde)</t>
  </si>
  <si>
    <t>40 - A equipe é dimensionada/dividida corretamente para a demanda/quantidade de trabalho existente?
(Responda se a quantidade de pessoas é suficiente para a demanda.)</t>
  </si>
  <si>
    <t>41 - Você já evitou colegas ou superiores por causa de desentendimentos frequentes?
(Responda se já evitou colegas ou superiores por conflitos.)</t>
  </si>
  <si>
    <t>42 - Você percebe rivalidade excessiva ou desnecessária entre colegas ou setores?
(Responda se percebe disputas desnecessárias no trabalho.)</t>
  </si>
  <si>
    <t>43 - Conflitos no trabalho costumam ser resolvidos de forma justa?
(Responda se os conflitos costumam ser resolvidos de forma justa.)</t>
  </si>
  <si>
    <t>44 - Você trabalha em condições (como turnos diferentes, trabalho externo ou distância física) que dificultam a comunicação no trabalho?
(Responda se seu trabalho dificulta a comunicação com colegas ou líderes.)</t>
  </si>
  <si>
    <t>45 - A distância física entre você e sua equipe ou liderança dificulta a troca de informações? 
(Responda se a distância atrapalha a troca de informações.)</t>
  </si>
  <si>
    <t>46 - Você já teve dificuldade para receber informações importantes no momento certo por causa da organização do trabalho?
(Responda se já recebeu informações importantes com atraso.)</t>
  </si>
  <si>
    <t>47 - Você tem acesso fácil aos meios necessários para se comunicar com colegas e liderança durante o trabalho?
(Responda se você tem meios adequados para se comunicar no trabalho.)</t>
  </si>
  <si>
    <t>48 - Você trabalha grande parte do tempo de forma remota ou sozinho(a), com pouco contato presencial com colegas ou liderança?
(Responda se você trabalha a maior parte do tempo sozinho(a) ou à distância.)</t>
  </si>
  <si>
    <t>49 - Você sente que o trabalho remoto ou isolado faz com que se sinta distante da equipe ou da empresa?
(Responda se isso faz você se sentir distante da equipe ou da empresa.)</t>
  </si>
  <si>
    <t>50 - Mesmo trabalhando de forma remota ou isolada, você sente que recebe apoio e acompanhamento adequados da empresa?(Responda se, mesmo à distância, você recebe apoio da empresa.)</t>
  </si>
  <si>
    <t>Coluna6</t>
  </si>
  <si>
    <t>Coluna7</t>
  </si>
  <si>
    <t>Coluna8</t>
  </si>
  <si>
    <t>Coluna9</t>
  </si>
  <si>
    <t>Coluna10</t>
  </si>
  <si>
    <t>Coluna11</t>
  </si>
  <si>
    <t>Coluna12</t>
  </si>
  <si>
    <t>Coluna13</t>
  </si>
  <si>
    <t>Coluna14</t>
  </si>
  <si>
    <t>Coluna15</t>
  </si>
  <si>
    <t>Coluna16</t>
  </si>
  <si>
    <t>Coluna17</t>
  </si>
  <si>
    <t>Coluna18</t>
  </si>
  <si>
    <t>Coluna19</t>
  </si>
  <si>
    <t>Coluna20</t>
  </si>
  <si>
    <t>Coluna21</t>
  </si>
  <si>
    <t>Coluna22</t>
  </si>
  <si>
    <t>Coluna23</t>
  </si>
  <si>
    <t>Coluna24</t>
  </si>
  <si>
    <t>Coluna25</t>
  </si>
  <si>
    <t>Coluna26</t>
  </si>
  <si>
    <t>Coluna27</t>
  </si>
  <si>
    <t>Coluna28</t>
  </si>
  <si>
    <t>Coluna29</t>
  </si>
  <si>
    <t>Coluna30</t>
  </si>
  <si>
    <t>Coluna31</t>
  </si>
  <si>
    <t>Coluna32</t>
  </si>
  <si>
    <t>Coluna33</t>
  </si>
  <si>
    <t>Coluna34</t>
  </si>
  <si>
    <t>Coluna35</t>
  </si>
  <si>
    <t>Coluna36</t>
  </si>
  <si>
    <t>Coluna37</t>
  </si>
  <si>
    <t>Coluna38</t>
  </si>
  <si>
    <t>Coluna39</t>
  </si>
  <si>
    <t>Coluna40</t>
  </si>
  <si>
    <t>Fatores de Risco</t>
  </si>
  <si>
    <t>Fontes Geradoras do Risco</t>
  </si>
  <si>
    <t>Ausência de feedback; foco exclusivo em metas; reconhecimento desigual; falta de plano de crescimento.</t>
  </si>
  <si>
    <t>Subutilização de competências; ociosidade; má distribuição de tarefas; funções pouco desafiadoras.</t>
  </si>
  <si>
    <t>Cultura permissiva a desrespeito; ausência de canal de
 denúncia; liderança despreparada; comunicação violenta.</t>
  </si>
  <si>
    <t>Liderança ausente; falta de escuta; cobrança sem
 acompanhamento; RH pouco atuante.</t>
  </si>
  <si>
    <t>Comunicação inadequada; mudanças abruptas; falta de 
planejamento; insegurança quanto à estabilidade.</t>
  </si>
  <si>
    <t>Falta de definição de responsabilidades; ordens 
contraditórias; comunicação confusa; atribuições
 mal definidas.</t>
  </si>
  <si>
    <t>Microgestão; excesso de burocracia; centralização de 
decisões; baixa confiança na equipe.</t>
  </si>
  <si>
    <t>Critérios pouco transparentes; favorecimento; 
desigualdade de tratamento; decisões pouco claras.</t>
  </si>
  <si>
    <t>Isolamento social; falta de acompanhamento; comunicação  exclusivamente digital; baixa integração da equipe.</t>
  </si>
  <si>
    <t>Falta de protocolos de segurança; exposição a risco;
 ausência de treinamento; falta de suporte pós-evento.</t>
  </si>
  <si>
    <t>Metas irrealistas; equipe insuficiente; jornadas prolongadas;  acúmulo de funções.</t>
  </si>
  <si>
    <t>Turnos desalinhados; distância física; falha nos meios de 
comunicação; fluxo de informação inadequado.</t>
  </si>
  <si>
    <t>Comunicação agressiva; rivalidade interna; conflitos mal 
geridos; liderança despreparada.</t>
  </si>
  <si>
    <t>IDENTIFICAÇÃO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</si>
</sst>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h:mm:ss"/>
    <numFmt numFmtId="165" formatCode="mmmm/yyyy"/>
    <numFmt numFmtId="166" formatCode="0.0"/>
  </numFmts>
  <fonts count="59" x14ac:knownFonts="1">
    <font>
      <sz val="11"/>
      <color theme="1"/>
      <name val="Calibri"/>
      <scheme val="minor"/>
    </font>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3"/>
      <color theme="1"/>
      <name val="Calibri"/>
      <family val="2"/>
      <scheme val="minor"/>
    </font>
    <font>
      <sz val="10"/>
      <color theme="1"/>
      <name val="Calibri"/>
      <family val="2"/>
      <scheme val="minor"/>
    </font>
    <font>
      <b/>
      <sz val="11"/>
      <color theme="0"/>
      <name val="Calibri"/>
      <family val="2"/>
      <scheme val="minor"/>
    </font>
    <font>
      <sz val="8"/>
      <name val="Calibri"/>
      <family val="2"/>
      <scheme val="minor"/>
    </font>
    <font>
      <sz val="10"/>
      <name val="Arial"/>
      <family val="2"/>
    </font>
    <font>
      <b/>
      <sz val="12"/>
      <color rgb="FFFFFFFF"/>
      <name val="Calibri"/>
      <family val="2"/>
      <scheme val="minor"/>
    </font>
    <font>
      <b/>
      <sz val="13"/>
      <color theme="1"/>
      <name val="Calibri"/>
      <family val="2"/>
      <scheme val="minor"/>
    </font>
    <font>
      <b/>
      <sz val="13"/>
      <color rgb="FFFFFFFF"/>
      <name val="Calibri"/>
      <family val="2"/>
      <scheme val="minor"/>
    </font>
    <font>
      <b/>
      <sz val="16"/>
      <color theme="0"/>
      <name val="Calibri"/>
      <family val="2"/>
      <scheme val="minor"/>
    </font>
    <font>
      <sz val="10"/>
      <color theme="0"/>
      <name val="Arial"/>
      <family val="2"/>
    </font>
    <font>
      <b/>
      <sz val="20"/>
      <color rgb="FFFFFFFF"/>
      <name val="Calibri"/>
      <family val="2"/>
      <scheme val="minor"/>
    </font>
    <font>
      <sz val="10"/>
      <name val="Arial"/>
      <family val="2"/>
    </font>
    <font>
      <b/>
      <sz val="12"/>
      <color theme="1"/>
      <name val="Calibri"/>
      <family val="2"/>
      <scheme val="minor"/>
    </font>
    <font>
      <sz val="10"/>
      <color theme="1"/>
      <name val="Calibri"/>
      <family val="2"/>
      <scheme val="minor"/>
    </font>
    <font>
      <sz val="18"/>
      <color rgb="FFFFFFFF"/>
      <name val="Calibri"/>
      <family val="2"/>
      <scheme val="minor"/>
    </font>
    <font>
      <b/>
      <sz val="17"/>
      <color theme="1"/>
      <name val="Calibri"/>
      <family val="2"/>
      <scheme val="minor"/>
    </font>
    <font>
      <sz val="17"/>
      <color theme="1"/>
      <name val="Calibri"/>
      <family val="2"/>
      <scheme val="minor"/>
    </font>
    <font>
      <sz val="28"/>
      <color theme="1"/>
      <name val="Calibri"/>
      <family val="2"/>
      <scheme val="minor"/>
    </font>
    <font>
      <sz val="35"/>
      <color theme="1"/>
      <name val="Calibri"/>
      <family val="2"/>
      <scheme val="minor"/>
    </font>
    <font>
      <b/>
      <sz val="16"/>
      <color rgb="FFFFFFFF"/>
      <name val="Calibri"/>
      <family val="2"/>
      <scheme val="minor"/>
    </font>
    <font>
      <b/>
      <sz val="16"/>
      <color theme="1"/>
      <name val="Calibri"/>
      <family val="2"/>
      <scheme val="minor"/>
    </font>
    <font>
      <sz val="10"/>
      <color theme="0"/>
      <name val="Arial"/>
      <family val="2"/>
    </font>
    <font>
      <b/>
      <sz val="12"/>
      <color theme="0"/>
      <name val="Calibri"/>
      <family val="2"/>
      <scheme val="minor"/>
    </font>
    <font>
      <sz val="12"/>
      <color theme="0"/>
      <name val="Calibri"/>
      <family val="2"/>
      <scheme val="minor"/>
    </font>
    <font>
      <b/>
      <sz val="17"/>
      <color theme="0"/>
      <name val="Calibri"/>
      <family val="2"/>
      <scheme val="minor"/>
    </font>
    <font>
      <sz val="15"/>
      <color theme="0"/>
      <name val="Calibri"/>
      <family val="2"/>
      <scheme val="minor"/>
    </font>
    <font>
      <b/>
      <sz val="14"/>
      <color theme="1"/>
      <name val="Calibri"/>
      <family val="2"/>
      <scheme val="major"/>
    </font>
    <font>
      <b/>
      <sz val="14"/>
      <name val="Calibri"/>
      <family val="2"/>
      <scheme val="major"/>
    </font>
    <font>
      <b/>
      <sz val="16"/>
      <color rgb="FFFFFFFF"/>
      <name val="Aptos Narrow"/>
      <family val="34"/>
    </font>
    <font>
      <b/>
      <sz val="16"/>
      <color theme="1"/>
      <name val="Aptos Narrow"/>
      <family val="34"/>
    </font>
    <font>
      <sz val="16"/>
      <color theme="1"/>
      <name val="Aptos Narrow"/>
      <family val="34"/>
    </font>
    <font>
      <sz val="16"/>
      <color theme="1"/>
      <name val="Calibri"/>
      <family val="2"/>
      <scheme val="minor"/>
    </font>
    <font>
      <sz val="16"/>
      <color theme="1"/>
      <name val="Arial"/>
      <family val="2"/>
    </font>
    <font>
      <b/>
      <sz val="18"/>
      <color theme="0"/>
      <name val="Calibri"/>
      <family val="2"/>
      <scheme val="minor"/>
    </font>
    <font>
      <b/>
      <sz val="14"/>
      <color theme="1"/>
      <name val="Calibri"/>
      <family val="2"/>
      <scheme val="minor"/>
    </font>
    <font>
      <b/>
      <sz val="20"/>
      <color rgb="FFFFFFFF"/>
      <name val="Arial"/>
      <family val="2"/>
    </font>
    <font>
      <sz val="14"/>
      <color theme="1"/>
      <name val="Calibri"/>
      <family val="2"/>
      <scheme val="minor"/>
    </font>
    <font>
      <sz val="16"/>
      <color theme="0"/>
      <name val="Arial"/>
      <family val="2"/>
    </font>
    <font>
      <b/>
      <sz val="16"/>
      <color theme="0"/>
      <name val="Arial"/>
      <family val="2"/>
    </font>
    <font>
      <b/>
      <sz val="12"/>
      <color theme="0"/>
      <name val="Arial"/>
      <family val="2"/>
    </font>
    <font>
      <b/>
      <sz val="12"/>
      <color rgb="FF000000"/>
      <name val="Arial"/>
      <family val="2"/>
    </font>
    <font>
      <sz val="11"/>
      <color rgb="FF000000"/>
      <name val="Arial"/>
      <family val="2"/>
    </font>
    <font>
      <b/>
      <sz val="11"/>
      <color rgb="FF000000"/>
      <name val="Arial"/>
      <family val="2"/>
    </font>
    <font>
      <b/>
      <sz val="12"/>
      <color rgb="FF356854"/>
      <name val="Arial"/>
      <family val="2"/>
    </font>
    <font>
      <sz val="10"/>
      <color rgb="FF434343"/>
      <name val="Roboto"/>
    </font>
    <font>
      <b/>
      <sz val="20"/>
      <color theme="0"/>
      <name val="Calibri"/>
      <family val="2"/>
      <scheme val="minor"/>
    </font>
    <font>
      <b/>
      <sz val="14"/>
      <color theme="0"/>
      <name val="Calibri"/>
      <family val="2"/>
      <scheme val="minor"/>
    </font>
    <font>
      <b/>
      <sz val="14"/>
      <color theme="0"/>
      <name val="Arial"/>
      <family val="2"/>
    </font>
    <font>
      <b/>
      <sz val="13"/>
      <color theme="0"/>
      <name val="Calibri"/>
      <family val="2"/>
      <scheme val="minor"/>
    </font>
    <font>
      <sz val="10"/>
      <color theme="0"/>
      <name val="Calibri"/>
      <family val="2"/>
      <scheme val="minor"/>
    </font>
    <font>
      <sz val="18"/>
      <color theme="0"/>
      <name val="Calibri"/>
      <family val="2"/>
      <scheme val="minor"/>
    </font>
    <font>
      <sz val="10"/>
      <color theme="1"/>
      <name val="Roboto"/>
    </font>
  </fonts>
  <fills count="34">
    <fill>
      <patternFill patternType="none"/>
    </fill>
    <fill>
      <patternFill patternType="gray125"/>
    </fill>
    <fill>
      <patternFill patternType="solid">
        <fgColor rgb="FF00B050"/>
        <bgColor indexed="64"/>
      </patternFill>
    </fill>
    <fill>
      <patternFill patternType="solid">
        <fgColor rgb="FFFFFFFF"/>
        <bgColor rgb="FFFFFFFF"/>
      </patternFill>
    </fill>
    <fill>
      <patternFill patternType="solid">
        <fgColor rgb="FFFFFF00"/>
        <bgColor rgb="FFFFFF00"/>
      </patternFill>
    </fill>
    <fill>
      <patternFill patternType="solid">
        <fgColor rgb="FFFFC000"/>
        <bgColor indexed="64"/>
      </patternFill>
    </fill>
    <fill>
      <patternFill patternType="solid">
        <fgColor rgb="FFFF0000"/>
        <bgColor indexed="64"/>
      </patternFill>
    </fill>
    <fill>
      <patternFill patternType="solid">
        <fgColor rgb="FF356854"/>
        <bgColor theme="9"/>
      </patternFill>
    </fill>
    <fill>
      <patternFill patternType="solid">
        <fgColor rgb="FF356854"/>
        <bgColor indexed="64"/>
      </patternFill>
    </fill>
    <fill>
      <patternFill patternType="solid">
        <fgColor rgb="FF356854"/>
        <bgColor rgb="FF46BDC6"/>
      </patternFill>
    </fill>
    <fill>
      <patternFill patternType="solid">
        <fgColor rgb="FF356854"/>
        <bgColor rgb="FFD0E0E3"/>
      </patternFill>
    </fill>
    <fill>
      <patternFill patternType="solid">
        <fgColor rgb="FF00B050"/>
        <bgColor theme="7"/>
      </patternFill>
    </fill>
    <fill>
      <patternFill patternType="solid">
        <fgColor theme="3" tint="4.9989318521683403E-2"/>
        <bgColor rgb="FFFF0000"/>
      </patternFill>
    </fill>
    <fill>
      <patternFill patternType="solid">
        <fgColor theme="3" tint="4.9989318521683403E-2"/>
        <bgColor indexed="64"/>
      </patternFill>
    </fill>
    <fill>
      <patternFill patternType="solid">
        <fgColor rgb="FFFF0000"/>
        <bgColor theme="8"/>
      </patternFill>
    </fill>
    <fill>
      <patternFill patternType="solid">
        <fgColor rgb="FF275317"/>
        <bgColor indexed="64"/>
      </patternFill>
    </fill>
    <fill>
      <patternFill patternType="solid">
        <fgColor rgb="FFD9F2D0"/>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14999847407452621"/>
        <bgColor indexed="64"/>
      </patternFill>
    </fill>
    <fill>
      <patternFill patternType="solid">
        <fgColor rgb="FFD5CA82"/>
        <bgColor indexed="64"/>
      </patternFill>
    </fill>
    <fill>
      <patternFill patternType="solid">
        <fgColor rgb="FF003F5A"/>
        <bgColor indexed="64"/>
      </patternFill>
    </fill>
    <fill>
      <patternFill patternType="solid">
        <fgColor rgb="FF003F5A"/>
        <bgColor theme="9"/>
      </patternFill>
    </fill>
    <fill>
      <patternFill patternType="solid">
        <fgColor rgb="FF003F5A"/>
        <bgColor rgb="FF46BDC6"/>
      </patternFill>
    </fill>
    <fill>
      <patternFill patternType="solid">
        <fgColor rgb="FF003F5A"/>
        <bgColor rgb="FF356854"/>
      </patternFill>
    </fill>
    <fill>
      <patternFill patternType="solid">
        <fgColor rgb="FF003F5A"/>
        <bgColor rgb="FFCFE2F3"/>
      </patternFill>
    </fill>
    <fill>
      <patternFill patternType="solid">
        <fgColor rgb="FFE8DA92"/>
        <bgColor theme="9"/>
      </patternFill>
    </fill>
    <fill>
      <patternFill patternType="solid">
        <fgColor theme="0"/>
        <bgColor theme="9"/>
      </patternFill>
    </fill>
    <fill>
      <patternFill patternType="solid">
        <fgColor rgb="FFD5CA82"/>
        <bgColor rgb="FFD0E0E3"/>
      </patternFill>
    </fill>
    <fill>
      <patternFill patternType="solid">
        <fgColor rgb="FF003F5A"/>
        <bgColor rgb="FFD0E0E3"/>
      </patternFill>
    </fill>
    <fill>
      <patternFill patternType="solid">
        <fgColor rgb="FFE8DA92"/>
        <bgColor indexed="64"/>
      </patternFill>
    </fill>
  </fills>
  <borders count="58">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5B3F86"/>
      </left>
      <right/>
      <top/>
      <bottom style="thin">
        <color rgb="FF000000"/>
      </bottom>
      <diagonal/>
    </border>
    <border>
      <left/>
      <right style="thin">
        <color rgb="FF5B3F86"/>
      </right>
      <top/>
      <bottom/>
      <diagonal/>
    </border>
    <border>
      <left style="thin">
        <color rgb="FF284E3F"/>
      </left>
      <right style="thin">
        <color rgb="FF356854"/>
      </right>
      <top/>
      <bottom style="thin">
        <color rgb="FF284E3F"/>
      </bottom>
      <diagonal/>
    </border>
    <border>
      <left style="thin">
        <color rgb="FF356854"/>
      </left>
      <right style="thin">
        <color rgb="FF356854"/>
      </right>
      <top/>
      <bottom style="thin">
        <color rgb="FF284E3F"/>
      </bottom>
      <diagonal/>
    </border>
    <border>
      <left style="thin">
        <color rgb="FF442F65"/>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FFFFF"/>
      </left>
      <right style="thin">
        <color rgb="FF442F65"/>
      </right>
      <top style="thin">
        <color rgb="FFFFFFFF"/>
      </top>
      <bottom style="thin">
        <color rgb="FF442F65"/>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right style="hair">
        <color indexed="64"/>
      </right>
      <top/>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thin">
        <color rgb="FFFFFFFF"/>
      </left>
      <right style="thin">
        <color rgb="FFFFFFFF"/>
      </right>
      <top style="thin">
        <color rgb="FFFFFFFF"/>
      </top>
      <bottom/>
      <diagonal/>
    </border>
  </borders>
  <cellStyleXfs count="1">
    <xf numFmtId="0" fontId="0" fillId="0" borderId="0"/>
  </cellStyleXfs>
  <cellXfs count="233">
    <xf numFmtId="0" fontId="0" fillId="0" borderId="0" xfId="0"/>
    <xf numFmtId="0" fontId="7" fillId="0" borderId="8" xfId="0" applyFont="1" applyBorder="1" applyAlignment="1">
      <alignment vertical="center"/>
    </xf>
    <xf numFmtId="0" fontId="7" fillId="0" borderId="9" xfId="0" applyFont="1" applyBorder="1" applyAlignment="1">
      <alignment vertical="center"/>
    </xf>
    <xf numFmtId="0" fontId="7" fillId="0" borderId="10" xfId="0" applyFont="1" applyBorder="1" applyAlignment="1">
      <alignment vertical="center"/>
    </xf>
    <xf numFmtId="0" fontId="7" fillId="0" borderId="11" xfId="0" applyFont="1" applyBorder="1" applyAlignment="1">
      <alignment vertical="center"/>
    </xf>
    <xf numFmtId="0" fontId="6" fillId="2" borderId="0" xfId="0" applyFont="1" applyFill="1" applyAlignment="1">
      <alignment horizontal="center"/>
    </xf>
    <xf numFmtId="0" fontId="4" fillId="0" borderId="0" xfId="0" applyFont="1"/>
    <xf numFmtId="0" fontId="4" fillId="0" borderId="0" xfId="0" quotePrefix="1" applyFont="1"/>
    <xf numFmtId="0" fontId="6" fillId="5" borderId="7" xfId="0" applyFont="1" applyFill="1" applyBorder="1" applyAlignment="1">
      <alignment horizontal="center" vertical="top"/>
    </xf>
    <xf numFmtId="0" fontId="9" fillId="8" borderId="0" xfId="0" applyFont="1" applyFill="1"/>
    <xf numFmtId="0" fontId="9" fillId="8" borderId="6" xfId="0" applyFont="1" applyFill="1" applyBorder="1" applyAlignment="1">
      <alignment horizontal="center" vertical="top"/>
    </xf>
    <xf numFmtId="0" fontId="9" fillId="8" borderId="7" xfId="0" applyFont="1" applyFill="1" applyBorder="1" applyAlignment="1">
      <alignment horizontal="center" vertical="top"/>
    </xf>
    <xf numFmtId="0" fontId="20" fillId="0" borderId="17" xfId="0" applyFont="1" applyBorder="1"/>
    <xf numFmtId="165" fontId="19" fillId="0" borderId="17" xfId="0" applyNumberFormat="1" applyFont="1" applyBorder="1" applyAlignment="1">
      <alignment horizontal="center"/>
    </xf>
    <xf numFmtId="0" fontId="20" fillId="3" borderId="17" xfId="0" applyFont="1" applyFill="1" applyBorder="1"/>
    <xf numFmtId="0" fontId="20" fillId="0" borderId="17" xfId="0" applyFont="1" applyBorder="1" applyAlignment="1">
      <alignment vertical="center"/>
    </xf>
    <xf numFmtId="0" fontId="27" fillId="0" borderId="17" xfId="0" applyFont="1" applyBorder="1"/>
    <xf numFmtId="0" fontId="26" fillId="9" borderId="17" xfId="0" applyFont="1" applyFill="1" applyBorder="1"/>
    <xf numFmtId="14" fontId="13" fillId="0" borderId="26" xfId="0" applyNumberFormat="1" applyFont="1" applyBorder="1"/>
    <xf numFmtId="0" fontId="33" fillId="0" borderId="16" xfId="0" applyFont="1" applyBorder="1" applyAlignment="1">
      <alignment horizontal="center" vertical="center"/>
    </xf>
    <xf numFmtId="0" fontId="34" fillId="0" borderId="26" xfId="0" applyFont="1" applyBorder="1" applyAlignment="1">
      <alignment horizontal="center" vertical="center"/>
    </xf>
    <xf numFmtId="0" fontId="38" fillId="0" borderId="0" xfId="0" applyFont="1"/>
    <xf numFmtId="0" fontId="35" fillId="15" borderId="17" xfId="0" applyFont="1" applyFill="1" applyBorder="1" applyAlignment="1">
      <alignment readingOrder="1"/>
    </xf>
    <xf numFmtId="0" fontId="37" fillId="16" borderId="17" xfId="0" applyFont="1" applyFill="1" applyBorder="1" applyAlignment="1">
      <alignment readingOrder="1"/>
    </xf>
    <xf numFmtId="0" fontId="35" fillId="15" borderId="17" xfId="0" applyFont="1" applyFill="1" applyBorder="1" applyAlignment="1">
      <alignment horizontal="center" vertical="center" readingOrder="1"/>
    </xf>
    <xf numFmtId="0" fontId="38" fillId="0" borderId="0" xfId="0" applyFont="1" applyAlignment="1">
      <alignment horizontal="center" vertical="center"/>
    </xf>
    <xf numFmtId="0" fontId="35" fillId="15" borderId="17" xfId="0" applyFont="1" applyFill="1" applyBorder="1" applyAlignment="1">
      <alignment vertical="center" readingOrder="1"/>
    </xf>
    <xf numFmtId="0" fontId="38" fillId="0" borderId="0" xfId="0" applyFont="1" applyAlignment="1">
      <alignment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0" fillId="0" borderId="0" xfId="0" applyAlignment="1">
      <alignment horizontal="center" vertical="center"/>
    </xf>
    <xf numFmtId="0" fontId="0" fillId="0" borderId="0" xfId="0"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9" xfId="0" applyFont="1" applyBorder="1" applyAlignment="1" applyProtection="1">
      <alignment horizontal="center" vertical="center"/>
      <protection locked="0"/>
    </xf>
    <xf numFmtId="0" fontId="5" fillId="0" borderId="9" xfId="0" applyFont="1" applyBorder="1" applyAlignment="1" applyProtection="1">
      <alignment horizontal="left" vertical="center"/>
      <protection locked="0"/>
    </xf>
    <xf numFmtId="0" fontId="5" fillId="0" borderId="11" xfId="0" applyFont="1" applyBorder="1" applyAlignment="1" applyProtection="1">
      <alignment horizontal="center" vertical="center"/>
      <protection locked="0"/>
    </xf>
    <xf numFmtId="0" fontId="5" fillId="0" borderId="10" xfId="0" applyFont="1" applyBorder="1" applyAlignment="1" applyProtection="1">
      <alignment horizontal="center" vertical="center"/>
      <protection locked="0"/>
    </xf>
    <xf numFmtId="0" fontId="5" fillId="0" borderId="11" xfId="0" applyFont="1" applyBorder="1" applyAlignment="1" applyProtection="1">
      <alignment horizontal="left" vertical="center"/>
      <protection locked="0"/>
    </xf>
    <xf numFmtId="0" fontId="5" fillId="0" borderId="12" xfId="0" applyFont="1" applyBorder="1" applyAlignment="1" applyProtection="1">
      <alignment horizontal="center" vertical="center"/>
      <protection locked="0"/>
    </xf>
    <xf numFmtId="0" fontId="5" fillId="0" borderId="13" xfId="0" applyFont="1" applyBorder="1" applyAlignment="1" applyProtection="1">
      <alignment horizontal="center" vertical="center"/>
      <protection locked="0"/>
    </xf>
    <xf numFmtId="0" fontId="5" fillId="0" borderId="13" xfId="0" applyFont="1" applyBorder="1" applyAlignment="1" applyProtection="1">
      <alignment horizontal="left" vertical="center"/>
      <protection locked="0"/>
    </xf>
    <xf numFmtId="0" fontId="0" fillId="0" borderId="0" xfId="0" applyAlignment="1" applyProtection="1">
      <alignment horizontal="left" vertical="center"/>
      <protection locked="0"/>
    </xf>
    <xf numFmtId="0" fontId="34" fillId="0" borderId="31" xfId="0" applyFont="1" applyBorder="1" applyAlignment="1">
      <alignment horizontal="center" vertical="center"/>
    </xf>
    <xf numFmtId="0" fontId="33" fillId="0" borderId="25" xfId="0" applyFont="1" applyBorder="1" applyAlignment="1">
      <alignment horizontal="center" vertical="center"/>
    </xf>
    <xf numFmtId="0" fontId="19" fillId="17" borderId="26" xfId="0" applyFont="1" applyFill="1" applyBorder="1" applyAlignment="1">
      <alignment horizontal="center" vertical="center"/>
    </xf>
    <xf numFmtId="2" fontId="0" fillId="0" borderId="0" xfId="0" applyNumberFormat="1"/>
    <xf numFmtId="0" fontId="9" fillId="8" borderId="34" xfId="0" applyFont="1" applyFill="1" applyBorder="1" applyAlignment="1">
      <alignment horizontal="center" vertical="top"/>
    </xf>
    <xf numFmtId="0" fontId="9" fillId="8" borderId="35" xfId="0" applyFont="1" applyFill="1" applyBorder="1" applyAlignment="1">
      <alignment horizontal="center" vertical="top"/>
    </xf>
    <xf numFmtId="0" fontId="36" fillId="16" borderId="25" xfId="0" applyFont="1" applyFill="1" applyBorder="1" applyAlignment="1">
      <alignment horizontal="center" vertical="center" readingOrder="1"/>
    </xf>
    <xf numFmtId="0" fontId="36" fillId="18" borderId="23" xfId="0" applyFont="1" applyFill="1" applyBorder="1" applyAlignment="1">
      <alignment vertical="center" readingOrder="1"/>
    </xf>
    <xf numFmtId="0" fontId="37" fillId="18" borderId="15" xfId="0" applyFont="1" applyFill="1" applyBorder="1" applyAlignment="1">
      <alignment readingOrder="1"/>
    </xf>
    <xf numFmtId="0" fontId="35" fillId="5" borderId="17" xfId="0" applyFont="1" applyFill="1" applyBorder="1" applyAlignment="1">
      <alignment vertical="center" readingOrder="1"/>
    </xf>
    <xf numFmtId="0" fontId="43" fillId="18" borderId="0" xfId="0" applyFont="1" applyFill="1"/>
    <xf numFmtId="0" fontId="39" fillId="15" borderId="15" xfId="0" applyFont="1" applyFill="1" applyBorder="1" applyAlignment="1">
      <alignment readingOrder="1"/>
    </xf>
    <xf numFmtId="0" fontId="39" fillId="15" borderId="16" xfId="0" applyFont="1" applyFill="1" applyBorder="1" applyAlignment="1">
      <alignment readingOrder="1"/>
    </xf>
    <xf numFmtId="0" fontId="13" fillId="0" borderId="14" xfId="0" applyFont="1" applyBorder="1"/>
    <xf numFmtId="0" fontId="11" fillId="0" borderId="16" xfId="0" applyFont="1" applyBorder="1"/>
    <xf numFmtId="0" fontId="44" fillId="15" borderId="14" xfId="0" applyFont="1" applyFill="1" applyBorder="1" applyAlignment="1">
      <alignment readingOrder="1"/>
    </xf>
    <xf numFmtId="0" fontId="45" fillId="15" borderId="14" xfId="0" applyFont="1" applyFill="1" applyBorder="1" applyAlignment="1">
      <alignment readingOrder="1"/>
    </xf>
    <xf numFmtId="0" fontId="36" fillId="18" borderId="25" xfId="0" applyFont="1" applyFill="1" applyBorder="1" applyAlignment="1">
      <alignment horizontal="center" vertical="center" readingOrder="1"/>
    </xf>
    <xf numFmtId="0" fontId="20" fillId="0" borderId="16" xfId="0" applyFont="1" applyBorder="1"/>
    <xf numFmtId="164" fontId="8" fillId="0" borderId="36" xfId="0" applyNumberFormat="1" applyFont="1" applyBorder="1" applyAlignment="1">
      <alignment vertical="center"/>
    </xf>
    <xf numFmtId="0" fontId="8" fillId="0" borderId="9" xfId="0" applyFont="1" applyBorder="1" applyAlignment="1">
      <alignment vertical="center"/>
    </xf>
    <xf numFmtId="0" fontId="8" fillId="0" borderId="37" xfId="0" applyFont="1" applyBorder="1" applyAlignment="1">
      <alignment vertical="center"/>
    </xf>
    <xf numFmtId="164" fontId="8" fillId="0" borderId="38" xfId="0" applyNumberFormat="1" applyFont="1" applyBorder="1" applyAlignment="1">
      <alignment vertical="center"/>
    </xf>
    <xf numFmtId="0" fontId="8" fillId="0" borderId="39" xfId="0" applyFont="1" applyBorder="1" applyAlignment="1">
      <alignment vertical="center"/>
    </xf>
    <xf numFmtId="0" fontId="8" fillId="0" borderId="40" xfId="0" applyFont="1" applyBorder="1" applyAlignment="1">
      <alignment vertical="center"/>
    </xf>
    <xf numFmtId="164" fontId="8" fillId="0" borderId="4" xfId="0" applyNumberFormat="1" applyFont="1" applyBorder="1" applyAlignment="1">
      <alignment vertical="center"/>
    </xf>
    <xf numFmtId="0" fontId="8" fillId="0" borderId="5" xfId="0" applyFont="1" applyBorder="1" applyAlignment="1">
      <alignment vertical="center"/>
    </xf>
    <xf numFmtId="0" fontId="8" fillId="0" borderId="41" xfId="0" applyFont="1" applyBorder="1" applyAlignment="1">
      <alignment vertical="center"/>
    </xf>
    <xf numFmtId="0" fontId="6" fillId="19" borderId="0" xfId="0" applyFont="1" applyFill="1" applyAlignment="1">
      <alignment horizontal="center"/>
    </xf>
    <xf numFmtId="0" fontId="0" fillId="18" borderId="0" xfId="0" applyFill="1"/>
    <xf numFmtId="0" fontId="1" fillId="0" borderId="0" xfId="0" applyFont="1"/>
    <xf numFmtId="0" fontId="0" fillId="0" borderId="42" xfId="0" pivotButton="1" applyBorder="1"/>
    <xf numFmtId="0" fontId="0" fillId="0" borderId="44" xfId="0" applyBorder="1"/>
    <xf numFmtId="0" fontId="0" fillId="0" borderId="42" xfId="0" applyBorder="1" applyAlignment="1">
      <alignment horizontal="left"/>
    </xf>
    <xf numFmtId="0" fontId="0" fillId="0" borderId="43" xfId="0" applyBorder="1" applyAlignment="1">
      <alignment horizontal="left"/>
    </xf>
    <xf numFmtId="0" fontId="0" fillId="0" borderId="47" xfId="0" applyBorder="1" applyAlignment="1">
      <alignment horizontal="left"/>
    </xf>
    <xf numFmtId="0" fontId="48" fillId="0" borderId="48" xfId="0" applyFont="1" applyBorder="1"/>
    <xf numFmtId="0" fontId="48" fillId="0" borderId="50" xfId="0" applyFont="1" applyBorder="1" applyAlignment="1">
      <alignment wrapText="1"/>
    </xf>
    <xf numFmtId="0" fontId="48" fillId="0" borderId="50" xfId="0" applyFont="1" applyBorder="1"/>
    <xf numFmtId="0" fontId="48" fillId="0" borderId="51" xfId="0" applyFont="1" applyBorder="1"/>
    <xf numFmtId="0" fontId="48" fillId="0" borderId="52" xfId="0" applyFont="1" applyBorder="1"/>
    <xf numFmtId="0" fontId="48" fillId="0" borderId="53" xfId="0" applyFont="1" applyBorder="1"/>
    <xf numFmtId="0" fontId="48" fillId="0" borderId="51" xfId="0" applyFont="1" applyBorder="1" applyAlignment="1">
      <alignment wrapText="1"/>
    </xf>
    <xf numFmtId="0" fontId="48" fillId="0" borderId="50" xfId="0" applyFont="1" applyBorder="1" applyAlignment="1">
      <alignment vertical="center" wrapText="1"/>
    </xf>
    <xf numFmtId="0" fontId="47" fillId="0" borderId="49" xfId="0" applyFont="1" applyBorder="1"/>
    <xf numFmtId="0" fontId="47" fillId="0" borderId="49" xfId="0" applyFont="1" applyBorder="1" applyAlignment="1">
      <alignment vertical="center"/>
    </xf>
    <xf numFmtId="0" fontId="50" fillId="0" borderId="54" xfId="0" applyFont="1" applyBorder="1"/>
    <xf numFmtId="0" fontId="50" fillId="0" borderId="55" xfId="0" applyFont="1" applyBorder="1"/>
    <xf numFmtId="0" fontId="50" fillId="0" borderId="56" xfId="0" applyFont="1" applyBorder="1"/>
    <xf numFmtId="0" fontId="51" fillId="0" borderId="0" xfId="0" applyFont="1"/>
    <xf numFmtId="0" fontId="0" fillId="20" borderId="0" xfId="0" applyFill="1"/>
    <xf numFmtId="0" fontId="7" fillId="0" borderId="57" xfId="0" applyFont="1" applyBorder="1" applyAlignment="1">
      <alignment vertical="center"/>
    </xf>
    <xf numFmtId="166" fontId="7" fillId="0" borderId="9" xfId="0" applyNumberFormat="1" applyFont="1" applyBorder="1" applyAlignment="1">
      <alignment vertical="center"/>
    </xf>
    <xf numFmtId="166" fontId="7" fillId="0" borderId="57" xfId="0" applyNumberFormat="1" applyFont="1" applyBorder="1" applyAlignment="1">
      <alignment vertical="center"/>
    </xf>
    <xf numFmtId="0" fontId="0" fillId="22" borderId="0" xfId="0" applyFill="1"/>
    <xf numFmtId="0" fontId="27" fillId="22" borderId="0" xfId="0" applyFont="1" applyFill="1" applyAlignment="1">
      <alignment horizontal="center" vertical="center"/>
    </xf>
    <xf numFmtId="0" fontId="43" fillId="22" borderId="0" xfId="0" applyFont="1" applyFill="1"/>
    <xf numFmtId="0" fontId="3" fillId="22" borderId="0" xfId="0" applyFont="1" applyFill="1"/>
    <xf numFmtId="0" fontId="42" fillId="21" borderId="48" xfId="0" applyFont="1" applyFill="1" applyBorder="1" applyAlignment="1">
      <alignment horizontal="center" vertical="center"/>
    </xf>
    <xf numFmtId="0" fontId="47" fillId="22" borderId="49" xfId="0" applyFont="1" applyFill="1" applyBorder="1" applyAlignment="1">
      <alignment horizontal="left" vertical="center"/>
    </xf>
    <xf numFmtId="0" fontId="48" fillId="22" borderId="50" xfId="0" applyFont="1" applyFill="1" applyBorder="1" applyAlignment="1">
      <alignment wrapText="1"/>
    </xf>
    <xf numFmtId="0" fontId="47" fillId="22" borderId="49" xfId="0" applyFont="1" applyFill="1" applyBorder="1" applyAlignment="1">
      <alignment vertical="center"/>
    </xf>
    <xf numFmtId="0" fontId="50" fillId="22" borderId="49" xfId="0" applyFont="1" applyFill="1" applyBorder="1" applyAlignment="1">
      <alignment horizontal="left" vertical="center" wrapText="1"/>
    </xf>
    <xf numFmtId="0" fontId="48" fillId="22" borderId="50" xfId="0" applyFont="1" applyFill="1" applyBorder="1" applyAlignment="1">
      <alignment horizontal="left" vertical="center" wrapText="1"/>
    </xf>
    <xf numFmtId="0" fontId="50" fillId="22" borderId="49" xfId="0" applyFont="1" applyFill="1" applyBorder="1" applyAlignment="1">
      <alignment horizontal="left" vertical="center"/>
    </xf>
    <xf numFmtId="0" fontId="47" fillId="22" borderId="49" xfId="0" applyFont="1" applyFill="1" applyBorder="1"/>
    <xf numFmtId="0" fontId="48" fillId="22" borderId="50" xfId="0" applyFont="1" applyFill="1" applyBorder="1"/>
    <xf numFmtId="0" fontId="0" fillId="18" borderId="26" xfId="0" applyFill="1" applyBorder="1"/>
    <xf numFmtId="0" fontId="0" fillId="23" borderId="0" xfId="0" applyFill="1"/>
    <xf numFmtId="0" fontId="9" fillId="18" borderId="2" xfId="0" applyFont="1" applyFill="1" applyBorder="1" applyAlignment="1">
      <alignment horizontal="left" vertical="center"/>
    </xf>
    <xf numFmtId="0" fontId="9" fillId="18" borderId="3" xfId="0" applyFont="1" applyFill="1" applyBorder="1" applyAlignment="1">
      <alignment horizontal="left" vertical="center"/>
    </xf>
    <xf numFmtId="0" fontId="9" fillId="18" borderId="0" xfId="0" applyFont="1" applyFill="1"/>
    <xf numFmtId="0" fontId="0" fillId="24" borderId="0" xfId="0" applyFill="1"/>
    <xf numFmtId="0" fontId="14" fillId="25" borderId="23" xfId="0" applyFont="1" applyFill="1" applyBorder="1" applyAlignment="1">
      <alignment horizontal="center" vertical="center"/>
    </xf>
    <xf numFmtId="0" fontId="14" fillId="25" borderId="26" xfId="0" applyFont="1" applyFill="1" applyBorder="1" applyAlignment="1">
      <alignment horizontal="center" vertical="center"/>
    </xf>
    <xf numFmtId="0" fontId="12" fillId="26" borderId="26" xfId="0" applyFont="1" applyFill="1" applyBorder="1" applyAlignment="1">
      <alignment horizontal="center" vertical="center"/>
    </xf>
    <xf numFmtId="0" fontId="43" fillId="23" borderId="0" xfId="0" applyFont="1" applyFill="1"/>
    <xf numFmtId="0" fontId="53" fillId="28" borderId="26" xfId="0" applyFont="1" applyFill="1" applyBorder="1" applyAlignment="1">
      <alignment horizontal="center"/>
    </xf>
    <xf numFmtId="0" fontId="41" fillId="30" borderId="17" xfId="0" applyFont="1" applyFill="1" applyBorder="1" applyAlignment="1">
      <alignment vertical="center"/>
    </xf>
    <xf numFmtId="0" fontId="41" fillId="30" borderId="18" xfId="0" applyFont="1" applyFill="1" applyBorder="1" applyAlignment="1">
      <alignment vertical="center"/>
    </xf>
    <xf numFmtId="0" fontId="46" fillId="24" borderId="15" xfId="0" applyFont="1" applyFill="1" applyBorder="1" applyAlignment="1">
      <alignment horizontal="left" vertical="center"/>
    </xf>
    <xf numFmtId="0" fontId="15" fillId="25" borderId="14" xfId="0" applyFont="1" applyFill="1" applyBorder="1" applyAlignment="1">
      <alignment vertical="center"/>
    </xf>
    <xf numFmtId="0" fontId="29" fillId="32" borderId="18" xfId="0" applyFont="1" applyFill="1" applyBorder="1" applyAlignment="1">
      <alignment horizontal="left" vertical="center"/>
    </xf>
    <xf numFmtId="0" fontId="9" fillId="24" borderId="26" xfId="0" applyFont="1" applyFill="1" applyBorder="1" applyAlignment="1">
      <alignment horizontal="left"/>
    </xf>
    <xf numFmtId="0" fontId="20" fillId="29" borderId="17" xfId="0" applyFont="1" applyFill="1" applyBorder="1"/>
    <xf numFmtId="0" fontId="20" fillId="33" borderId="17" xfId="0" applyFont="1" applyFill="1" applyBorder="1"/>
    <xf numFmtId="165" fontId="29" fillId="23" borderId="17" xfId="0" applyNumberFormat="1" applyFont="1" applyFill="1" applyBorder="1" applyAlignment="1">
      <alignment horizontal="center" vertical="center"/>
    </xf>
    <xf numFmtId="165" fontId="29" fillId="23" borderId="17" xfId="0" applyNumberFormat="1" applyFont="1" applyFill="1" applyBorder="1" applyAlignment="1">
      <alignment vertical="center"/>
    </xf>
    <xf numFmtId="17" fontId="29" fillId="23" borderId="17" xfId="0" applyNumberFormat="1" applyFont="1" applyFill="1" applyBorder="1" applyAlignment="1">
      <alignment horizontal="center" vertical="center"/>
    </xf>
    <xf numFmtId="0" fontId="56" fillId="29" borderId="17" xfId="0" applyFont="1" applyFill="1" applyBorder="1"/>
    <xf numFmtId="0" fontId="57" fillId="24" borderId="26" xfId="0" applyFont="1" applyFill="1" applyBorder="1" applyAlignment="1" applyProtection="1">
      <alignment horizontal="center" vertical="center"/>
      <protection locked="0"/>
    </xf>
    <xf numFmtId="0" fontId="41" fillId="23" borderId="26" xfId="0" applyFont="1" applyFill="1" applyBorder="1" applyAlignment="1">
      <alignment vertical="center"/>
    </xf>
    <xf numFmtId="0" fontId="6" fillId="23" borderId="26" xfId="0" applyFont="1" applyFill="1" applyBorder="1" applyAlignment="1">
      <alignment vertical="center"/>
    </xf>
    <xf numFmtId="0" fontId="6" fillId="23" borderId="26" xfId="0" applyFont="1" applyFill="1" applyBorder="1" applyAlignment="1" applyProtection="1">
      <alignment horizontal="center" vertical="center"/>
      <protection locked="0"/>
    </xf>
    <xf numFmtId="0" fontId="9" fillId="24" borderId="6" xfId="0" applyFont="1" applyFill="1" applyBorder="1" applyAlignment="1" applyProtection="1">
      <alignment horizontal="center" vertical="center"/>
      <protection locked="0"/>
    </xf>
    <xf numFmtId="0" fontId="9" fillId="24" borderId="7" xfId="0" applyFont="1" applyFill="1" applyBorder="1" applyAlignment="1" applyProtection="1">
      <alignment horizontal="center" vertical="center"/>
      <protection locked="0"/>
    </xf>
    <xf numFmtId="0" fontId="9" fillId="24" borderId="7" xfId="0" applyFont="1" applyFill="1" applyBorder="1" applyAlignment="1" applyProtection="1">
      <alignment horizontal="left" vertical="center"/>
      <protection locked="0"/>
    </xf>
    <xf numFmtId="0" fontId="9" fillId="24" borderId="7" xfId="0" applyFont="1" applyFill="1" applyBorder="1" applyAlignment="1">
      <alignment horizontal="center" vertical="center"/>
    </xf>
    <xf numFmtId="0" fontId="9" fillId="24" borderId="6" xfId="0" applyFont="1" applyFill="1" applyBorder="1" applyAlignment="1">
      <alignment horizontal="center" vertical="top"/>
    </xf>
    <xf numFmtId="0" fontId="9" fillId="24" borderId="7" xfId="0" applyFont="1" applyFill="1" applyBorder="1" applyAlignment="1">
      <alignment horizontal="center" vertical="top"/>
    </xf>
    <xf numFmtId="0" fontId="55" fillId="24" borderId="0" xfId="0" applyFont="1" applyFill="1" applyAlignment="1">
      <alignment horizontal="center" vertical="center"/>
    </xf>
    <xf numFmtId="0" fontId="34" fillId="0" borderId="15" xfId="0" applyFont="1" applyBorder="1" applyAlignment="1">
      <alignment horizontal="center" vertical="center"/>
    </xf>
    <xf numFmtId="0" fontId="1" fillId="0" borderId="26" xfId="0" applyFont="1" applyBorder="1" applyAlignment="1">
      <alignment vertical="center"/>
    </xf>
    <xf numFmtId="0" fontId="1" fillId="0" borderId="26" xfId="0" applyFont="1" applyBorder="1" applyAlignment="1">
      <alignment vertical="center" wrapText="1"/>
    </xf>
    <xf numFmtId="0" fontId="6" fillId="0" borderId="26" xfId="0" applyFont="1" applyBorder="1" applyAlignment="1">
      <alignment vertical="center"/>
    </xf>
    <xf numFmtId="0" fontId="0" fillId="0" borderId="45" xfId="0" applyBorder="1"/>
    <xf numFmtId="0" fontId="0" fillId="0" borderId="46" xfId="0" applyBorder="1"/>
    <xf numFmtId="0" fontId="1" fillId="23" borderId="1" xfId="0" applyFont="1" applyFill="1" applyBorder="1" applyAlignment="1">
      <alignment horizontal="left" vertical="center"/>
    </xf>
    <xf numFmtId="0" fontId="1" fillId="23" borderId="2" xfId="0" applyFont="1" applyFill="1" applyBorder="1" applyAlignment="1">
      <alignment horizontal="left" vertical="center"/>
    </xf>
    <xf numFmtId="0" fontId="58" fillId="23" borderId="0" xfId="0" applyFont="1" applyFill="1" applyAlignment="1">
      <alignment vertical="top" wrapText="1"/>
    </xf>
    <xf numFmtId="0" fontId="58" fillId="23" borderId="0" xfId="0" applyFont="1" applyFill="1" applyAlignment="1">
      <alignment vertical="top"/>
    </xf>
    <xf numFmtId="0" fontId="50" fillId="0" borderId="54" xfId="0" applyFont="1" applyBorder="1" applyAlignment="1">
      <alignment horizontal="left" vertical="center"/>
    </xf>
    <xf numFmtId="0" fontId="50" fillId="0" borderId="56" xfId="0" applyFont="1" applyBorder="1" applyAlignment="1">
      <alignment horizontal="left" vertical="center"/>
    </xf>
    <xf numFmtId="0" fontId="2" fillId="23" borderId="26" xfId="0" applyFont="1" applyFill="1" applyBorder="1" applyAlignment="1">
      <alignment horizontal="center" vertical="center"/>
    </xf>
    <xf numFmtId="0" fontId="41" fillId="23" borderId="26" xfId="0" applyFont="1" applyFill="1" applyBorder="1" applyAlignment="1">
      <alignment horizontal="center" vertical="center"/>
    </xf>
    <xf numFmtId="0" fontId="19" fillId="23" borderId="26" xfId="0" applyFont="1" applyFill="1" applyBorder="1" applyAlignment="1">
      <alignment horizontal="center" vertical="center"/>
    </xf>
    <xf numFmtId="0" fontId="54" fillId="24" borderId="28" xfId="0" applyFont="1" applyFill="1" applyBorder="1" applyAlignment="1">
      <alignment horizontal="center"/>
    </xf>
    <xf numFmtId="0" fontId="54" fillId="24" borderId="29" xfId="0" applyFont="1" applyFill="1" applyBorder="1" applyAlignment="1">
      <alignment horizontal="center"/>
    </xf>
    <xf numFmtId="0" fontId="54" fillId="24" borderId="30" xfId="0" applyFont="1" applyFill="1" applyBorder="1" applyAlignment="1">
      <alignment horizontal="center"/>
    </xf>
    <xf numFmtId="0" fontId="52" fillId="24" borderId="26" xfId="0" applyFont="1" applyFill="1" applyBorder="1" applyAlignment="1">
      <alignment horizontal="center" vertical="center"/>
    </xf>
    <xf numFmtId="0" fontId="0" fillId="18" borderId="28" xfId="0" applyFill="1" applyBorder="1" applyAlignment="1">
      <alignment horizontal="center"/>
    </xf>
    <xf numFmtId="0" fontId="0" fillId="18" borderId="30" xfId="0" applyFill="1" applyBorder="1" applyAlignment="1">
      <alignment horizontal="center"/>
    </xf>
    <xf numFmtId="0" fontId="8" fillId="0" borderId="14" xfId="0" applyFont="1" applyBorder="1" applyAlignment="1">
      <alignment wrapText="1"/>
    </xf>
    <xf numFmtId="0" fontId="11" fillId="0" borderId="15" xfId="0" applyFont="1" applyBorder="1"/>
    <xf numFmtId="0" fontId="11" fillId="0" borderId="16" xfId="0" applyFont="1" applyBorder="1"/>
    <xf numFmtId="0" fontId="8" fillId="0" borderId="20" xfId="0" applyFont="1" applyBorder="1"/>
    <xf numFmtId="0" fontId="11" fillId="0" borderId="21" xfId="0" applyFont="1" applyBorder="1"/>
    <xf numFmtId="0" fontId="11" fillId="0" borderId="22" xfId="0" applyFont="1" applyBorder="1"/>
    <xf numFmtId="0" fontId="15" fillId="28" borderId="26" xfId="0" applyFont="1" applyFill="1" applyBorder="1" applyAlignment="1">
      <alignment horizontal="center"/>
    </xf>
    <xf numFmtId="0" fontId="16" fillId="24" borderId="26" xfId="0" applyFont="1" applyFill="1" applyBorder="1"/>
    <xf numFmtId="0" fontId="40" fillId="27" borderId="32" xfId="0" applyFont="1" applyFill="1" applyBorder="1" applyAlignment="1">
      <alignment horizontal="center" vertical="center"/>
    </xf>
    <xf numFmtId="0" fontId="40" fillId="27" borderId="24" xfId="0" applyFont="1" applyFill="1" applyBorder="1" applyAlignment="1">
      <alignment horizontal="center" vertical="center"/>
    </xf>
    <xf numFmtId="0" fontId="40" fillId="27" borderId="33" xfId="0" applyFont="1" applyFill="1" applyBorder="1" applyAlignment="1">
      <alignment horizontal="center" vertical="center"/>
    </xf>
    <xf numFmtId="0" fontId="13" fillId="0" borderId="14" xfId="0" applyFont="1" applyBorder="1"/>
    <xf numFmtId="0" fontId="13" fillId="3" borderId="14" xfId="0" applyFont="1" applyFill="1" applyBorder="1"/>
    <xf numFmtId="0" fontId="11" fillId="0" borderId="25" xfId="0" applyFont="1" applyBorder="1"/>
    <xf numFmtId="0" fontId="0" fillId="0" borderId="0" xfId="0" applyAlignment="1">
      <alignment horizontal="center"/>
    </xf>
    <xf numFmtId="0" fontId="17" fillId="25" borderId="0" xfId="0" applyFont="1" applyFill="1" applyAlignment="1">
      <alignment horizontal="center" vertical="center"/>
    </xf>
    <xf numFmtId="0" fontId="0" fillId="24" borderId="0" xfId="0" applyFill="1"/>
    <xf numFmtId="0" fontId="55" fillId="31" borderId="18" xfId="0" applyFont="1" applyFill="1" applyBorder="1" applyAlignment="1">
      <alignment horizontal="center" vertical="center"/>
    </xf>
    <xf numFmtId="0" fontId="16" fillId="23" borderId="19" xfId="0" applyFont="1" applyFill="1" applyBorder="1"/>
    <xf numFmtId="0" fontId="55" fillId="31" borderId="14" xfId="0" applyFont="1" applyFill="1" applyBorder="1" applyAlignment="1">
      <alignment horizontal="center" vertical="center"/>
    </xf>
    <xf numFmtId="0" fontId="16" fillId="23" borderId="15" xfId="0" applyFont="1" applyFill="1" applyBorder="1"/>
    <xf numFmtId="0" fontId="16" fillId="23" borderId="16" xfId="0" applyFont="1" applyFill="1" applyBorder="1"/>
    <xf numFmtId="0" fontId="24" fillId="0" borderId="14" xfId="0" applyFont="1" applyBorder="1" applyAlignment="1">
      <alignment horizontal="center"/>
    </xf>
    <xf numFmtId="0" fontId="18" fillId="0" borderId="15" xfId="0" applyFont="1" applyBorder="1"/>
    <xf numFmtId="0" fontId="18" fillId="0" borderId="16" xfId="0" applyFont="1" applyBorder="1"/>
    <xf numFmtId="0" fontId="21" fillId="7" borderId="14" xfId="0" applyFont="1" applyFill="1" applyBorder="1" applyAlignment="1">
      <alignment horizontal="center"/>
    </xf>
    <xf numFmtId="0" fontId="18" fillId="8" borderId="15" xfId="0" applyFont="1" applyFill="1" applyBorder="1"/>
    <xf numFmtId="0" fontId="18" fillId="8" borderId="16" xfId="0" applyFont="1" applyFill="1" applyBorder="1"/>
    <xf numFmtId="0" fontId="30" fillId="10" borderId="14" xfId="0" applyFont="1" applyFill="1" applyBorder="1" applyAlignment="1">
      <alignment horizontal="center" vertical="center"/>
    </xf>
    <xf numFmtId="0" fontId="28" fillId="8" borderId="15" xfId="0" applyFont="1" applyFill="1" applyBorder="1"/>
    <xf numFmtId="0" fontId="28" fillId="8" borderId="16" xfId="0" applyFont="1" applyFill="1" applyBorder="1"/>
    <xf numFmtId="0" fontId="22" fillId="11" borderId="14" xfId="0" applyFont="1" applyFill="1" applyBorder="1" applyAlignment="1">
      <alignment vertical="center"/>
    </xf>
    <xf numFmtId="0" fontId="18" fillId="2" borderId="15" xfId="0" applyFont="1" applyFill="1" applyBorder="1"/>
    <xf numFmtId="0" fontId="18" fillId="2" borderId="16" xfId="0" applyFont="1" applyFill="1" applyBorder="1"/>
    <xf numFmtId="0" fontId="23" fillId="0" borderId="18" xfId="0" applyFont="1" applyBorder="1" applyAlignment="1">
      <alignment horizontal="center" vertical="center"/>
    </xf>
    <xf numFmtId="0" fontId="18" fillId="0" borderId="19" xfId="0" applyFont="1" applyBorder="1"/>
    <xf numFmtId="0" fontId="22" fillId="4" borderId="14" xfId="0" applyFont="1" applyFill="1" applyBorder="1" applyAlignment="1">
      <alignment vertical="center"/>
    </xf>
    <xf numFmtId="0" fontId="22" fillId="14" borderId="14" xfId="0" applyFont="1" applyFill="1" applyBorder="1" applyAlignment="1">
      <alignment vertical="center"/>
    </xf>
    <xf numFmtId="0" fontId="18" fillId="6" borderId="15" xfId="0" applyFont="1" applyFill="1" applyBorder="1"/>
    <xf numFmtId="0" fontId="18" fillId="6" borderId="16" xfId="0" applyFont="1" applyFill="1" applyBorder="1"/>
    <xf numFmtId="0" fontId="25" fillId="0" borderId="0" xfId="0" applyFont="1" applyAlignment="1">
      <alignment horizontal="center" vertical="center"/>
    </xf>
    <xf numFmtId="0" fontId="0" fillId="0" borderId="0" xfId="0"/>
    <xf numFmtId="0" fontId="32" fillId="10" borderId="20" xfId="0" applyFont="1" applyFill="1" applyBorder="1" applyAlignment="1">
      <alignment horizontal="center" vertical="center" wrapText="1"/>
    </xf>
    <xf numFmtId="0" fontId="28" fillId="8" borderId="21" xfId="0" applyFont="1" applyFill="1" applyBorder="1"/>
    <xf numFmtId="0" fontId="28" fillId="8" borderId="22" xfId="0" applyFont="1" applyFill="1" applyBorder="1"/>
    <xf numFmtId="0" fontId="28" fillId="8" borderId="23" xfId="0" applyFont="1" applyFill="1" applyBorder="1"/>
    <xf numFmtId="0" fontId="28" fillId="8" borderId="24" xfId="0" applyFont="1" applyFill="1" applyBorder="1"/>
    <xf numFmtId="0" fontId="28" fillId="8" borderId="25" xfId="0" applyFont="1" applyFill="1" applyBorder="1"/>
    <xf numFmtId="0" fontId="31" fillId="12" borderId="14" xfId="0" applyFont="1" applyFill="1" applyBorder="1" applyAlignment="1">
      <alignment vertical="center"/>
    </xf>
    <xf numFmtId="0" fontId="28" fillId="13" borderId="15" xfId="0" applyFont="1" applyFill="1" applyBorder="1"/>
    <xf numFmtId="0" fontId="28" fillId="13" borderId="16" xfId="0" applyFont="1" applyFill="1" applyBorder="1"/>
    <xf numFmtId="0" fontId="35" fillId="21" borderId="14" xfId="0" applyFont="1" applyFill="1" applyBorder="1" applyAlignment="1">
      <alignment readingOrder="1"/>
    </xf>
    <xf numFmtId="0" fontId="35" fillId="21" borderId="15" xfId="0" applyFont="1" applyFill="1" applyBorder="1" applyAlignment="1">
      <alignment readingOrder="1"/>
    </xf>
    <xf numFmtId="0" fontId="35" fillId="21" borderId="16" xfId="0" applyFont="1" applyFill="1" applyBorder="1" applyAlignment="1">
      <alignment readingOrder="1"/>
    </xf>
    <xf numFmtId="0" fontId="39" fillId="15" borderId="14" xfId="0" applyFont="1" applyFill="1" applyBorder="1" applyAlignment="1">
      <alignment readingOrder="1"/>
    </xf>
    <xf numFmtId="0" fontId="39" fillId="15" borderId="15" xfId="0" applyFont="1" applyFill="1" applyBorder="1" applyAlignment="1">
      <alignment readingOrder="1"/>
    </xf>
    <xf numFmtId="0" fontId="39" fillId="15" borderId="16" xfId="0" applyFont="1" applyFill="1" applyBorder="1" applyAlignment="1">
      <alignment readingOrder="1"/>
    </xf>
    <xf numFmtId="0" fontId="36" fillId="16" borderId="18" xfId="0" applyFont="1" applyFill="1" applyBorder="1" applyAlignment="1">
      <alignment vertical="center" readingOrder="1"/>
    </xf>
    <xf numFmtId="0" fontId="36" fillId="16" borderId="27" xfId="0" applyFont="1" applyFill="1" applyBorder="1" applyAlignment="1">
      <alignment vertical="center" readingOrder="1"/>
    </xf>
    <xf numFmtId="0" fontId="36" fillId="16" borderId="19" xfId="0" applyFont="1" applyFill="1" applyBorder="1" applyAlignment="1">
      <alignment vertical="center" readingOrder="1"/>
    </xf>
    <xf numFmtId="0" fontId="36" fillId="16" borderId="18" xfId="0" applyFont="1" applyFill="1" applyBorder="1" applyAlignment="1">
      <alignment horizontal="center" vertical="center" readingOrder="1"/>
    </xf>
    <xf numFmtId="0" fontId="36" fillId="16" borderId="27" xfId="0" applyFont="1" applyFill="1" applyBorder="1" applyAlignment="1">
      <alignment horizontal="center" vertical="center" readingOrder="1"/>
    </xf>
    <xf numFmtId="0" fontId="36" fillId="16" borderId="19" xfId="0" applyFont="1" applyFill="1" applyBorder="1" applyAlignment="1">
      <alignment horizontal="center" vertical="center" readingOrder="1"/>
    </xf>
    <xf numFmtId="0" fontId="35" fillId="21" borderId="14" xfId="0" applyFont="1" applyFill="1" applyBorder="1" applyAlignment="1">
      <alignment horizontal="left" readingOrder="1"/>
    </xf>
    <xf numFmtId="0" fontId="35" fillId="21" borderId="15" xfId="0" applyFont="1" applyFill="1" applyBorder="1" applyAlignment="1">
      <alignment horizontal="left" readingOrder="1"/>
    </xf>
    <xf numFmtId="0" fontId="35" fillId="21" borderId="16" xfId="0" applyFont="1" applyFill="1" applyBorder="1" applyAlignment="1">
      <alignment horizontal="left" readingOrder="1"/>
    </xf>
    <xf numFmtId="0" fontId="44" fillId="15" borderId="14" xfId="0" applyFont="1" applyFill="1" applyBorder="1" applyAlignment="1">
      <alignment readingOrder="1"/>
    </xf>
    <xf numFmtId="0" fontId="44" fillId="15" borderId="15" xfId="0" applyFont="1" applyFill="1" applyBorder="1" applyAlignment="1">
      <alignment readingOrder="1"/>
    </xf>
    <xf numFmtId="0" fontId="44" fillId="15" borderId="16" xfId="0" applyFont="1" applyFill="1" applyBorder="1" applyAlignment="1">
      <alignment readingOrder="1"/>
    </xf>
  </cellXfs>
  <cellStyles count="1">
    <cellStyle name="Normal" xfId="0" builtinId="0"/>
  </cellStyles>
  <dxfs count="144">
    <dxf>
      <fill>
        <patternFill>
          <bgColor rgb="FF00B050"/>
        </patternFill>
      </fill>
    </dxf>
    <dxf>
      <fill>
        <patternFill>
          <bgColor rgb="FFFFFF00"/>
        </patternFill>
      </fill>
    </dxf>
    <dxf>
      <fill>
        <patternFill>
          <bgColor rgb="FFFF0000"/>
        </patternFill>
      </fill>
    </dxf>
    <dxf>
      <font>
        <b/>
        <i val="0"/>
        <color theme="0"/>
      </font>
      <fill>
        <patternFill>
          <bgColor theme="1"/>
        </patternFill>
      </fill>
    </dxf>
    <dxf>
      <fill>
        <patternFill>
          <bgColor rgb="FFFF0000"/>
        </patternFill>
      </fill>
    </dxf>
    <dxf>
      <fill>
        <patternFill>
          <bgColor rgb="FFFFFF00"/>
        </patternFill>
      </fill>
    </dxf>
    <dxf>
      <fill>
        <patternFill>
          <bgColor rgb="FF00B050"/>
        </patternFill>
      </fill>
    </dxf>
    <dxf>
      <font>
        <b val="0"/>
        <i val="0"/>
        <strike val="0"/>
        <condense val="0"/>
        <extend val="0"/>
        <outline val="0"/>
        <shadow val="0"/>
        <u val="none"/>
        <vertAlign val="baseline"/>
        <sz val="13"/>
        <color theme="1"/>
        <name val="Calibri"/>
        <family val="2"/>
        <scheme val="minor"/>
      </font>
      <alignment horizontal="general" vertical="center" textRotation="0" wrapText="0" indent="0" justifyLastLine="0" shrinkToFit="0" readingOrder="0"/>
      <border diagonalUp="0" diagonalDown="0">
        <left style="thin">
          <color rgb="FF284E3F"/>
        </left>
        <right style="thin">
          <color rgb="FFFFFFFF"/>
        </right>
        <top style="thin">
          <color rgb="FFFFFFFF"/>
        </top>
        <bottom style="thin">
          <color rgb="FFFFFFFF"/>
        </bottom>
        <vertical/>
        <horizontal/>
      </border>
    </dxf>
    <dxf>
      <border outline="0">
        <top style="thin">
          <color rgb="FF284E3F"/>
        </top>
      </border>
    </dxf>
    <dxf>
      <border outline="0">
        <bottom style="thin">
          <color rgb="FF284E3F"/>
        </bottom>
      </border>
    </dxf>
    <dxf>
      <font>
        <b/>
        <i val="0"/>
        <strike val="0"/>
        <condense val="0"/>
        <extend val="0"/>
        <outline val="0"/>
        <shadow val="0"/>
        <u val="none"/>
        <vertAlign val="baseline"/>
        <sz val="11"/>
        <color theme="0"/>
        <name val="Calibri"/>
        <family val="2"/>
        <scheme val="minor"/>
      </font>
      <fill>
        <patternFill patternType="solid">
          <fgColor indexed="64"/>
          <bgColor rgb="FF356854"/>
        </patternFill>
      </fill>
      <alignment horizontal="center" vertical="top" textRotation="0" wrapText="0" indent="0" justifyLastLine="0" shrinkToFit="0" readingOrder="0"/>
      <border diagonalUp="0" diagonalDown="0" outline="0">
        <left style="thin">
          <color rgb="FF356854"/>
        </left>
        <right style="thin">
          <color rgb="FF356854"/>
        </right>
        <top/>
        <bottom/>
      </border>
    </dxf>
    <dxf>
      <font>
        <b/>
        <i val="0"/>
        <strike val="0"/>
        <condense val="0"/>
        <extend val="0"/>
        <outline val="0"/>
        <shadow val="0"/>
        <u val="none"/>
        <vertAlign val="baseline"/>
        <sz val="14"/>
        <color theme="1"/>
        <name val="Calibri"/>
        <family val="2"/>
        <scheme val="major"/>
      </font>
      <alignment horizontal="center" vertical="center" textRotation="0" wrapText="0" indent="0" justifyLastLine="0" shrinkToFit="0" readingOrder="0"/>
      <border diagonalUp="0" diagonalDown="0" outline="0">
        <left/>
        <right style="thin">
          <color rgb="FF000000"/>
        </right>
        <top style="thin">
          <color rgb="FF000000"/>
        </top>
        <bottom style="thin">
          <color rgb="FF000000"/>
        </bottom>
      </border>
    </dxf>
    <dxf>
      <font>
        <b/>
        <i val="0"/>
        <strike val="0"/>
        <condense val="0"/>
        <extend val="0"/>
        <outline val="0"/>
        <shadow val="0"/>
        <u val="none"/>
        <vertAlign val="baseline"/>
        <sz val="14"/>
        <color auto="1"/>
        <name val="Calibri"/>
        <family val="2"/>
        <scheme val="major"/>
      </font>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4"/>
        <color auto="1"/>
        <name val="Calibri"/>
        <family val="2"/>
        <scheme val="major"/>
      </font>
      <alignment horizontal="center" vertical="center" textRotation="0" wrapText="0" indent="0" justifyLastLine="0" shrinkToFit="0" readingOrder="0"/>
      <border diagonalUp="0" diagonalDown="0" outline="0">
        <left style="thin">
          <color indexed="64"/>
        </left>
        <right/>
        <top style="thin">
          <color rgb="FF000000"/>
        </top>
        <bottom style="thin">
          <color rgb="FF000000"/>
        </bottom>
      </border>
    </dxf>
    <dxf>
      <font>
        <strike val="0"/>
        <outline val="0"/>
        <shadow val="0"/>
        <u val="none"/>
        <vertAlign val="baseline"/>
        <sz val="11"/>
        <color theme="1"/>
        <name val="Calibri"/>
        <family val="2"/>
        <scheme val="minor"/>
      </font>
      <alignment horizontal="general" vertical="center" textRotation="0" indent="0" justifyLastLine="0" shrinkToFit="0" readingOrder="0"/>
      <border diagonalUp="0" diagonalDown="0" outline="0">
        <left/>
        <right style="thin">
          <color indexed="64"/>
        </right>
        <top style="thin">
          <color indexed="64"/>
        </top>
        <bottom style="thin">
          <color indexed="64"/>
        </bottom>
      </border>
    </dxf>
    <dxf>
      <font>
        <b/>
      </font>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rgb="FF000000"/>
        </left>
        <top style="thin">
          <color rgb="FF000000"/>
        </top>
      </border>
    </dxf>
    <dxf>
      <fill>
        <patternFill patternType="solid">
          <bgColor rgb="FF003F5A"/>
        </patternFill>
      </fill>
    </dxf>
    <dxf>
      <font>
        <b val="0"/>
        <i val="0"/>
        <strike val="0"/>
        <condense val="0"/>
        <extend val="0"/>
        <outline val="0"/>
        <shadow val="0"/>
        <u val="none"/>
        <vertAlign val="baseline"/>
        <sz val="13"/>
        <color theme="1"/>
        <name val="Calibri"/>
        <family val="2"/>
        <scheme val="minor"/>
      </font>
      <numFmt numFmtId="0" formatCode="Genera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3"/>
        <color theme="1"/>
        <name val="Calibri"/>
        <family val="2"/>
        <scheme val="minor"/>
      </font>
      <numFmt numFmtId="0" formatCode="General"/>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border outline="0">
        <left style="thin">
          <color rgb="FFFFFFFF"/>
        </left>
      </border>
    </dxf>
    <dxf>
      <font>
        <b val="0"/>
        <i val="0"/>
        <strike val="0"/>
        <condense val="0"/>
        <extend val="0"/>
        <outline val="0"/>
        <shadow val="0"/>
        <u val="none"/>
        <vertAlign val="baseline"/>
        <sz val="13"/>
        <color theme="1"/>
        <name val="Calibri"/>
        <family val="2"/>
        <scheme val="minor"/>
      </font>
      <numFmt numFmtId="166" formatCode="0.0"/>
      <alignment horizontal="general" vertical="center" textRotation="0" wrapText="0" indent="0" justifyLastLine="0" shrinkToFit="0" readingOrder="0"/>
      <border diagonalUp="0" diagonalDown="0" outline="0">
        <left style="thin">
          <color rgb="FFFFFFFF"/>
        </left>
        <right style="thin">
          <color rgb="FFFFFFFF"/>
        </right>
        <top style="thin">
          <color rgb="FFFFFFFF"/>
        </top>
        <bottom style="thin">
          <color rgb="FFFFFFFF"/>
        </bottom>
      </border>
    </dxf>
    <dxf>
      <border outline="0">
        <right style="thin">
          <color rgb="FFFFFFFF"/>
        </right>
      </border>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protection locked="1" hidden="0"/>
    </dxf>
    <dxf>
      <alignment horizontal="center" vertical="center" textRotation="0" wrapText="0" indent="0" justifyLastLine="0" shrinkToFit="0" readingOrder="0"/>
      <protection locked="0" hidden="0"/>
    </dxf>
    <dxf>
      <alignment horizontal="left"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strike val="0"/>
        <outline val="0"/>
        <shadow val="0"/>
        <u val="none"/>
        <vertAlign val="baseline"/>
        <sz val="11"/>
        <color theme="0"/>
        <name val="Calibri"/>
        <family val="2"/>
        <scheme val="minor"/>
      </font>
      <fill>
        <patternFill patternType="solid">
          <fgColor indexed="64"/>
          <bgColor rgb="FF003F5A"/>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442F65"/>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numFmt numFmtId="164" formatCode="m/d/yyyy\ h:mm:ss"/>
      <alignment horizontal="general" vertical="center" textRotation="0" wrapText="0" indent="0" justifyLastLine="0" shrinkToFit="0" readingOrder="0"/>
      <border diagonalUp="0" diagonalDown="0">
        <left style="thin">
          <color rgb="FF442F65"/>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bgColor rgb="FF00B05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6">
    <tableStyle name="Dados do Forms-style" pivot="0" count="3" xr9:uid="{00000000-0011-0000-FFFF-FFFF00000000}">
      <tableStyleElement type="headerRow" dxfId="143"/>
      <tableStyleElement type="firstRowStripe" dxfId="142"/>
      <tableStyleElement type="secondRowStripe" dxfId="141"/>
    </tableStyle>
    <tableStyle name="Escala-style" pivot="0" count="3" xr9:uid="{00000000-0011-0000-FFFF-FFFF01000000}">
      <tableStyleElement type="headerRow" dxfId="140"/>
      <tableStyleElement type="firstRowStripe" dxfId="139"/>
      <tableStyleElement type="secondRowStripe" dxfId="138"/>
    </tableStyle>
    <tableStyle name="Estilo de Segmentação de Dados 1" pivot="0" table="0" count="1" xr9:uid="{6AD2E3C3-87B1-49F4-88F2-F77D39572A12}">
      <tableStyleElement type="wholeTable" dxfId="137"/>
    </tableStyle>
    <tableStyle name="Resumo por Tópico-style" pivot="0" count="3" xr9:uid="{00000000-0011-0000-FFFF-FFFF02000000}">
      <tableStyleElement type="headerRow" dxfId="136"/>
      <tableStyleElement type="firstRowStripe" dxfId="135"/>
      <tableStyleElement type="secondRowStripe" dxfId="134"/>
    </tableStyle>
    <tableStyle name="Resumo por Tópico-style 2" pivot="0" count="2" xr9:uid="{00000000-0011-0000-FFFF-FFFF03000000}">
      <tableStyleElement type="firstRowStripe" dxfId="133"/>
      <tableStyleElement type="secondRowStripe" dxfId="132"/>
    </tableStyle>
    <tableStyle name="Explicação-style" pivot="0" count="3" xr9:uid="{00000000-0011-0000-FFFF-FFFF04000000}">
      <tableStyleElement type="headerRow" dxfId="131"/>
      <tableStyleElement type="firstRowStripe" dxfId="130"/>
      <tableStyleElement type="secondRowStripe" dxfId="129"/>
    </tableStyle>
  </tableStyles>
  <colors>
    <mruColors>
      <color rgb="FFD5CA82"/>
      <color rgb="FF003F5A"/>
      <color rgb="FFE8DA92"/>
      <color rgb="FF356854"/>
      <color rgb="FFFFFF66"/>
    </mruColors>
  </colors>
  <extLst>
    <ext xmlns:x14="http://schemas.microsoft.com/office/spreadsheetml/2009/9/main" uri="{EB79DEF2-80B8-43e5-95BD-54CBDDF9020C}">
      <x14:slicerStyles defaultSlicerStyle="SlicerStyleLight1">
        <x14:slicerStyle name="Estilo de Segmentação de Dados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Matriz de Risco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pieChart>
        <c:varyColors val="1"/>
        <c:ser>
          <c:idx val="0"/>
          <c:order val="0"/>
          <c:dPt>
            <c:idx val="0"/>
            <c:bubble3D val="0"/>
            <c:spPr>
              <a:gradFill rotWithShape="1">
                <a:gsLst>
                  <a:gs pos="0">
                    <a:schemeClr val="accent3">
                      <a:tint val="58000"/>
                      <a:satMod val="103000"/>
                      <a:lumMod val="102000"/>
                      <a:tint val="94000"/>
                    </a:schemeClr>
                  </a:gs>
                  <a:gs pos="50000">
                    <a:schemeClr val="accent3">
                      <a:tint val="58000"/>
                      <a:satMod val="110000"/>
                      <a:lumMod val="100000"/>
                      <a:shade val="100000"/>
                    </a:schemeClr>
                  </a:gs>
                  <a:gs pos="100000">
                    <a:schemeClr val="accent3">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64A-4603-A5DC-16865747F1FD}"/>
              </c:ext>
            </c:extLst>
          </c:dPt>
          <c:dPt>
            <c:idx val="1"/>
            <c:bubble3D val="0"/>
            <c:spPr>
              <a:gradFill rotWithShape="1">
                <a:gsLst>
                  <a:gs pos="0">
                    <a:schemeClr val="accent3">
                      <a:tint val="86000"/>
                      <a:satMod val="103000"/>
                      <a:lumMod val="102000"/>
                      <a:tint val="94000"/>
                    </a:schemeClr>
                  </a:gs>
                  <a:gs pos="50000">
                    <a:schemeClr val="accent3">
                      <a:tint val="86000"/>
                      <a:satMod val="110000"/>
                      <a:lumMod val="100000"/>
                      <a:shade val="100000"/>
                    </a:schemeClr>
                  </a:gs>
                  <a:gs pos="100000">
                    <a:schemeClr val="accent3">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64A-4603-A5DC-16865747F1FD}"/>
              </c:ext>
            </c:extLst>
          </c:dPt>
          <c:dPt>
            <c:idx val="2"/>
            <c:bubble3D val="0"/>
            <c:spPr>
              <a:gradFill rotWithShape="1">
                <a:gsLst>
                  <a:gs pos="0">
                    <a:schemeClr val="accent3">
                      <a:shade val="86000"/>
                      <a:satMod val="103000"/>
                      <a:lumMod val="102000"/>
                      <a:tint val="94000"/>
                    </a:schemeClr>
                  </a:gs>
                  <a:gs pos="50000">
                    <a:schemeClr val="accent3">
                      <a:shade val="86000"/>
                      <a:satMod val="110000"/>
                      <a:lumMod val="100000"/>
                      <a:shade val="100000"/>
                    </a:schemeClr>
                  </a:gs>
                  <a:gs pos="100000">
                    <a:schemeClr val="accent3">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64A-4603-A5DC-16865747F1FD}"/>
              </c:ext>
            </c:extLst>
          </c:dPt>
          <c:dPt>
            <c:idx val="3"/>
            <c:bubble3D val="0"/>
            <c:spPr>
              <a:gradFill rotWithShape="1">
                <a:gsLst>
                  <a:gs pos="0">
                    <a:schemeClr val="accent3">
                      <a:shade val="58000"/>
                      <a:satMod val="103000"/>
                      <a:lumMod val="102000"/>
                      <a:tint val="94000"/>
                    </a:schemeClr>
                  </a:gs>
                  <a:gs pos="50000">
                    <a:schemeClr val="accent3">
                      <a:shade val="58000"/>
                      <a:satMod val="110000"/>
                      <a:lumMod val="100000"/>
                      <a:shade val="100000"/>
                    </a:schemeClr>
                  </a:gs>
                  <a:gs pos="100000">
                    <a:schemeClr val="accent3">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64A-4603-A5DC-16865747F1FD}"/>
              </c:ext>
            </c:extLst>
          </c:dPt>
          <c:dLbls>
            <c:dLbl>
              <c:idx val="1"/>
              <c:layout>
                <c:manualLayout>
                  <c:x val="-0.12693283137672987"/>
                  <c:y val="3.696237659350225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64A-4603-A5DC-16865747F1FD}"/>
                </c:ext>
              </c:extLst>
            </c:dLbl>
            <c:dLbl>
              <c:idx val="2"/>
              <c:layout>
                <c:manualLayout>
                  <c:x val="0.14808830327285144"/>
                  <c:y val="6.006386196444115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64A-4603-A5DC-16865747F1FD}"/>
                </c:ext>
              </c:extLst>
            </c:dLbl>
            <c:dLbl>
              <c:idx val="3"/>
              <c:layout>
                <c:manualLayout>
                  <c:x val="-0.23976201482271187"/>
                  <c:y val="0.1201277239288823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64A-4603-A5DC-16865747F1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'Dados Gráficos'!$A$2:$A$5</c:f>
              <c:strCache>
                <c:ptCount val="4"/>
                <c:pt idx="0">
                  <c:v>Baixo</c:v>
                </c:pt>
                <c:pt idx="1">
                  <c:v>Médio</c:v>
                </c:pt>
                <c:pt idx="2">
                  <c:v>Alto</c:v>
                </c:pt>
                <c:pt idx="3">
                  <c:v>Crítico</c:v>
                </c:pt>
              </c:strCache>
            </c:strRef>
          </c:cat>
          <c:val>
            <c:numRef>
              <c:f>'Dados Gráficos'!$B$2:$B$5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D64A-4603-A5DC-16865747F1FD}"/>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Gravidade Geral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pieChart>
        <c:varyColors val="1"/>
        <c:ser>
          <c:idx val="0"/>
          <c:order val="0"/>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DAA-48B2-A093-D5026C1D1A6C}"/>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DAA-48B2-A093-D5026C1D1A6C}"/>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DAA-48B2-A093-D5026C1D1A6C}"/>
              </c:ext>
            </c:extLst>
          </c:dPt>
          <c:dLbls>
            <c:dLbl>
              <c:idx val="1"/>
              <c:layout>
                <c:manualLayout>
                  <c:x val="-1.0675082100108363E-2"/>
                  <c:y val="6.92107060796124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AA-48B2-A093-D5026C1D1A6C}"/>
                </c:ext>
              </c:extLst>
            </c:dLbl>
            <c:dLbl>
              <c:idx val="2"/>
              <c:layout>
                <c:manualLayout>
                  <c:x val="-2.7911555228349989E-2"/>
                  <c:y val="-9.335183290178170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DAA-48B2-A093-D5026C1D1A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'Dados Gráficos'!$A$17:$A$19</c:f>
              <c:strCache>
                <c:ptCount val="3"/>
                <c:pt idx="0">
                  <c:v>Baixa</c:v>
                </c:pt>
                <c:pt idx="1">
                  <c:v>Média</c:v>
                </c:pt>
                <c:pt idx="2">
                  <c:v>Alta</c:v>
                </c:pt>
              </c:strCache>
            </c:strRef>
          </c:cat>
          <c:val>
            <c:numRef>
              <c:f>'Dados Gráficos'!$B$17:$B$19</c:f>
              <c:numCache>
                <c:formatCode>General</c:formatCode>
                <c:ptCount val="3"/>
                <c:pt idx="0">
                  <c:v>0</c:v>
                </c:pt>
                <c:pt idx="1">
                  <c:v>0</c:v>
                </c:pt>
                <c:pt idx="2">
                  <c:v>0</c:v>
                </c:pt>
              </c:numCache>
            </c:numRef>
          </c:val>
          <c:extLst>
            <c:ext xmlns:c16="http://schemas.microsoft.com/office/drawing/2014/chart" uri="{C3380CC4-5D6E-409C-BE32-E72D297353CC}">
              <c16:uniqueId val="{00000006-2DAA-48B2-A093-D5026C1D1A6C}"/>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Gravidade Por Setor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674-4DF9-995D-70C40B1D55D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674-4DF9-995D-70C40B1D55D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674-4DF9-995D-70C40B1D55DD}"/>
              </c:ext>
            </c:extLst>
          </c:dPt>
          <c:dLbls>
            <c:dLbl>
              <c:idx val="0"/>
              <c:layout>
                <c:manualLayout>
                  <c:x val="0.11194490595450536"/>
                  <c:y val="0.1004482745085831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74-4DF9-995D-70C40B1D55DD}"/>
                </c:ext>
              </c:extLst>
            </c:dLbl>
            <c:dLbl>
              <c:idx val="1"/>
              <c:layout>
                <c:manualLayout>
                  <c:x val="-4.2468169772360578E-2"/>
                  <c:y val="9.235020360674790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74-4DF9-995D-70C40B1D55DD}"/>
                </c:ext>
              </c:extLst>
            </c:dLbl>
            <c:dLbl>
              <c:idx val="2"/>
              <c:layout>
                <c:manualLayout>
                  <c:x val="-4.8002687014132461E-2"/>
                  <c:y val="-3.83557583378111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674-4DF9-995D-70C40B1D55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'Dados Gráficos'!$A$28:$A$30</c:f>
              <c:strCache>
                <c:ptCount val="3"/>
                <c:pt idx="0">
                  <c:v>Baixa</c:v>
                </c:pt>
                <c:pt idx="1">
                  <c:v>Média</c:v>
                </c:pt>
                <c:pt idx="2">
                  <c:v>Alta</c:v>
                </c:pt>
              </c:strCache>
            </c:strRef>
          </c:cat>
          <c:val>
            <c:numRef>
              <c:f>'Dados Gráficos'!$B$28:$B$30</c:f>
              <c:numCache>
                <c:formatCode>General</c:formatCode>
                <c:ptCount val="3"/>
                <c:pt idx="0">
                  <c:v>0</c:v>
                </c:pt>
                <c:pt idx="1">
                  <c:v>0</c:v>
                </c:pt>
                <c:pt idx="2">
                  <c:v>0</c:v>
                </c:pt>
              </c:numCache>
            </c:numRef>
          </c:val>
          <c:extLst>
            <c:ext xmlns:c16="http://schemas.microsoft.com/office/drawing/2014/chart" uri="{C3380CC4-5D6E-409C-BE32-E72D297353CC}">
              <c16:uniqueId val="{00000006-1674-4DF9-995D-70C40B1D55DD}"/>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181899</xdr:colOff>
      <xdr:row>2</xdr:row>
      <xdr:rowOff>1443182</xdr:rowOff>
    </xdr:from>
    <xdr:to>
      <xdr:col>11</xdr:col>
      <xdr:colOff>195130</xdr:colOff>
      <xdr:row>15</xdr:row>
      <xdr:rowOff>186690</xdr:rowOff>
    </xdr:to>
    <xdr:graphicFrame macro="">
      <xdr:nvGraphicFramePr>
        <xdr:cNvPr id="2" name="Gráfico 1">
          <a:extLst>
            <a:ext uri="{FF2B5EF4-FFF2-40B4-BE49-F238E27FC236}">
              <a16:creationId xmlns:a16="http://schemas.microsoft.com/office/drawing/2014/main" id="{8361CC32-27DE-4D7E-97D0-4D59743C5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1543339</xdr:colOff>
      <xdr:row>2</xdr:row>
      <xdr:rowOff>1405833</xdr:rowOff>
    </xdr:from>
    <xdr:to>
      <xdr:col>16</xdr:col>
      <xdr:colOff>5170009</xdr:colOff>
      <xdr:row>15</xdr:row>
      <xdr:rowOff>166240</xdr:rowOff>
    </xdr:to>
    <xdr:graphicFrame macro="">
      <xdr:nvGraphicFramePr>
        <xdr:cNvPr id="3" name="Gráfico 6">
          <a:extLst>
            <a:ext uri="{FF2B5EF4-FFF2-40B4-BE49-F238E27FC236}">
              <a16:creationId xmlns:a16="http://schemas.microsoft.com/office/drawing/2014/main" id="{C5433EA3-C7DB-4CDA-A653-0ACBD1C82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276282</xdr:colOff>
      <xdr:row>2</xdr:row>
      <xdr:rowOff>1424821</xdr:rowOff>
    </xdr:from>
    <xdr:to>
      <xdr:col>16</xdr:col>
      <xdr:colOff>1359431</xdr:colOff>
      <xdr:row>15</xdr:row>
      <xdr:rowOff>177608</xdr:rowOff>
    </xdr:to>
    <xdr:graphicFrame macro="">
      <xdr:nvGraphicFramePr>
        <xdr:cNvPr id="4" name="Gráfico 10">
          <a:extLst>
            <a:ext uri="{FF2B5EF4-FFF2-40B4-BE49-F238E27FC236}">
              <a16:creationId xmlns:a16="http://schemas.microsoft.com/office/drawing/2014/main" id="{2D753CDD-E25C-470F-A9C9-65795C412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96564</xdr:colOff>
      <xdr:row>2</xdr:row>
      <xdr:rowOff>1063133</xdr:rowOff>
    </xdr:from>
    <xdr:to>
      <xdr:col>5</xdr:col>
      <xdr:colOff>96470</xdr:colOff>
      <xdr:row>20</xdr:row>
      <xdr:rowOff>69137</xdr:rowOff>
    </xdr:to>
    <mc:AlternateContent xmlns:mc="http://schemas.openxmlformats.org/markup-compatibility/2006" xmlns:sle15="http://schemas.microsoft.com/office/drawing/2012/slicer">
      <mc:Choice Requires="sle15">
        <xdr:graphicFrame macro="">
          <xdr:nvGraphicFramePr>
            <xdr:cNvPr id="5" name="Setor 3">
              <a:extLst>
                <a:ext uri="{FF2B5EF4-FFF2-40B4-BE49-F238E27FC236}">
                  <a16:creationId xmlns:a16="http://schemas.microsoft.com/office/drawing/2014/main" id="{FCCBC8B1-4F86-443E-A373-FAB2BF946437}"/>
                </a:ext>
              </a:extLst>
            </xdr:cNvPr>
            <xdr:cNvGraphicFramePr/>
          </xdr:nvGraphicFramePr>
          <xdr:xfrm>
            <a:off x="0" y="0"/>
            <a:ext cx="0" cy="0"/>
          </xdr:xfrm>
          <a:graphic>
            <a:graphicData uri="http://schemas.microsoft.com/office/drawing/2010/slicer">
              <sle:slicer xmlns:sle="http://schemas.microsoft.com/office/drawing/2010/slicer" name="Setor 3"/>
            </a:graphicData>
          </a:graphic>
        </xdr:graphicFrame>
      </mc:Choice>
      <mc:Fallback xmlns="">
        <xdr:sp macro="" textlink="">
          <xdr:nvSpPr>
            <xdr:cNvPr id="0" name=""/>
            <xdr:cNvSpPr>
              <a:spLocks noTextEdit="1"/>
            </xdr:cNvSpPr>
          </xdr:nvSpPr>
          <xdr:spPr>
            <a:xfrm>
              <a:off x="293112" y="3210038"/>
              <a:ext cx="2721334" cy="4191837"/>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xdr:from>
      <xdr:col>1</xdr:col>
      <xdr:colOff>91439</xdr:colOff>
      <xdr:row>2</xdr:row>
      <xdr:rowOff>176991</xdr:rowOff>
    </xdr:from>
    <xdr:to>
      <xdr:col>16</xdr:col>
      <xdr:colOff>5618711</xdr:colOff>
      <xdr:row>2</xdr:row>
      <xdr:rowOff>973628</xdr:rowOff>
    </xdr:to>
    <xdr:sp macro="" textlink="">
      <xdr:nvSpPr>
        <xdr:cNvPr id="6" name="Retângulo: Cantos Diagonais Arredondados 5">
          <a:extLst>
            <a:ext uri="{FF2B5EF4-FFF2-40B4-BE49-F238E27FC236}">
              <a16:creationId xmlns:a16="http://schemas.microsoft.com/office/drawing/2014/main" id="{2C9458B7-73AA-896F-3420-7EDFFE627620}"/>
            </a:ext>
          </a:extLst>
        </xdr:cNvPr>
        <xdr:cNvSpPr/>
      </xdr:nvSpPr>
      <xdr:spPr>
        <a:xfrm>
          <a:off x="91439" y="176991"/>
          <a:ext cx="14013181" cy="796637"/>
        </a:xfrm>
        <a:prstGeom prst="round2DiagRect">
          <a:avLst/>
        </a:prstGeom>
        <a:solidFill>
          <a:schemeClr val="tx1">
            <a:lumMod val="95000"/>
            <a:lumOff val="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pt-BR" sz="3200" b="1">
              <a:solidFill>
                <a:schemeClr val="bg1"/>
              </a:solidFill>
            </a:rPr>
            <a:t>PAINEL</a:t>
          </a:r>
          <a:r>
            <a:rPr lang="pt-BR" sz="3200" b="1" baseline="0">
              <a:solidFill>
                <a:schemeClr val="bg1"/>
              </a:solidFill>
            </a:rPr>
            <a:t> RESUMO NR-1</a:t>
          </a:r>
          <a:endParaRPr lang="pt-BR" sz="3200" b="1">
            <a:solidFill>
              <a:schemeClr val="bg1"/>
            </a:solidFill>
          </a:endParaRPr>
        </a:p>
      </xdr:txBody>
    </xdr:sp>
    <xdr:clientData/>
  </xdr:twoCellAnchor>
  <xdr:oneCellAnchor>
    <xdr:from>
      <xdr:col>1</xdr:col>
      <xdr:colOff>74122</xdr:colOff>
      <xdr:row>2</xdr:row>
      <xdr:rowOff>994929</xdr:rowOff>
    </xdr:from>
    <xdr:ext cx="1617302" cy="248851"/>
    <xdr:sp macro="" textlink="">
      <xdr:nvSpPr>
        <xdr:cNvPr id="7" name="CaixaDeTexto 6">
          <a:extLst>
            <a:ext uri="{FF2B5EF4-FFF2-40B4-BE49-F238E27FC236}">
              <a16:creationId xmlns:a16="http://schemas.microsoft.com/office/drawing/2014/main" id="{99E5BD8C-7E9E-3927-426A-8782B3667309}"/>
            </a:ext>
          </a:extLst>
        </xdr:cNvPr>
        <xdr:cNvSpPr txBox="1"/>
      </xdr:nvSpPr>
      <xdr:spPr>
        <a:xfrm>
          <a:off x="74122" y="994929"/>
          <a:ext cx="1617302"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BR" sz="1000" i="1">
              <a:solidFill>
                <a:srgbClr val="FF0000"/>
              </a:solidFill>
            </a:rPr>
            <a:t>*Selecione</a:t>
          </a:r>
          <a:r>
            <a:rPr lang="pt-BR" sz="1000" i="1" baseline="0">
              <a:solidFill>
                <a:srgbClr val="FF0000"/>
              </a:solidFill>
            </a:rPr>
            <a:t> o setor desejado</a:t>
          </a:r>
          <a:endParaRPr lang="pt-BR" sz="1000" i="1">
            <a:solidFill>
              <a:srgbClr val="FF0000"/>
            </a:solidFill>
          </a:endParaRPr>
        </a:p>
      </xdr:txBody>
    </xdr:sp>
    <xdr:clientData/>
  </xdr:oneCellAnchor>
  <xdr:twoCellAnchor editAs="oneCell">
    <xdr:from>
      <xdr:col>1</xdr:col>
      <xdr:colOff>120951</xdr:colOff>
      <xdr:row>0</xdr:row>
      <xdr:rowOff>75597</xdr:rowOff>
    </xdr:from>
    <xdr:to>
      <xdr:col>16</xdr:col>
      <xdr:colOff>5594048</xdr:colOff>
      <xdr:row>2</xdr:row>
      <xdr:rowOff>188674</xdr:rowOff>
    </xdr:to>
    <xdr:pic>
      <xdr:nvPicPr>
        <xdr:cNvPr id="8" name="Imagem 7">
          <a:extLst>
            <a:ext uri="{FF2B5EF4-FFF2-40B4-BE49-F238E27FC236}">
              <a16:creationId xmlns:a16="http://schemas.microsoft.com/office/drawing/2014/main" id="{5000BCD3-46BC-9C4B-A512-77F0050578AA}"/>
            </a:ext>
          </a:extLst>
        </xdr:cNvPr>
        <xdr:cNvPicPr>
          <a:picLocks noChangeAspect="1"/>
        </xdr:cNvPicPr>
      </xdr:nvPicPr>
      <xdr:blipFill>
        <a:blip xmlns:r="http://schemas.openxmlformats.org/officeDocument/2006/relationships" r:embed="rId4"/>
        <a:stretch>
          <a:fillRect/>
        </a:stretch>
      </xdr:blipFill>
      <xdr:spPr>
        <a:xfrm>
          <a:off x="317499" y="75597"/>
          <a:ext cx="15119049" cy="22599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4069054</xdr:colOff>
      <xdr:row>4</xdr:row>
      <xdr:rowOff>126293</xdr:rowOff>
    </xdr:to>
    <mc:AlternateContent xmlns:mc="http://schemas.openxmlformats.org/markup-compatibility/2006" xmlns:sle15="http://schemas.microsoft.com/office/drawing/2012/slicer">
      <mc:Choice Requires="sle15">
        <xdr:graphicFrame macro="">
          <xdr:nvGraphicFramePr>
            <xdr:cNvPr id="2" name="Setor">
              <a:extLst>
                <a:ext uri="{FF2B5EF4-FFF2-40B4-BE49-F238E27FC236}">
                  <a16:creationId xmlns:a16="http://schemas.microsoft.com/office/drawing/2014/main" id="{BAF559E8-2E95-4645-9904-53C189EAFE58}"/>
                </a:ext>
              </a:extLst>
            </xdr:cNvPr>
            <xdr:cNvGraphicFramePr/>
          </xdr:nvGraphicFramePr>
          <xdr:xfrm>
            <a:off x="0" y="0"/>
            <a:ext cx="0" cy="0"/>
          </xdr:xfrm>
          <a:graphic>
            <a:graphicData uri="http://schemas.microsoft.com/office/drawing/2010/slicer">
              <sle:slicer xmlns:sle="http://schemas.microsoft.com/office/drawing/2010/slicer" name="Setor"/>
            </a:graphicData>
          </a:graphic>
        </xdr:graphicFrame>
      </mc:Choice>
      <mc:Fallback xmlns="">
        <xdr:sp macro="" textlink="">
          <xdr:nvSpPr>
            <xdr:cNvPr id="0" name=""/>
            <xdr:cNvSpPr>
              <a:spLocks noTextEdit="1"/>
            </xdr:cNvSpPr>
          </xdr:nvSpPr>
          <xdr:spPr>
            <a:xfrm>
              <a:off x="0" y="0"/>
              <a:ext cx="7682630" cy="112734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1735220</xdr:colOff>
      <xdr:row>5</xdr:row>
      <xdr:rowOff>174840</xdr:rowOff>
    </xdr:to>
    <mc:AlternateContent xmlns:mc="http://schemas.openxmlformats.org/markup-compatibility/2006" xmlns:sle15="http://schemas.microsoft.com/office/drawing/2012/slicer">
      <mc:Choice Requires="sle15">
        <xdr:graphicFrame macro="">
          <xdr:nvGraphicFramePr>
            <xdr:cNvPr id="2" name="Setor 1">
              <a:extLst>
                <a:ext uri="{FF2B5EF4-FFF2-40B4-BE49-F238E27FC236}">
                  <a16:creationId xmlns:a16="http://schemas.microsoft.com/office/drawing/2014/main" id="{E62ED004-17C2-4D60-9742-E9A4D27D7175}"/>
                </a:ext>
              </a:extLst>
            </xdr:cNvPr>
            <xdr:cNvGraphicFramePr/>
          </xdr:nvGraphicFramePr>
          <xdr:xfrm>
            <a:off x="0" y="0"/>
            <a:ext cx="0" cy="0"/>
          </xdr:xfrm>
          <a:graphic>
            <a:graphicData uri="http://schemas.microsoft.com/office/drawing/2010/slicer">
              <sle:slicer xmlns:sle="http://schemas.microsoft.com/office/drawing/2010/slicer" name="Setor 1"/>
            </a:graphicData>
          </a:graphic>
        </xdr:graphicFrame>
      </mc:Choice>
      <mc:Fallback xmlns="">
        <xdr:sp macro="" textlink="">
          <xdr:nvSpPr>
            <xdr:cNvPr id="0" name=""/>
            <xdr:cNvSpPr>
              <a:spLocks noTextEdit="1"/>
            </xdr:cNvSpPr>
          </xdr:nvSpPr>
          <xdr:spPr>
            <a:xfrm>
              <a:off x="0" y="0"/>
              <a:ext cx="7682630" cy="112734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471214</xdr:colOff>
      <xdr:row>0</xdr:row>
      <xdr:rowOff>197994</xdr:rowOff>
    </xdr:from>
    <xdr:to>
      <xdr:col>8</xdr:col>
      <xdr:colOff>0</xdr:colOff>
      <xdr:row>0</xdr:row>
      <xdr:rowOff>2177812</xdr:rowOff>
    </xdr:to>
    <xdr:pic>
      <xdr:nvPicPr>
        <xdr:cNvPr id="3" name="Imagem 2">
          <a:extLst>
            <a:ext uri="{FF2B5EF4-FFF2-40B4-BE49-F238E27FC236}">
              <a16:creationId xmlns:a16="http://schemas.microsoft.com/office/drawing/2014/main" id="{5F89A21F-3C39-7A26-778A-90D635801676}"/>
            </a:ext>
          </a:extLst>
        </xdr:cNvPr>
        <xdr:cNvPicPr>
          <a:picLocks noChangeAspect="1"/>
        </xdr:cNvPicPr>
      </xdr:nvPicPr>
      <xdr:blipFill>
        <a:blip xmlns:r="http://schemas.openxmlformats.org/officeDocument/2006/relationships" r:embed="rId1"/>
        <a:stretch>
          <a:fillRect/>
        </a:stretch>
      </xdr:blipFill>
      <xdr:spPr>
        <a:xfrm>
          <a:off x="471214" y="197994"/>
          <a:ext cx="13244786" cy="197981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ilvanapsi20@hotmail.com" id="{7F16B893-EAD3-F241-9207-EA9E69A2273D}" userId="d63a66997d960a15"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lvana Ribeiro Goncalves" refreshedDate="46070.717481134256" createdVersion="8" refreshedVersion="8" minRefreshableVersion="3" recordCount="90" xr:uid="{A3E56687-52BF-4AED-9DAD-E1F4C970AF5F}">
  <cacheSource type="worksheet">
    <worksheetSource name="Tabela_1"/>
  </cacheSource>
  <cacheFields count="8">
    <cacheField name="Tópico" numFmtId="0">
      <sharedItems containsBlank="1" count="23">
        <s v="Tópico 01 - Assédio de qualquer natureza no trabalho"/>
        <s v="Tópico 02 - Falta de suporte/apoio no trabalho"/>
        <s v="Tópico 03 - Má gestão de mudanças organizacionais"/>
        <s v="Tópico 04 - Baixa clareza de papel/função"/>
        <s v="Tópico 05 - Baixas recompensas e reconhecimento"/>
        <s v="Tópico 06 - Baixo controle no trabalho / Falta de autonomia"/>
        <s v="Tópico 07 - Baixa justiça organizacional"/>
        <s v="Tópico 08 - Eventos violentos ou traumáticos"/>
        <s v="Tópico 09 - Baixa demanda no trabalho (Subcarga)"/>
        <s v="Tópico 10 - Excesso de demandas no trabalho (Sobrecarga)"/>
        <s v="Tópico 11 - Maus relacionamentos no local de trabalho"/>
        <s v="Tópico 12 - Trabalho em condições de difícil comunicação"/>
        <s v="Tópico 13 - Trabalho remoto e isolado"/>
        <m/>
        <s v="Tópico 01 - Assédio Moral e Sexual" u="1"/>
        <s v="Tópico 02 - Carga Excessiva de Trabalho" u="1"/>
        <s v="Tópico 03 - Reconhecimento e Recompensas" u="1"/>
        <s v="Tópico 04 - Clima Organizacional" u="1"/>
        <s v="Tópico 05 - Autonomia e Controle sobre o Trabalho" u="1"/>
        <s v="Tópico 06 - Pressão e Metas" u="1"/>
        <s v="Tópico 07 - Insegurança e Ameaças" u="1"/>
        <s v="Tópico 08 - Conflitos Interpessoais e Falta de Comunicação" u="1"/>
        <s v="Tópico 09 - Alinhamento entre Vida Pessoal e Profissional" u="1"/>
      </sharedItems>
    </cacheField>
    <cacheField name="Nº" numFmtId="0">
      <sharedItems containsString="0" containsBlank="1" containsNumber="1" containsInteger="1" minValue="1" maxValue="7"/>
    </cacheField>
    <cacheField name="Pergunta" numFmtId="0">
      <sharedItems containsBlank="1"/>
    </cacheField>
    <cacheField name="Lógica" numFmtId="0">
      <sharedItems containsBlank="1"/>
    </cacheField>
    <cacheField name="MÉDIA" numFmtId="0">
      <sharedItems/>
    </cacheField>
    <cacheField name="Pontuação Corrigida" numFmtId="0">
      <sharedItems/>
    </cacheField>
    <cacheField name="Gravidade" numFmtId="0">
      <sharedItems/>
    </cacheField>
    <cacheField name="GravidadeNum"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n v="1"/>
    <s v="Você já presenciou ou sofreu comentários ofensivos, piadas ou insinuações inadequadas no ambiente de trabalho?"/>
    <s v="Direta"/>
    <s v=""/>
    <s v=""/>
    <s v=""/>
    <s v=""/>
  </r>
  <r>
    <x v="0"/>
    <n v="2"/>
    <s v="Você se sente à vontade para relatar situações de assédio moral ou sexual na empresa sem medo de represálias?"/>
    <s v="Invertida"/>
    <s v=""/>
    <s v=""/>
    <s v=""/>
    <s v=""/>
  </r>
  <r>
    <x v="0"/>
    <n v="3"/>
    <s v="Existe um canal seguro e sigiloso para denunciar assédio na empresa?"/>
    <s v="Invertida"/>
    <s v=""/>
    <s v=""/>
    <s v=""/>
    <s v=""/>
  </r>
  <r>
    <x v="0"/>
    <n v="4"/>
    <s v="Há casos conhecidos de assédio moral ou sexual que não foram devidamente investigados ou punidos?"/>
    <s v="Direta"/>
    <s v=""/>
    <s v=""/>
    <s v=""/>
    <s v=""/>
  </r>
  <r>
    <x v="0"/>
    <n v="5"/>
    <s v="O RH e os gestores demonstram comprometimento real com a prevenção do assédio?"/>
    <s v="Invertida"/>
    <s v=""/>
    <s v=""/>
    <s v=""/>
    <s v=""/>
  </r>
  <r>
    <x v="1"/>
    <n v="1"/>
    <s v="Você sente que pode contar com seus colegas em momentos de dificuldade?"/>
    <s v="Invertida"/>
    <s v=""/>
    <s v=""/>
    <s v=""/>
    <s v=""/>
  </r>
  <r>
    <x v="1"/>
    <n v="2"/>
    <s v="Existe apoio da liderança para lidar com desafios relacionados ao trabalho?"/>
    <s v="Invertida"/>
    <s v=""/>
    <s v=""/>
    <s v=""/>
    <s v=""/>
  </r>
  <r>
    <x v="1"/>
    <n v="3"/>
    <s v="O RH está presente e atuante quando surgem conflitos ou dificuldades no trabalho?"/>
    <s v="Invertida"/>
    <s v=""/>
    <s v=""/>
    <s v=""/>
    <s v=""/>
  </r>
  <r>
    <x v="1"/>
    <n v="4"/>
    <s v="Os gestores promovem um ambiente saudável e respeitoso?"/>
    <s v="Invertida"/>
    <s v=""/>
    <s v=""/>
    <s v=""/>
    <s v=""/>
  </r>
  <r>
    <x v="1"/>
    <n v="5"/>
    <s v="Você sente que pode expressar suas dificuldades no trabalho sem ser julgado(a)?"/>
    <s v="Invertida"/>
    <s v=""/>
    <s v=""/>
    <s v=""/>
    <s v=""/>
  </r>
  <r>
    <x v="2"/>
    <n v="1"/>
    <s v="Mudanças organizacionais impactaram negativamente seu sentimento de segurança no trabalho?"/>
    <s v="Direta"/>
    <s v=""/>
    <s v=""/>
    <s v=""/>
    <s v=""/>
  </r>
  <r>
    <x v="2"/>
    <n v="2"/>
    <s v="Há comunicação clara sobre mudanças que afetam a empresa ou os trabalhadores?"/>
    <s v="Invertida"/>
    <s v=""/>
    <s v=""/>
    <s v=""/>
    <s v=""/>
  </r>
  <r>
    <x v="2"/>
    <n v="3"/>
    <s v="Você já sentiu que seu emprego estava ameaçado sem explicações claras durante períodos de mudança?"/>
    <s v="Direta"/>
    <s v=""/>
    <s v=""/>
    <s v=""/>
    <s v=""/>
  </r>
  <r>
    <x v="2"/>
    <n v="4"/>
    <s v="Existe transparência na comunicação da empresa durante processos de mudança?"/>
    <s v="Invertida"/>
    <s v=""/>
    <s v=""/>
    <s v=""/>
    <s v=""/>
  </r>
  <r>
    <x v="3"/>
    <n v="1"/>
    <s v="Você recebe instruções claras sobre suas responsabilidades no trabalho?"/>
    <s v="Invertida"/>
    <s v=""/>
    <s v=""/>
    <s v=""/>
    <s v=""/>
  </r>
  <r>
    <x v="3"/>
    <n v="2"/>
    <s v="A comunicação da empresa ajuda você a entender o que é esperado do seu trabalho?"/>
    <s v="Invertida"/>
    <s v=""/>
    <s v=""/>
    <s v=""/>
    <s v=""/>
  </r>
  <r>
    <x v="3"/>
    <n v="3"/>
    <s v="A comunicação entre equipes e setores contribui para a clareza das suas tarefas?"/>
    <s v="Invertida"/>
    <s v=""/>
    <s v=""/>
    <s v=""/>
    <s v=""/>
  </r>
  <r>
    <x v="3"/>
    <n v="4"/>
    <s v="Você se sente confortável para pedir esclarecimentos quando não entende suas funções ou prioridades?"/>
    <s v="Invertida"/>
    <s v=""/>
    <s v=""/>
    <s v=""/>
    <s v=""/>
  </r>
  <r>
    <x v="4"/>
    <n v="1"/>
    <s v="Você sente que seu esforço e desempenho são reconhecidos pela liderança?"/>
    <s v="Invertida"/>
    <s v=""/>
    <s v=""/>
    <s v=""/>
    <s v=""/>
  </r>
  <r>
    <x v="4"/>
    <n v="2"/>
    <s v="Você recebe feedback construtivo sobre o seu trabalho com regularidade?"/>
    <s v="Invertida"/>
    <s v=""/>
    <s v=""/>
    <s v=""/>
    <s v=""/>
  </r>
  <r>
    <x v="4"/>
    <n v="3"/>
    <s v="Você já se sentiu desmotivado(a) por falta de reconhecimento no trabalho?"/>
    <s v="Direta"/>
    <s v=""/>
    <s v=""/>
    <s v=""/>
    <s v=""/>
  </r>
  <r>
    <x v="5"/>
    <n v="1"/>
    <s v="Você tem liberdade para tomar decisões sobre como executar suas tarefas diárias?"/>
    <s v="Invertida"/>
    <s v=""/>
    <s v=""/>
    <s v=""/>
    <s v=""/>
  </r>
  <r>
    <x v="5"/>
    <n v="2"/>
    <s v="A empresa confia na sua capacidade de organizar e gerenciar o próprio trabalho?"/>
    <s v="Invertida"/>
    <s v=""/>
    <s v=""/>
    <s v=""/>
    <s v=""/>
  </r>
  <r>
    <x v="5"/>
    <n v="3"/>
    <s v="O excesso de controle ou burocracia interfere no seu desempenho?"/>
    <s v="Direta"/>
    <s v=""/>
    <s v=""/>
    <s v=""/>
    <s v=""/>
  </r>
  <r>
    <x v="5"/>
    <n v="4"/>
    <s v="Existe excesso de supervisão que impacte negativamente sua produtividade ou bem-estar?"/>
    <s v="Direta"/>
    <s v=""/>
    <s v=""/>
    <s v=""/>
    <s v=""/>
  </r>
  <r>
    <x v="6"/>
    <n v="1"/>
    <s v="Você acha justas e claras as formas que a empresa usa para avaliar o seu trabalho?"/>
    <s v="Invertida"/>
    <s v=""/>
    <s v=""/>
    <s v=""/>
    <s v=""/>
  </r>
  <r>
    <x v="6"/>
    <n v="2"/>
    <s v="Você sente que há igualdade no reconhecimento entre diferentes áreas ou equipes?"/>
    <s v="Invertida"/>
    <s v=""/>
    <s v=""/>
    <s v=""/>
    <s v=""/>
  </r>
  <r>
    <x v="6"/>
    <n v="3"/>
    <s v="Você sente que há transparência nas decisões de desligamento na empresa?"/>
    <s v="Invertida"/>
    <s v=""/>
    <s v=""/>
    <s v=""/>
    <s v=""/>
  </r>
  <r>
    <x v="6"/>
    <n v="4"/>
    <s v="Você já presenciou casos de demissões injustas?"/>
    <s v="Direta"/>
    <s v=""/>
    <s v=""/>
    <s v=""/>
    <s v=""/>
  </r>
  <r>
    <x v="7"/>
    <n v="1"/>
    <s v="Você já vivenciou ou presenciou alguma situação de violência grave no trabalho (como agressão física, ameaça séria ou ataque verbal intenso)?"/>
    <s v="Direta"/>
    <s v=""/>
    <s v=""/>
    <s v=""/>
    <s v=""/>
  </r>
  <r>
    <x v="7"/>
    <n v="2"/>
    <s v="Você já passou por algum evento grave no trabalho (como acidente sério, situação de risco extremo ou episódio muito impactante)?"/>
    <s v="Direta"/>
    <s v=""/>
    <s v=""/>
    <s v=""/>
    <s v=""/>
  </r>
  <r>
    <x v="7"/>
    <n v="3"/>
    <s v="Alguma situação vivida no trabalho já foi tão marcante que deixou medo, choque ou forte abalo emocional?"/>
    <s v="Direta"/>
    <s v=""/>
    <s v=""/>
    <s v=""/>
    <s v=""/>
  </r>
  <r>
    <x v="8"/>
    <n v="1"/>
    <s v="Você sente que, na maior parte do tempo, tem pouco trabalho a realizar durante sua jornada?"/>
    <s v="Direta"/>
    <s v=""/>
    <s v=""/>
    <s v=""/>
    <s v=""/>
  </r>
  <r>
    <x v="8"/>
    <n v="2"/>
    <s v="Você costuma ficar com tempo ocioso no trabalho por falta de tarefas ou demandas claras?"/>
    <s v="Direta"/>
    <s v=""/>
    <s v=""/>
    <s v=""/>
    <s v=""/>
  </r>
  <r>
    <x v="8"/>
    <n v="3"/>
    <s v="Você sente que suas habilidades ou conhecimentos são pouco utilizados no seu trabalho?"/>
    <s v="Direta"/>
    <s v=""/>
    <s v=""/>
    <s v=""/>
    <s v=""/>
  </r>
  <r>
    <x v="8"/>
    <n v="4"/>
    <s v="Seu trabalho costuma ser pouco desafiador ou repetitivo a ponto de gerar desânimo?"/>
    <s v="Direta"/>
    <s v=""/>
    <s v=""/>
    <s v=""/>
    <s v=""/>
  </r>
  <r>
    <x v="9"/>
    <n v="1"/>
    <s v="Você sente que sua carga de trabalho diária é maior do que consegue realizar dentro do horário normal?"/>
    <s v="Direta"/>
    <s v=""/>
    <s v=""/>
    <s v=""/>
    <s v=""/>
  </r>
  <r>
    <x v="9"/>
    <n v="2"/>
    <s v="Você frequentemente precisa fazer horas extras ou levar trabalho para casa?"/>
    <s v="Direta"/>
    <s v=""/>
    <s v=""/>
    <s v=""/>
    <s v=""/>
  </r>
  <r>
    <x v="9"/>
    <n v="3"/>
    <s v="Você já teve sintomas físicos ou emocionais (como exaustão, ansiedade ou insônia) devido ao excesso de trabalho?"/>
    <s v="Direta"/>
    <s v=""/>
    <s v=""/>
    <s v=""/>
    <s v=""/>
  </r>
  <r>
    <x v="9"/>
    <n v="4"/>
    <s v="A equipe é dimensionada corretamente para a demanda de trabalho existente?"/>
    <s v="Invertida"/>
    <s v=""/>
    <s v=""/>
    <s v=""/>
    <s v=""/>
  </r>
  <r>
    <x v="10"/>
    <n v="1"/>
    <s v="Você já evitou colegas ou superiores por causa de desentendimentos frequentes?"/>
    <s v="Direta"/>
    <s v=""/>
    <s v=""/>
    <s v=""/>
    <s v=""/>
  </r>
  <r>
    <x v="10"/>
    <n v="2"/>
    <s v="Você percebe rivalidade excessiva ou desnecessária entre colegas ou setores?"/>
    <s v="Direta"/>
    <s v=""/>
    <s v=""/>
    <s v=""/>
    <s v=""/>
  </r>
  <r>
    <x v="10"/>
    <n v="3"/>
    <s v="Conflitos no trabalho costumam ser resolvidos de forma justa?"/>
    <s v="Invertida"/>
    <s v=""/>
    <s v=""/>
    <s v=""/>
    <s v=""/>
  </r>
  <r>
    <x v="11"/>
    <n v="4"/>
    <s v="Você trabalha em condições (como turnos diferentes, trabalho externo ou distância física) que dificultam a comunicação no trabalho?"/>
    <s v="Direta"/>
    <s v=""/>
    <s v=""/>
    <s v=""/>
    <s v=""/>
  </r>
  <r>
    <x v="11"/>
    <n v="5"/>
    <s v="A distância física entre você e sua equipe ou liderança dificulta a troca de informações?"/>
    <s v="Direta"/>
    <s v=""/>
    <s v=""/>
    <s v=""/>
    <s v=""/>
  </r>
  <r>
    <x v="11"/>
    <n v="6"/>
    <s v="Você já teve dificuldade para receber informações importantes no momento certo por causa da organização do trabalho?"/>
    <s v="Direta"/>
    <s v=""/>
    <s v=""/>
    <s v=""/>
    <s v=""/>
  </r>
  <r>
    <x v="11"/>
    <n v="7"/>
    <s v="Você tem acesso fácil aos meios necessários para se comunicar com colegas e liderança durante o trabalho?"/>
    <s v="Invertida"/>
    <s v=""/>
    <s v=""/>
    <s v=""/>
    <s v=""/>
  </r>
  <r>
    <x v="12"/>
    <n v="1"/>
    <s v="Você trabalha grande parte do tempo de forma remota ou sozinho(a), com pouco contato presencial com colegas ou liderança?"/>
    <s v="Direta"/>
    <s v=""/>
    <s v=""/>
    <s v=""/>
    <s v=""/>
  </r>
  <r>
    <x v="12"/>
    <n v="2"/>
    <s v="Você sente que o trabalho remoto ou isolado faz com que se sinta distante da equipe ou da empresa?"/>
    <s v="Direta"/>
    <s v=""/>
    <s v=""/>
    <s v=""/>
    <s v=""/>
  </r>
  <r>
    <x v="12"/>
    <n v="3"/>
    <s v="Se Você trabalha de forma remota ou isolada, você sente que recebe apoio e acompanhamento adequados da empresa?"/>
    <s v="Invertida"/>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r>
    <x v="13"/>
    <m/>
    <m/>
    <m/>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AA830E-3AB7-4718-8FBF-F3C32BDF4C99}" name="Tabela dinâmica7"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8" firstHeaderRow="1" firstDataRow="1" firstDataCol="1"/>
  <pivotFields count="8">
    <pivotField axis="axisRow" showAll="0">
      <items count="24">
        <item m="1" x="14"/>
        <item m="1" x="15"/>
        <item m="1" x="16"/>
        <item m="1" x="17"/>
        <item m="1" x="18"/>
        <item m="1" x="19"/>
        <item m="1" x="20"/>
        <item m="1" x="21"/>
        <item m="1" x="22"/>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s>
  <rowFields count="1">
    <field x="0"/>
  </rowFields>
  <rowItems count="15">
    <i>
      <x v="9"/>
    </i>
    <i>
      <x v="10"/>
    </i>
    <i>
      <x v="11"/>
    </i>
    <i>
      <x v="12"/>
    </i>
    <i>
      <x v="13"/>
    </i>
    <i>
      <x v="14"/>
    </i>
    <i>
      <x v="15"/>
    </i>
    <i>
      <x v="16"/>
    </i>
    <i>
      <x v="17"/>
    </i>
    <i>
      <x v="18"/>
    </i>
    <i>
      <x v="19"/>
    </i>
    <i>
      <x v="20"/>
    </i>
    <i>
      <x v="21"/>
    </i>
    <i>
      <x v="22"/>
    </i>
    <i t="grand">
      <x/>
    </i>
  </rowItems>
  <colItems count="1">
    <i/>
  </colItems>
  <dataFields count="1">
    <dataField name="Média de GravidadeNum" fld="7"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Qual_o_seu_Setor?" xr10:uid="{8B7F8894-C21F-4618-A9AE-99ECF4F47D9D}" sourceName="Qual o seu Setor? ">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tor 3" xr10:uid="{FBF3FA9C-F07C-496F-B72C-586F938E0A68}" cache="SegmentaçãodeDados_Qual_o_seu_Setor?" caption="Setor" style="SlicerStyleDark3"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tor" xr10:uid="{BC2225CB-417E-4189-8954-833AF3C26B0D}" cache="SegmentaçãodeDados_Qual_o_seu_Setor?" caption="Setor" columnCount="5" style="SlicerStyleDark3" rowHeight="36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tor 1" xr10:uid="{FD9EF100-69A5-40F1-9ED1-A9FAB2C5C518}" cache="SegmentaçãodeDados_Qual_o_seu_Setor?" caption="Setor" columnCount="5" style="SlicerStyleDark3"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_2" displayName="Tabela_2" ref="A4:CO215" headerRowDxfId="128" dataDxfId="127">
  <autoFilter ref="A4:CO215" xr:uid="{00000000-000C-0000-FFFF-FFFF00000000}"/>
  <tableColumns count="93">
    <tableColumn id="1" xr3:uid="{00000000-0010-0000-0000-000001000000}" name="Carimbo de data/hora" dataDxfId="126"/>
    <tableColumn id="2" xr3:uid="{00000000-0010-0000-0000-000002000000}" name="Qual o seu cargo/ Função? " dataDxfId="125"/>
    <tableColumn id="3" xr3:uid="{00000000-0010-0000-0000-000003000000}" name="Qual o seu Setor? " dataDxfId="124"/>
    <tableColumn id="6" xr3:uid="{00000000-0010-0000-0000-000006000000}" name="01 - Você já presenciou ou sofreu comentários ofensivos, piadas ou insinuações inadequadas no ambiente de trabalho?_x000a_(- Responda pensando se já presenciou ou sofreu esse tipo de situação no trabalho.)" dataDxfId="123"/>
    <tableColumn id="7" xr3:uid="{00000000-0010-0000-0000-000007000000}" name="02 - Você se sente à vontade para relatar situações de assédio moral ou sexual na empresa sem medo de represálias?_x000a_(-Responda se você se sente seguro(a) para relatar situações de assédio na empresa.)" dataDxfId="122"/>
    <tableColumn id="8" xr3:uid="{00000000-0010-0000-0000-000008000000}" name="03 - Existe um canal seguro e sigiloso para denunciar assédio na empresa?_x000a_(-Responda se a empresa oferece um meio seguro para denunciar assédio e outras situações)" dataDxfId="121"/>
    <tableColumn id="9" xr3:uid="{00000000-0010-0000-0000-000009000000}" name="04 - Há casos conhecidos de assédio moral ou sexual que não foram devidamente investigados ou punidos?_x000a_(- Responda se você percebe que situações de assédio não são tratadas corretamente.)" dataDxfId="120"/>
    <tableColumn id="10" xr3:uid="{00000000-0010-0000-0000-00000A000000}" name="05 - O RH e os gestores demonstram comprometimento real com a prevenção do assédio?_x000a_(- Responda se você percebe que situações de assédio não são tratadas corretamente.)" dataDxfId="119"/>
    <tableColumn id="11" xr3:uid="{00000000-0010-0000-0000-00000B000000}" name="06 - Você sente que pode contar com seus colegas em momentos de dificuldade?_x000a_(-Responda se você sente que pode contar com seus colegas quando precisa.)" dataDxfId="118"/>
    <tableColumn id="12" xr3:uid="{00000000-0010-0000-0000-00000C000000}" name="07 - Existe apoio da liderança para lidar com desafios relacionados ao trabalho?_x000a_(Responda se seus gestores ajudam quando surgem dificuldades no trabalho.)" dataDxfId="117"/>
    <tableColumn id="13" xr3:uid="{00000000-0010-0000-0000-00000D000000}" name="08 - O RH está presente e atuante quando surgem conflitos ou dificuldades no trabalho?_x000a_(Responda se o RH costuma apoiar quando há conflitos ou problemas.)" dataDxfId="116"/>
    <tableColumn id="14" xr3:uid="{00000000-0010-0000-0000-00000E000000}" name="09 - Os gestores promovem um ambiente saudável e respeitoso?_x000a_(Responda como você avalia o comportamento dos gestores no dia a dia.)" dataDxfId="115"/>
    <tableColumn id="15" xr3:uid="{00000000-0010-0000-0000-00000F000000}" name="10 - Você sente que pode expressar suas dificuldades no trabalho sem ser julgado(a)?_x000a_(Responda se você se sente à vontade para falar sobre dificuldades no trabalho.)" dataDxfId="114"/>
    <tableColumn id="16" xr3:uid="{00000000-0010-0000-0000-000010000000}" name="11 - Mudanças organizacionais impactaram negativamente seu sentimento de segurança no trabalho? _x000a_(Responda se mudanças na empresa afetaram sua sensação de segurança no trabalho.)" dataDxfId="113"/>
    <tableColumn id="17" xr3:uid="{00000000-0010-0000-0000-000011000000}" name="12 - Há comunicação clara sobre mudanças que afetam a empresa ou os trabalhadores?_x000a_(Responda se a empresa costuma explicar bem as mudanças que acontecem.)" dataDxfId="112"/>
    <tableColumn id="18" xr3:uid="{00000000-0010-0000-0000-000012000000}" name="13 - Você já sentiu que seu emprego estava ameaçado sem explicações claras durante períodos de mudança?_x000a_(Responda se já sentiu insegurança sobre seu emprego durante mudanças.)" dataDxfId="111"/>
    <tableColumn id="19" xr3:uid="{00000000-0010-0000-0000-000013000000}" name="14 - Existe transparência na comunicação da empresa durante processos de mudança?_x000a_(Responda se as mudanças são comunicadas de forma clara e aberta.)" dataDxfId="110"/>
    <tableColumn id="20" xr3:uid="{00000000-0010-0000-0000-000014000000}" name="15 - Você recebe instruções claras sobre suas responsabilidades no trabalho?_x000a_(Responda se você entende bem quais são suas responsabilidades.)" dataDxfId="109"/>
    <tableColumn id="21" xr3:uid="{00000000-0010-0000-0000-000015000000}" name="16 - A comunicação da empresa ajuda você a entender o que é esperado do seu trabalho?_x000a_(Responda se a empresa deixa claro o que espera do seu trabalho.)" dataDxfId="108"/>
    <tableColumn id="22" xr3:uid="{00000000-0010-0000-0000-000016000000}" name="17 - A comunicação entre equipes e setores contribui para a clareza das suas tarefas?_x000a_(Responda se a comunicação entre áreas ajuda no seu trabalho.)" dataDxfId="107"/>
    <tableColumn id="23" xr3:uid="{00000000-0010-0000-0000-000017000000}" name="18 - Você se sente confortável para pedir esclarecimentos quando não entende suas funções ou prioridades?_x000a_(Responda se você se sente à vontade para perguntar quando não entende algo.)" dataDxfId="106"/>
    <tableColumn id="24" xr3:uid="{00000000-0010-0000-0000-000018000000}" name="19 - Você sente que seu esforço e desempenho são reconhecidos pela liderança?_x000a_(Responda se você se sente valorizado(a) pelo trabalho que realiza.)" dataDxfId="105"/>
    <tableColumn id="25" xr3:uid="{00000000-0010-0000-0000-000019000000}" name="20 - Você recebe feedback construtivo sobre o seu trabalho com regularidade?_x000a_(Responda se você recebe orientações ou retornos sobre seu trabalho.)" dataDxfId="104"/>
    <tableColumn id="26" xr3:uid="{00000000-0010-0000-0000-00001A000000}" name="21 - Com que Frequência Você já se sentiu desmotivado(a) por falta de reconhecimento no trabalho?_x000a_(Responda se a falta de reconhecimento já te deixou desmotivado(a)." dataDxfId="103"/>
    <tableColumn id="27" xr3:uid="{00000000-0010-0000-0000-00001B000000}" name="22 - Você tem liberdade para tomar decisões sobre como executar suas tarefas diárias?_x000a_(Responda se você pode sugerir melhorias ou decidir como fazer suas tarefas.)" dataDxfId="102"/>
    <tableColumn id="28" xr3:uid="{00000000-0010-0000-0000-00001C000000}" name="23 - A empresa confia na sua capacidade de organizar e gerenciar o próprio trabalho?_x000a_(Responda se sente que a empresa confia na forma como você organiza seu trabalho.)" dataDxfId="101"/>
    <tableColumn id="29" xr3:uid="{00000000-0010-0000-0000-00001D000000}" name="24 - Existe excesso de controle ou burocracia que interfere no seu desempenho?_x000a_(Responda se regras ou controles atrapalham seu desempenho.)" dataDxfId="100"/>
    <tableColumn id="30" xr3:uid="{00000000-0010-0000-0000-00001E000000}" name="25 - Existe excesso de supervisão que impacta negativamente na sua produtividade ou bem-estar?" dataDxfId="99"/>
    <tableColumn id="31" xr3:uid="{00000000-0010-0000-0000-00001F000000}" name="26 - Você acha justas e claras as formas que a empresa usa para avaliar o seu trabalho?_x000a_(Responda se as formas de avaliar seu trabalho são claras e justas.)" dataDxfId="98"/>
    <tableColumn id="32" xr3:uid="{00000000-0010-0000-0000-000020000000}" name="27 - Você sente que há igualdade no reconhecimento entre diferentes áreas ou equipes?_x000a_(Responda se você percebe tratamento justo entre equipes ou setores.)" dataDxfId="97"/>
    <tableColumn id="33" xr3:uid="{00000000-0010-0000-0000-000021000000}" name="28 - Você sente que há transparência nas decisões de desligamento na empresa?_x000a_(Responda se a empresa é clara quando ocorrem desligamentos.)" dataDxfId="96"/>
    <tableColumn id="34" xr3:uid="{00000000-0010-0000-0000-000022000000}" name="29 - Você já presenciou casos de demissões que considerasse injustas?_x000a_(Responda se já presenciou demissões que considerou injustas.)" dataDxfId="95"/>
    <tableColumn id="35" xr3:uid="{00000000-0010-0000-0000-000023000000}" name="30 - Você já vivenciou ou presenciou alguma situação de violência grave no trabalho (como agressão física, ameaça séria ou ataque verbal intenso)?" dataDxfId="94"/>
    <tableColumn id="36" xr3:uid="{00000000-0010-0000-0000-000024000000}" name="31 - Você já passou por algum evento grave no trabalho (como acidente sério, situação de risco extremo ou episódio muito impactante)?_x000a_Responda se já passou por situações muito graves ou perigosas no trabalho." dataDxfId="93"/>
    <tableColumn id="37" xr3:uid="{00000000-0010-0000-0000-000025000000}" name="32 - Alguma situação vivida no trabalho já foi tão marcante que deixou medo, choque ou forte abalo emocional?_x000a_(Responda se alguma situação no trabalho já te causou forte abalo emocional.)" dataDxfId="92"/>
    <tableColumn id="38" xr3:uid="{00000000-0010-0000-0000-000026000000}" name="33 - Você sente que, na maior parte do tempo, tem pouco trabalho a realizar durante sua jornada?_x000a_(Responda se costuma ter pouco trabalho durante sua jornada.)" dataDxfId="91"/>
    <tableColumn id="39" xr3:uid="{00000000-0010-0000-0000-000027000000}" name="34 - Você costuma ficar com tempo ocioso no trabalho por falta de tarefas ou demandas claras?_x000a_(Responda se frequentemente fica sem tarefas para realizar.)" dataDxfId="90"/>
    <tableColumn id="40" xr3:uid="{00000000-0010-0000-0000-000028000000}" name="35 - Você sente que suas habilidades ou conhecimentos são pouco utilizados no seu trabalho?_x000a_(Responda se sente que suas habilidades são pouco aproveitadas.)" dataDxfId="89"/>
    <tableColumn id="41" xr3:uid="{00000000-0010-0000-0000-000029000000}" name="36 - Seu trabalho costuma ser pouco desafiador ou repetitivo a ponto de gerar desânimo?_x000a_(Responda se o trabalho é repetitivo ou desmotivador.)" dataDxfId="88"/>
    <tableColumn id="42" xr3:uid="{00000000-0010-0000-0000-00002A000000}" name="37 - Você sente que sua carga de trabalho diária é maior do que consegue realizar dentro do horário normal? _x000a_(Responda se a quantidade de trabalho é maior do que consegue realizar.)" dataDxfId="87"/>
    <tableColumn id="43" xr3:uid="{00000000-0010-0000-0000-00002B000000}" name="38 - Você frequentemente precisa fazer horas extras ou levar trabalho para casa?_x000a_(Responda se costuma trabalhar além do horário normal.)" dataDxfId="86"/>
    <tableColumn id="44" xr3:uid="{00000000-0010-0000-0000-00002C000000}" name="39 - Você já teve sintomas físicos ou emocionais (como exaustão, ansiedade ou insônia) devido ao excesso de trabalho?_x000a_(Responda se o excesso de trabalho já afetou sua saúde)" dataDxfId="85"/>
    <tableColumn id="45" xr3:uid="{00000000-0010-0000-0000-00002D000000}" name="40 - A equipe é dimensionada/dividida corretamente para a demanda/quantidade de trabalho existente?_x000a_(Responda se a quantidade de pessoas é suficiente para a demanda.)" dataDxfId="84"/>
    <tableColumn id="46" xr3:uid="{00000000-0010-0000-0000-00002E000000}" name="41 - Você já evitou colegas ou superiores por causa de desentendimentos frequentes?_x000a_(Responda se já evitou colegas ou superiores por conflitos.)" dataDxfId="83"/>
    <tableColumn id="47" xr3:uid="{00000000-0010-0000-0000-00002F000000}" name="42 - Você percebe rivalidade excessiva ou desnecessária entre colegas ou setores?_x000a_(Responda se percebe disputas desnecessárias no trabalho.)" dataDxfId="82"/>
    <tableColumn id="48" xr3:uid="{00000000-0010-0000-0000-000030000000}" name="43 - Conflitos no trabalho costumam ser resolvidos de forma justa?_x000a_(Responda se os conflitos costumam ser resolvidos de forma justa.)" dataDxfId="81"/>
    <tableColumn id="49" xr3:uid="{00000000-0010-0000-0000-000031000000}" name="44 - Você trabalha em condições (como turnos diferentes, trabalho externo ou distância física) que dificultam a comunicação no trabalho?_x000a_(Responda se seu trabalho dificulta a comunicação com colegas ou líderes.)" dataDxfId="80"/>
    <tableColumn id="50" xr3:uid="{00000000-0010-0000-0000-000032000000}" name="45 - A distância física entre você e sua equipe ou liderança dificulta a troca de informações? _x000a_(Responda se a distância atrapalha a troca de informações.)" dataDxfId="79"/>
    <tableColumn id="51" xr3:uid="{00000000-0010-0000-0000-000033000000}" name="46 - Você já teve dificuldade para receber informações importantes no momento certo por causa da organização do trabalho?_x000a_(Responda se já recebeu informações importantes com atraso.)" dataDxfId="78"/>
    <tableColumn id="52" xr3:uid="{00000000-0010-0000-0000-000034000000}" name="47 - Você tem acesso fácil aos meios necessários para se comunicar com colegas e liderança durante o trabalho?_x000a_(Responda se você tem meios adequados para se comunicar no trabalho.)" dataDxfId="77"/>
    <tableColumn id="53" xr3:uid="{00000000-0010-0000-0000-000035000000}" name="48 - Você trabalha grande parte do tempo de forma remota ou sozinho(a), com pouco contato presencial com colegas ou liderança?_x000a_(Responda se você trabalha a maior parte do tempo sozinho(a) ou à distância.)" dataDxfId="76"/>
    <tableColumn id="54" xr3:uid="{00000000-0010-0000-0000-000036000000}" name="49 - Você sente que o trabalho remoto ou isolado faz com que se sinta distante da equipe ou da empresa?_x000a_(Responda se isso faz você se sentir distante da equipe ou da empresa.)" dataDxfId="75"/>
    <tableColumn id="55" xr3:uid="{00000000-0010-0000-0000-000037000000}" name="50 - Mesmo trabalhando de forma remota ou isolada, você sente que recebe apoio e acompanhamento adequados da empresa?(Responda se, mesmo à distância, você recebe apoio da empresa.)" dataDxfId="74"/>
    <tableColumn id="56" xr3:uid="{00000000-0010-0000-0000-000038000000}" name="Coluna1" dataDxfId="73"/>
    <tableColumn id="57" xr3:uid="{00000000-0010-0000-0000-000039000000}" name="Coluna2" dataDxfId="72"/>
    <tableColumn id="58" xr3:uid="{00000000-0010-0000-0000-00003A000000}" name="Coluna3" dataDxfId="71"/>
    <tableColumn id="59" xr3:uid="{00000000-0010-0000-0000-00003B000000}" name="Coluna4" dataDxfId="70"/>
    <tableColumn id="60" xr3:uid="{00000000-0010-0000-0000-00003C000000}" name="Coluna5" dataDxfId="69"/>
    <tableColumn id="61" xr3:uid="{00000000-0010-0000-0000-00003D000000}" name="Coluna6" dataDxfId="68"/>
    <tableColumn id="62" xr3:uid="{00000000-0010-0000-0000-00003E000000}" name="Coluna7" dataDxfId="67"/>
    <tableColumn id="63" xr3:uid="{00000000-0010-0000-0000-00003F000000}" name="Coluna8" dataDxfId="66"/>
    <tableColumn id="64" xr3:uid="{00000000-0010-0000-0000-000040000000}" name="Coluna9" dataDxfId="65"/>
    <tableColumn id="65" xr3:uid="{00000000-0010-0000-0000-000041000000}" name="Coluna10" dataDxfId="64"/>
    <tableColumn id="66" xr3:uid="{00000000-0010-0000-0000-000042000000}" name="Coluna11" dataDxfId="63"/>
    <tableColumn id="67" xr3:uid="{00000000-0010-0000-0000-000043000000}" name="Coluna12" dataDxfId="62"/>
    <tableColumn id="68" xr3:uid="{00000000-0010-0000-0000-000044000000}" name="Coluna13" dataDxfId="61"/>
    <tableColumn id="69" xr3:uid="{00000000-0010-0000-0000-000045000000}" name="Coluna14" dataDxfId="60"/>
    <tableColumn id="70" xr3:uid="{00000000-0010-0000-0000-000046000000}" name="Coluna15" dataDxfId="59"/>
    <tableColumn id="71" xr3:uid="{00000000-0010-0000-0000-000047000000}" name="Coluna16" dataDxfId="58"/>
    <tableColumn id="72" xr3:uid="{00000000-0010-0000-0000-000048000000}" name="Coluna17" dataDxfId="57"/>
    <tableColumn id="73" xr3:uid="{00000000-0010-0000-0000-000049000000}" name="Coluna18" dataDxfId="56"/>
    <tableColumn id="74" xr3:uid="{00000000-0010-0000-0000-00004A000000}" name="Coluna19" dataDxfId="55"/>
    <tableColumn id="75" xr3:uid="{00000000-0010-0000-0000-00004B000000}" name="Coluna20" dataDxfId="54"/>
    <tableColumn id="76" xr3:uid="{00000000-0010-0000-0000-00004C000000}" name="Coluna21" dataDxfId="53"/>
    <tableColumn id="77" xr3:uid="{00000000-0010-0000-0000-00004D000000}" name="Coluna22" dataDxfId="52"/>
    <tableColumn id="78" xr3:uid="{00000000-0010-0000-0000-00004E000000}" name="Coluna23" dataDxfId="51"/>
    <tableColumn id="79" xr3:uid="{00000000-0010-0000-0000-00004F000000}" name="Coluna24" dataDxfId="50"/>
    <tableColumn id="80" xr3:uid="{00000000-0010-0000-0000-000050000000}" name="Coluna25" dataDxfId="49"/>
    <tableColumn id="81" xr3:uid="{00000000-0010-0000-0000-000051000000}" name="Coluna26" dataDxfId="48"/>
    <tableColumn id="82" xr3:uid="{00000000-0010-0000-0000-000052000000}" name="Coluna27" dataDxfId="47"/>
    <tableColumn id="83" xr3:uid="{00000000-0010-0000-0000-000053000000}" name="Coluna28" dataDxfId="46"/>
    <tableColumn id="84" xr3:uid="{00000000-0010-0000-0000-000054000000}" name="Coluna29" dataDxfId="45"/>
    <tableColumn id="85" xr3:uid="{00000000-0010-0000-0000-000055000000}" name="Coluna30" dataDxfId="44"/>
    <tableColumn id="86" xr3:uid="{00000000-0010-0000-0000-000056000000}" name="Coluna31" dataDxfId="43"/>
    <tableColumn id="87" xr3:uid="{00000000-0010-0000-0000-000057000000}" name="Coluna32" dataDxfId="42"/>
    <tableColumn id="88" xr3:uid="{00000000-0010-0000-0000-000058000000}" name="Coluna33" dataDxfId="41"/>
    <tableColumn id="89" xr3:uid="{00000000-0010-0000-0000-000059000000}" name="Coluna34" dataDxfId="40"/>
    <tableColumn id="90" xr3:uid="{00000000-0010-0000-0000-00005A000000}" name="Coluna35" dataDxfId="39"/>
    <tableColumn id="91" xr3:uid="{00000000-0010-0000-0000-00005B000000}" name="Coluna36" dataDxfId="38"/>
    <tableColumn id="92" xr3:uid="{00000000-0010-0000-0000-00005C000000}" name="Coluna37" dataDxfId="37"/>
    <tableColumn id="93" xr3:uid="{00000000-0010-0000-0000-00005D000000}" name="Coluna38" dataDxfId="36"/>
    <tableColumn id="94" xr3:uid="{00000000-0010-0000-0000-00005E000000}" name="Coluna39" dataDxfId="35"/>
    <tableColumn id="95" xr3:uid="{00000000-0010-0000-0000-00005F000000}" name="Coluna40" dataDxfId="34"/>
  </tableColumns>
  <tableStyleInfo name="Escala-style"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_1" displayName="Tabela_1" ref="A7:H97" headerRowDxfId="33" dataDxfId="32" totalsRowDxfId="31">
  <tableColumns count="8">
    <tableColumn id="1" xr3:uid="{00000000-0010-0000-0100-000001000000}" name="Tópico" dataDxfId="30"/>
    <tableColumn id="2" xr3:uid="{00000000-0010-0000-0100-000002000000}" name="Nº" dataDxfId="29"/>
    <tableColumn id="3" xr3:uid="{00000000-0010-0000-0100-000003000000}" name="Pergunta" dataDxfId="28"/>
    <tableColumn id="4" xr3:uid="{00000000-0010-0000-0100-000004000000}" name="Lógica" dataDxfId="27"/>
    <tableColumn id="5" xr3:uid="{00000000-0010-0000-0100-000005000000}" name="MÉDIA" dataDxfId="26">
      <calculatedColumnFormula>IFERROR(ROUNDUP('Dados do Forms'!D1,0),"")</calculatedColumnFormula>
    </tableColumn>
    <tableColumn id="6" xr3:uid="{00000000-0010-0000-0100-000006000000}" name="Pontuação Corrigida" dataDxfId="25"/>
    <tableColumn id="7" xr3:uid="{00000000-0010-0000-0100-000007000000}" name="Gravidade" dataDxfId="24"/>
    <tableColumn id="9" xr3:uid="{00000000-0010-0000-0100-000009000000}" name="GravidadeNum" dataDxfId="23"/>
  </tableColumns>
  <tableStyleInfo name="Escala-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a_3" displayName="Tabela_3" ref="A7:E20">
  <tableColumns count="5">
    <tableColumn id="1" xr3:uid="{00000000-0010-0000-0200-000001000000}" name="Tópico" dataDxfId="22"/>
    <tableColumn id="2" xr3:uid="{00000000-0010-0000-0200-000002000000}" name="Média Gravidade" dataDxfId="21">
      <calculatedColumnFormula>AVERAGEIF(Escala!A:A, A8, Escala!H:H)</calculatedColumnFormula>
    </tableColumn>
    <tableColumn id="3" xr3:uid="{00000000-0010-0000-0200-000003000000}" name="Média Probabilidade" dataDxfId="20"/>
    <tableColumn id="4" xr3:uid="{00000000-0010-0000-0200-000004000000}" name="Classificação Gravidade" dataDxfId="19">
      <calculatedColumnFormula>IF(B8="", "", IFERROR(IF(B8&lt;=1.66, "Baixa", IF(B8&lt;=2.32, "Média", "Alta")), ""))</calculatedColumnFormula>
    </tableColumn>
    <tableColumn id="5" xr3:uid="{00000000-0010-0000-0200-000005000000}" name="Classificação Probabilidade" dataDxfId="18">
      <calculatedColumnFormula>IF(C8="","",IFERROR(IF(C8&lt;=1.5,"Baixa",IF(C8&lt;=2.4,"Média","Alta")),""))</calculatedColumnFormula>
    </tableColumn>
  </tableColumns>
  <tableStyleInfo name="Escala-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5DE4B37-88BC-448F-A4A9-3B0C9C44A6F7}" name="Tabela6" displayName="Tabela6" ref="C13:G26" totalsRowShown="0" headerRowDxfId="17" tableBorderDxfId="16">
  <autoFilter ref="C13:G26" xr:uid="{55DE4B37-88BC-448F-A4A9-3B0C9C44A6F7}">
    <filterColumn colId="0" hiddenButton="1"/>
    <filterColumn colId="1" hiddenButton="1"/>
    <filterColumn colId="2" hiddenButton="1"/>
    <filterColumn colId="3" hiddenButton="1"/>
    <filterColumn colId="4" hiddenButton="1"/>
  </autoFilter>
  <tableColumns count="5">
    <tableColumn id="1" xr3:uid="{40B43C1B-862B-4CD0-AF9D-372A25AE70DF}" name="Fatores de Risco" dataDxfId="15"/>
    <tableColumn id="2" xr3:uid="{C4D937BA-57E3-4B99-B8E3-9520E93B900B}" name="Fontes Geradoras do Risco" dataDxfId="14"/>
    <tableColumn id="3" xr3:uid="{FF693DCD-FB49-40BA-A3DD-098AF347B20F}" name="Gravidade  (Severidade) " dataDxfId="13"/>
    <tableColumn id="5" xr3:uid="{E5337810-4B10-450B-8FC0-BEB5B5F152B7}" name="Probabilidade de Ocorrência " dataDxfId="12">
      <calculatedColumnFormula>'Resumo por Tópico'!E8</calculatedColumnFormula>
    </tableColumn>
    <tableColumn id="6" xr3:uid="{5249685E-72B7-4672-ACF5-347DFE7AA3CF}" name="Matriz Risco " dataDxfId="11">
      <calculatedColumnFormula>IFERROR(INDEX($K$8:$M$10, MATCH(E14, $J$8:$J$10, 0), MATCH(F14, $K$7:$M$7, 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2E104C-518F-4797-BAF4-256B14965EA1}" name="Tabela4" displayName="Tabela4" ref="D1:F14" totalsRowShown="0" headerRowDxfId="10" headerRowBorderDxfId="9" tableBorderDxfId="8">
  <autoFilter ref="D1:F14" xr:uid="{382E104C-518F-4797-BAF4-256B14965EA1}"/>
  <tableColumns count="3">
    <tableColumn id="1" xr3:uid="{8DAD6BE6-E0A6-4AF8-8D90-AA78C8BBAFBD}" name="Tópico" dataDxfId="7"/>
    <tableColumn id="2" xr3:uid="{2ED1A12B-C0E1-404C-BF1A-DEDD2061B1BE}" name="Média Gravidade">
      <calculatedColumnFormula>'Resumo por Tópico'!B8</calculatedColumnFormula>
    </tableColumn>
    <tableColumn id="3" xr3:uid="{F4D6A9DF-034C-46CB-922A-EFDAE4FC5155}" name="Classificação Gravidade">
      <calculatedColumnFormula>IF(E2="", "", IFERROR(IF(E2&lt;=1.5, "Baixa", IF(E2&lt;=2.4, "Média", "Alta")), ""))</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7" dT="2025-04-09T13:34:12.30" personId="{7F16B893-EAD3-F241-9207-EA9E69A2273D}" id="{5A76AA89-24B4-AC4E-A5CB-69CEE8A06D41}">
    <text xml:space="preserve">A classificação da Probabilidade deve ser feita por cada setor. Ou seja sempre que um setor for filtrado, é preciso inserir a probabilidade dele aqui para que os resultados não fiquem iguais. </text>
  </threadedComment>
</ThreadedComment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microsoft.com/office/2007/relationships/slicer" Target="../slicers/slicer3.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24538-5493-404B-8853-87C49F30E747}">
  <sheetPr>
    <tabColor rgb="FF356854"/>
  </sheetPr>
  <dimension ref="A1:Y27"/>
  <sheetViews>
    <sheetView showGridLines="0" zoomScale="84" zoomScaleNormal="84" workbookViewId="0">
      <selection activeCell="V16" sqref="V16"/>
    </sheetView>
  </sheetViews>
  <sheetFormatPr baseColWidth="10" defaultColWidth="8.83203125" defaultRowHeight="15" x14ac:dyDescent="0.2"/>
  <cols>
    <col min="1" max="1" width="2.5" style="71" customWidth="1"/>
    <col min="2" max="14" width="8.83203125" style="71"/>
    <col min="15" max="15" width="9.5" style="71" customWidth="1"/>
    <col min="16" max="16" width="1" style="71" customWidth="1"/>
    <col min="17" max="17" width="80.6640625" style="71" customWidth="1"/>
    <col min="18" max="18" width="2.83203125" style="71" customWidth="1"/>
    <col min="19" max="16384" width="8.83203125" style="71"/>
  </cols>
  <sheetData>
    <row r="1" spans="1:25" x14ac:dyDescent="0.2">
      <c r="A1" s="110"/>
      <c r="B1" s="110"/>
      <c r="C1" s="110"/>
      <c r="D1" s="110"/>
      <c r="E1" s="110"/>
      <c r="F1" s="110"/>
      <c r="G1" s="110"/>
      <c r="H1" s="110"/>
      <c r="I1" s="110"/>
      <c r="J1" s="110"/>
      <c r="K1" s="110"/>
      <c r="L1" s="110"/>
      <c r="M1" s="110"/>
      <c r="N1" s="110"/>
      <c r="O1" s="110"/>
      <c r="P1" s="110"/>
      <c r="Q1" s="110"/>
      <c r="R1" s="110"/>
    </row>
    <row r="2" spans="1:25" ht="154" customHeight="1" x14ac:dyDescent="0.2">
      <c r="A2" s="110"/>
      <c r="B2" s="96"/>
      <c r="C2" s="96"/>
      <c r="D2" s="96"/>
      <c r="Q2" s="96"/>
      <c r="R2" s="110"/>
    </row>
    <row r="3" spans="1:25" ht="142" customHeight="1" x14ac:dyDescent="0.2">
      <c r="A3" s="110"/>
      <c r="B3" s="96"/>
      <c r="C3" s="96"/>
      <c r="D3" s="96"/>
      <c r="E3" s="96"/>
      <c r="F3" s="96"/>
      <c r="G3" s="96"/>
      <c r="H3" s="96"/>
      <c r="I3" s="96"/>
      <c r="J3" s="96"/>
      <c r="K3" s="96"/>
      <c r="L3" s="96"/>
      <c r="M3" s="96"/>
      <c r="N3" s="96"/>
      <c r="O3" s="96"/>
      <c r="P3" s="96"/>
      <c r="Q3" s="97"/>
      <c r="R3" s="110"/>
    </row>
    <row r="4" spans="1:25" ht="19" x14ac:dyDescent="0.25">
      <c r="A4" s="110"/>
      <c r="B4" s="96"/>
      <c r="C4" s="96"/>
      <c r="D4" s="96"/>
      <c r="E4" s="96"/>
      <c r="F4" s="96"/>
      <c r="G4" s="96"/>
      <c r="H4" s="96"/>
      <c r="I4" s="96"/>
      <c r="J4" s="96"/>
      <c r="K4" s="96"/>
      <c r="L4" s="96"/>
      <c r="M4" s="96"/>
      <c r="N4" s="96"/>
      <c r="O4" s="96"/>
      <c r="P4" s="96"/>
      <c r="Q4" s="98"/>
      <c r="R4" s="118"/>
      <c r="S4" s="52"/>
      <c r="T4" s="52"/>
      <c r="U4" s="52"/>
      <c r="V4" s="52"/>
      <c r="W4" s="52"/>
      <c r="X4" s="52"/>
      <c r="Y4" s="52"/>
    </row>
    <row r="5" spans="1:25" x14ac:dyDescent="0.2">
      <c r="A5" s="110"/>
      <c r="B5" s="96"/>
      <c r="C5" s="96"/>
      <c r="D5" s="96"/>
      <c r="E5" s="96"/>
      <c r="F5" s="96"/>
      <c r="G5" s="96"/>
      <c r="H5" s="96"/>
      <c r="I5" s="96"/>
      <c r="J5" s="96"/>
      <c r="K5" s="96"/>
      <c r="L5" s="96"/>
      <c r="M5" s="96"/>
      <c r="N5" s="96"/>
      <c r="O5" s="96"/>
      <c r="P5" s="96"/>
      <c r="Q5" s="96"/>
      <c r="R5" s="110"/>
    </row>
    <row r="6" spans="1:25" x14ac:dyDescent="0.2">
      <c r="A6" s="110"/>
      <c r="B6" s="96"/>
      <c r="C6" s="96"/>
      <c r="D6" s="96"/>
      <c r="E6" s="96"/>
      <c r="F6" s="96"/>
      <c r="G6" s="96"/>
      <c r="H6" s="96"/>
      <c r="I6" s="96"/>
      <c r="J6" s="96"/>
      <c r="K6" s="96"/>
      <c r="L6" s="96"/>
      <c r="M6" s="96"/>
      <c r="N6" s="96"/>
      <c r="O6" s="96"/>
      <c r="P6" s="96"/>
      <c r="Q6" s="96"/>
      <c r="R6" s="110"/>
    </row>
    <row r="7" spans="1:25" x14ac:dyDescent="0.2">
      <c r="A7" s="110"/>
      <c r="B7" s="96"/>
      <c r="C7" s="96"/>
      <c r="D7" s="96"/>
      <c r="E7" s="96"/>
      <c r="F7" s="96"/>
      <c r="G7" s="96"/>
      <c r="H7" s="96"/>
      <c r="I7" s="96"/>
      <c r="J7" s="96"/>
      <c r="K7" s="96"/>
      <c r="L7" s="96"/>
      <c r="M7" s="96"/>
      <c r="N7" s="96"/>
      <c r="O7" s="96"/>
      <c r="P7" s="96"/>
      <c r="Q7" s="96"/>
      <c r="R7" s="110"/>
    </row>
    <row r="8" spans="1:25" x14ac:dyDescent="0.2">
      <c r="A8" s="110"/>
      <c r="B8" s="96"/>
      <c r="C8" s="96"/>
      <c r="D8" s="96"/>
      <c r="E8" s="96"/>
      <c r="F8" s="96"/>
      <c r="G8" s="96"/>
      <c r="H8" s="96"/>
      <c r="I8" s="96"/>
      <c r="J8" s="96"/>
      <c r="K8" s="96"/>
      <c r="L8" s="96"/>
      <c r="M8" s="96"/>
      <c r="N8" s="96"/>
      <c r="O8" s="96"/>
      <c r="P8" s="96"/>
      <c r="Q8" s="96"/>
      <c r="R8" s="110"/>
    </row>
    <row r="9" spans="1:25" x14ac:dyDescent="0.2">
      <c r="A9" s="110"/>
      <c r="B9" s="96"/>
      <c r="C9" s="96"/>
      <c r="D9" s="96"/>
      <c r="E9" s="96"/>
      <c r="F9" s="96"/>
      <c r="G9" s="96"/>
      <c r="H9" s="96"/>
      <c r="I9" s="96"/>
      <c r="J9" s="96"/>
      <c r="K9" s="96"/>
      <c r="L9" s="96"/>
      <c r="M9" s="96"/>
      <c r="N9" s="96"/>
      <c r="O9" s="96"/>
      <c r="P9" s="96"/>
      <c r="Q9" s="96"/>
      <c r="R9" s="110"/>
    </row>
    <row r="10" spans="1:25" x14ac:dyDescent="0.2">
      <c r="A10" s="110"/>
      <c r="B10" s="96"/>
      <c r="C10" s="96"/>
      <c r="D10" s="96"/>
      <c r="E10" s="96"/>
      <c r="F10" s="96"/>
      <c r="G10" s="96"/>
      <c r="H10" s="96"/>
      <c r="I10" s="96"/>
      <c r="J10" s="96"/>
      <c r="K10" s="96"/>
      <c r="L10" s="96"/>
      <c r="M10" s="96"/>
      <c r="N10" s="96"/>
      <c r="O10" s="96"/>
      <c r="P10" s="96"/>
      <c r="Q10" s="96"/>
      <c r="R10" s="110"/>
    </row>
    <row r="11" spans="1:25" x14ac:dyDescent="0.2">
      <c r="A11" s="110"/>
      <c r="B11" s="96"/>
      <c r="C11" s="96"/>
      <c r="D11" s="96"/>
      <c r="E11" s="96"/>
      <c r="F11" s="96"/>
      <c r="G11" s="96"/>
      <c r="H11" s="96"/>
      <c r="I11" s="96"/>
      <c r="J11" s="96"/>
      <c r="K11" s="96"/>
      <c r="L11" s="96"/>
      <c r="M11" s="96"/>
      <c r="N11" s="96"/>
      <c r="O11" s="96"/>
      <c r="P11" s="96"/>
      <c r="Q11" s="96"/>
      <c r="R11" s="110"/>
    </row>
    <row r="12" spans="1:25" x14ac:dyDescent="0.2">
      <c r="A12" s="110"/>
      <c r="B12" s="96"/>
      <c r="C12" s="96"/>
      <c r="D12" s="96"/>
      <c r="E12" s="96"/>
      <c r="F12" s="96"/>
      <c r="G12" s="96"/>
      <c r="H12" s="96"/>
      <c r="I12" s="96"/>
      <c r="J12" s="96"/>
      <c r="K12" s="96"/>
      <c r="L12" s="96"/>
      <c r="M12" s="96"/>
      <c r="N12" s="96"/>
      <c r="O12" s="96"/>
      <c r="P12" s="96"/>
      <c r="Q12" s="96"/>
      <c r="R12" s="110"/>
    </row>
    <row r="13" spans="1:25" x14ac:dyDescent="0.2">
      <c r="A13" s="110"/>
      <c r="B13" s="96"/>
      <c r="C13" s="96"/>
      <c r="D13" s="96"/>
      <c r="E13" s="96"/>
      <c r="F13" s="96"/>
      <c r="G13" s="96"/>
      <c r="H13" s="96"/>
      <c r="I13" s="96"/>
      <c r="J13" s="96"/>
      <c r="K13" s="96"/>
      <c r="L13" s="96"/>
      <c r="M13" s="96"/>
      <c r="N13" s="96"/>
      <c r="O13" s="96"/>
      <c r="P13" s="96"/>
      <c r="Q13" s="96"/>
      <c r="R13" s="110"/>
    </row>
    <row r="14" spans="1:25" x14ac:dyDescent="0.2">
      <c r="A14" s="110"/>
      <c r="B14" s="96"/>
      <c r="C14" s="96"/>
      <c r="D14" s="96"/>
      <c r="E14" s="96"/>
      <c r="F14" s="96"/>
      <c r="G14" s="96"/>
      <c r="H14" s="96"/>
      <c r="I14" s="96"/>
      <c r="J14" s="96"/>
      <c r="K14" s="96"/>
      <c r="L14" s="96"/>
      <c r="M14" s="96"/>
      <c r="N14" s="96"/>
      <c r="O14" s="96"/>
      <c r="P14" s="96"/>
      <c r="Q14" s="96"/>
      <c r="R14" s="110"/>
    </row>
    <row r="15" spans="1:25" x14ac:dyDescent="0.2">
      <c r="A15" s="110"/>
      <c r="B15" s="96"/>
      <c r="C15" s="96"/>
      <c r="D15" s="96"/>
      <c r="E15" s="96"/>
      <c r="F15" s="96"/>
      <c r="G15" s="96"/>
      <c r="H15" s="96"/>
      <c r="I15" s="96"/>
      <c r="J15" s="96"/>
      <c r="K15" s="96"/>
      <c r="L15" s="96"/>
      <c r="M15" s="96"/>
      <c r="N15" s="96"/>
      <c r="O15" s="96"/>
      <c r="P15" s="96"/>
      <c r="Q15" s="96"/>
      <c r="R15" s="110"/>
    </row>
    <row r="16" spans="1:25" x14ac:dyDescent="0.2">
      <c r="A16" s="110"/>
      <c r="B16" s="96"/>
      <c r="C16" s="96"/>
      <c r="D16" s="96"/>
      <c r="E16" s="96"/>
      <c r="F16" s="96"/>
      <c r="G16" s="96"/>
      <c r="H16" s="96"/>
      <c r="I16" s="96"/>
      <c r="J16" s="96"/>
      <c r="K16" s="96"/>
      <c r="L16" s="96"/>
      <c r="M16" s="96"/>
      <c r="N16" s="96"/>
      <c r="O16" s="96"/>
      <c r="P16" s="96"/>
      <c r="Q16" s="96"/>
      <c r="R16" s="110"/>
    </row>
    <row r="17" spans="1:18" x14ac:dyDescent="0.2">
      <c r="A17" s="110"/>
      <c r="B17" s="96"/>
      <c r="C17" s="96"/>
      <c r="D17" s="96"/>
      <c r="E17" s="96"/>
      <c r="F17" s="96"/>
      <c r="G17" s="96"/>
      <c r="H17" s="96"/>
      <c r="I17" s="96"/>
      <c r="J17" s="96"/>
      <c r="K17" s="96"/>
      <c r="L17" s="96"/>
      <c r="M17" s="96"/>
      <c r="N17" s="96"/>
      <c r="O17" s="96"/>
      <c r="P17" s="96"/>
      <c r="Q17" s="96"/>
      <c r="R17" s="110"/>
    </row>
    <row r="18" spans="1:18" x14ac:dyDescent="0.2">
      <c r="A18" s="110"/>
      <c r="B18" s="96"/>
      <c r="C18" s="96"/>
      <c r="D18" s="96"/>
      <c r="E18" s="96"/>
      <c r="F18" s="96"/>
      <c r="G18" s="96"/>
      <c r="H18" s="96"/>
      <c r="I18" s="96"/>
      <c r="J18" s="96"/>
      <c r="K18" s="96"/>
      <c r="L18" s="96"/>
      <c r="M18" s="96"/>
      <c r="N18" s="96"/>
      <c r="O18" s="96"/>
      <c r="P18" s="96"/>
      <c r="Q18" s="96"/>
      <c r="R18" s="110"/>
    </row>
    <row r="19" spans="1:18" x14ac:dyDescent="0.2">
      <c r="A19" s="110"/>
      <c r="B19" s="96"/>
      <c r="C19" s="96"/>
      <c r="D19" s="96"/>
      <c r="E19" s="96"/>
      <c r="F19" s="96"/>
      <c r="G19" s="96"/>
      <c r="H19" s="96"/>
      <c r="I19" s="96"/>
      <c r="J19" s="96"/>
      <c r="K19" s="96"/>
      <c r="L19" s="96"/>
      <c r="M19" s="96"/>
      <c r="N19" s="96"/>
      <c r="O19" s="96"/>
      <c r="P19" s="96"/>
      <c r="Q19" s="96"/>
      <c r="R19" s="110"/>
    </row>
    <row r="20" spans="1:18" x14ac:dyDescent="0.2">
      <c r="A20" s="110"/>
      <c r="B20" s="96"/>
      <c r="C20" s="96"/>
      <c r="D20" s="96"/>
      <c r="E20" s="96"/>
      <c r="F20" s="96"/>
      <c r="G20" s="96"/>
      <c r="H20" s="96"/>
      <c r="I20" s="96"/>
      <c r="J20" s="96"/>
      <c r="K20" s="96"/>
      <c r="L20" s="96"/>
      <c r="M20" s="96"/>
      <c r="N20" s="96"/>
      <c r="O20" s="96"/>
      <c r="P20" s="96"/>
      <c r="Q20" s="96"/>
      <c r="R20" s="110"/>
    </row>
    <row r="21" spans="1:18" x14ac:dyDescent="0.2">
      <c r="A21" s="110"/>
      <c r="B21" s="96"/>
      <c r="C21" s="96"/>
      <c r="D21" s="96"/>
      <c r="E21" s="96"/>
      <c r="F21" s="96"/>
      <c r="G21" s="96"/>
      <c r="H21" s="96"/>
      <c r="I21" s="96"/>
      <c r="J21" s="96"/>
      <c r="K21" s="96"/>
      <c r="L21" s="96"/>
      <c r="M21" s="96"/>
      <c r="N21" s="96"/>
      <c r="O21" s="96"/>
      <c r="P21" s="96"/>
      <c r="Q21" s="96"/>
      <c r="R21" s="110"/>
    </row>
    <row r="22" spans="1:18" x14ac:dyDescent="0.2">
      <c r="A22" s="110"/>
      <c r="B22" s="96"/>
      <c r="C22" s="96"/>
      <c r="D22" s="96"/>
      <c r="E22" s="96"/>
      <c r="F22" s="96"/>
      <c r="G22" s="96"/>
      <c r="H22" s="96"/>
      <c r="I22" s="96"/>
      <c r="J22" s="96"/>
      <c r="K22" s="96"/>
      <c r="L22" s="96"/>
      <c r="M22" s="96"/>
      <c r="N22" s="96"/>
      <c r="O22" s="96"/>
      <c r="P22" s="96"/>
      <c r="Q22" s="96"/>
      <c r="R22" s="110"/>
    </row>
    <row r="23" spans="1:18" x14ac:dyDescent="0.2">
      <c r="A23" s="110"/>
      <c r="B23" s="96"/>
      <c r="C23" s="96"/>
      <c r="D23" s="96"/>
      <c r="E23" s="96"/>
      <c r="F23" s="96"/>
      <c r="G23" s="96"/>
      <c r="H23" s="96"/>
      <c r="I23" s="96"/>
      <c r="J23" s="96"/>
      <c r="K23" s="96"/>
      <c r="L23" s="96"/>
      <c r="M23" s="96"/>
      <c r="N23" s="96"/>
      <c r="O23" s="96"/>
      <c r="P23" s="96"/>
      <c r="Q23" s="96"/>
      <c r="R23" s="110"/>
    </row>
    <row r="24" spans="1:18" x14ac:dyDescent="0.2">
      <c r="A24" s="110"/>
      <c r="B24" s="96"/>
      <c r="C24" s="96"/>
      <c r="D24" s="96"/>
      <c r="E24" s="96"/>
      <c r="F24" s="96"/>
      <c r="G24" s="96"/>
      <c r="H24" s="96"/>
      <c r="I24" s="96"/>
      <c r="J24" s="96"/>
      <c r="K24" s="96"/>
      <c r="L24" s="96"/>
      <c r="M24" s="96"/>
      <c r="N24" s="96"/>
      <c r="O24" s="96"/>
      <c r="P24" s="96"/>
      <c r="Q24" s="96"/>
      <c r="R24" s="110"/>
    </row>
    <row r="25" spans="1:18" x14ac:dyDescent="0.2">
      <c r="A25" s="110"/>
      <c r="B25" s="96"/>
      <c r="C25" s="96"/>
      <c r="D25" s="96"/>
      <c r="E25" s="96"/>
      <c r="F25" s="96"/>
      <c r="G25" s="96"/>
      <c r="H25" s="96"/>
      <c r="I25" s="96"/>
      <c r="J25" s="96"/>
      <c r="K25" s="96"/>
      <c r="L25" s="96"/>
      <c r="M25" s="96"/>
      <c r="N25" s="96"/>
      <c r="O25" s="96"/>
      <c r="P25" s="96"/>
      <c r="Q25" s="96"/>
      <c r="R25" s="110"/>
    </row>
    <row r="26" spans="1:18" ht="16" x14ac:dyDescent="0.2">
      <c r="A26" s="110"/>
      <c r="B26" s="96"/>
      <c r="C26" s="96"/>
      <c r="D26" s="96"/>
      <c r="E26" s="96"/>
      <c r="F26" s="96"/>
      <c r="G26" s="96"/>
      <c r="H26" s="96"/>
      <c r="I26" s="96"/>
      <c r="J26" s="96"/>
      <c r="K26" s="96"/>
      <c r="L26" s="96"/>
      <c r="M26" s="96"/>
      <c r="N26" s="96"/>
      <c r="O26" s="96"/>
      <c r="P26" s="99"/>
      <c r="Q26" s="96"/>
      <c r="R26" s="110"/>
    </row>
    <row r="27" spans="1:18" x14ac:dyDescent="0.2">
      <c r="A27" s="110"/>
      <c r="B27" s="110"/>
      <c r="C27" s="110"/>
      <c r="D27" s="110"/>
      <c r="E27" s="110"/>
      <c r="F27" s="110"/>
      <c r="G27" s="110"/>
      <c r="H27" s="110"/>
      <c r="I27" s="110"/>
      <c r="J27" s="110"/>
      <c r="K27" s="110"/>
      <c r="L27" s="110"/>
      <c r="M27" s="110"/>
      <c r="N27" s="110"/>
      <c r="O27" s="110"/>
      <c r="P27" s="110"/>
      <c r="Q27" s="110"/>
      <c r="R27" s="110"/>
    </row>
  </sheetData>
  <pageMargins left="0.511811024" right="0.511811024" top="0.78740157499999996" bottom="0.78740157499999996" header="0.31496062000000002" footer="0.31496062000000002"/>
  <pageSetup paperSize="9" orientation="portrait" horizontalDpi="0" verticalDpi="0"/>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sheetPr>
  <dimension ref="A1:B1006"/>
  <sheetViews>
    <sheetView showGridLines="0" workbookViewId="0">
      <pane ySplit="1" topLeftCell="A2" activePane="bottomLeft" state="frozen"/>
      <selection pane="bottomLeft" activeCell="A3" sqref="A3"/>
    </sheetView>
  </sheetViews>
  <sheetFormatPr baseColWidth="10" defaultColWidth="14.5" defaultRowHeight="15" customHeight="1" x14ac:dyDescent="0.2"/>
  <cols>
    <col min="1" max="1" width="47.33203125" customWidth="1"/>
    <col min="2" max="2" width="154" customWidth="1"/>
    <col min="3" max="26" width="8.5" customWidth="1"/>
  </cols>
  <sheetData>
    <row r="1" spans="1:2" ht="44" customHeight="1" x14ac:dyDescent="0.2">
      <c r="A1" s="100" t="s">
        <v>32</v>
      </c>
      <c r="B1" s="100" t="s">
        <v>33</v>
      </c>
    </row>
    <row r="2" spans="1:2" ht="16" x14ac:dyDescent="0.2">
      <c r="A2" s="86" t="s">
        <v>117</v>
      </c>
      <c r="B2" s="78" t="s">
        <v>118</v>
      </c>
    </row>
    <row r="3" spans="1:2" ht="76" x14ac:dyDescent="0.2">
      <c r="A3" s="101" t="s">
        <v>119</v>
      </c>
      <c r="B3" s="102" t="s">
        <v>175</v>
      </c>
    </row>
    <row r="4" spans="1:2" ht="31" x14ac:dyDescent="0.2">
      <c r="A4" s="87" t="s">
        <v>120</v>
      </c>
      <c r="B4" s="79" t="s">
        <v>176</v>
      </c>
    </row>
    <row r="5" spans="1:2" ht="16" x14ac:dyDescent="0.2">
      <c r="A5" s="86" t="s">
        <v>252</v>
      </c>
      <c r="B5" s="80" t="s">
        <v>152</v>
      </c>
    </row>
    <row r="6" spans="1:2" ht="31" x14ac:dyDescent="0.2">
      <c r="A6" s="103" t="s">
        <v>115</v>
      </c>
      <c r="B6" s="102" t="s">
        <v>148</v>
      </c>
    </row>
    <row r="7" spans="1:2" ht="16" x14ac:dyDescent="0.2">
      <c r="A7" s="88" t="s">
        <v>34</v>
      </c>
      <c r="B7" s="81" t="s">
        <v>177</v>
      </c>
    </row>
    <row r="8" spans="1:2" ht="16" x14ac:dyDescent="0.2">
      <c r="A8" s="89" t="s">
        <v>35</v>
      </c>
      <c r="B8" s="82" t="s">
        <v>178</v>
      </c>
    </row>
    <row r="9" spans="1:2" ht="16" x14ac:dyDescent="0.2">
      <c r="A9" s="89" t="s">
        <v>7</v>
      </c>
      <c r="B9" s="82" t="s">
        <v>36</v>
      </c>
    </row>
    <row r="10" spans="1:2" ht="16" x14ac:dyDescent="0.2">
      <c r="A10" s="89" t="s">
        <v>8</v>
      </c>
      <c r="B10" s="82" t="s">
        <v>37</v>
      </c>
    </row>
    <row r="11" spans="1:2" ht="16" x14ac:dyDescent="0.2">
      <c r="A11" s="90" t="s">
        <v>121</v>
      </c>
      <c r="B11" s="83" t="s">
        <v>38</v>
      </c>
    </row>
    <row r="12" spans="1:2" ht="31" x14ac:dyDescent="0.2">
      <c r="A12" s="101" t="s">
        <v>153</v>
      </c>
      <c r="B12" s="102" t="s">
        <v>154</v>
      </c>
    </row>
    <row r="13" spans="1:2" ht="31" x14ac:dyDescent="0.2">
      <c r="A13" s="153" t="s">
        <v>9</v>
      </c>
      <c r="B13" s="84" t="s">
        <v>149</v>
      </c>
    </row>
    <row r="14" spans="1:2" x14ac:dyDescent="0.2">
      <c r="A14" s="154"/>
      <c r="B14" s="83" t="s">
        <v>116</v>
      </c>
    </row>
    <row r="15" spans="1:2" ht="64" customHeight="1" x14ac:dyDescent="0.2">
      <c r="A15" s="104" t="s">
        <v>151</v>
      </c>
      <c r="B15" s="105" t="s">
        <v>251</v>
      </c>
    </row>
    <row r="16" spans="1:2" ht="76" customHeight="1" x14ac:dyDescent="0.2">
      <c r="A16" s="87" t="s">
        <v>122</v>
      </c>
      <c r="B16" s="85" t="s">
        <v>179</v>
      </c>
    </row>
    <row r="17" spans="1:2" ht="45" x14ac:dyDescent="0.2">
      <c r="A17" s="106" t="s">
        <v>123</v>
      </c>
      <c r="B17" s="105" t="s">
        <v>155</v>
      </c>
    </row>
    <row r="18" spans="1:2" ht="31" x14ac:dyDescent="0.2">
      <c r="A18" s="87" t="s">
        <v>124</v>
      </c>
      <c r="B18" s="79" t="s">
        <v>150</v>
      </c>
    </row>
    <row r="19" spans="1:2" ht="27" customHeight="1" x14ac:dyDescent="0.2">
      <c r="A19" s="107" t="s">
        <v>125</v>
      </c>
      <c r="B19" s="108" t="s">
        <v>126</v>
      </c>
    </row>
    <row r="20" spans="1:2" ht="4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mergeCells count="1">
    <mergeCell ref="A13:A14"/>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56854"/>
    <outlinePr summaryBelow="0" summaryRight="0"/>
  </sheetPr>
  <dimension ref="A1:XE215"/>
  <sheetViews>
    <sheetView showGridLines="0" topLeftCell="M1" zoomScale="89" zoomScaleNormal="89" workbookViewId="0">
      <pane ySplit="4" topLeftCell="A5" activePane="bottomLeft" state="frozen"/>
      <selection activeCell="E1" sqref="E1"/>
      <selection pane="bottomLeft" activeCell="A13" sqref="A13"/>
    </sheetView>
  </sheetViews>
  <sheetFormatPr baseColWidth="10" defaultColWidth="14.5" defaultRowHeight="15" x14ac:dyDescent="0.2"/>
  <cols>
    <col min="1" max="1" width="23.5" customWidth="1"/>
    <col min="2" max="2" width="48.33203125" customWidth="1"/>
    <col min="3" max="3" width="34.5" customWidth="1"/>
    <col min="4" max="4" width="25.5" customWidth="1"/>
    <col min="5" max="7" width="14.5" bestFit="1" customWidth="1"/>
    <col min="8" max="8" width="24.6640625" customWidth="1"/>
    <col min="9" max="9" width="14.5" bestFit="1" customWidth="1"/>
    <col min="93" max="93" width="17.33203125" customWidth="1"/>
  </cols>
  <sheetData>
    <row r="1" spans="1:629" hidden="1" x14ac:dyDescent="0.2">
      <c r="C1" s="5" t="s">
        <v>39</v>
      </c>
      <c r="D1" s="5" t="e">
        <f>SUBTOTAL(1,Tabela_2[01 - Você já presenciou ou sofreu comentários ofensivos, piadas ou insinuações inadequadas no ambiente de trabalho?
(- Responda pensando se já presenciou ou sofreu esse tipo de situação no trabalho.)])</f>
        <v>#DIV/0!</v>
      </c>
      <c r="E1" s="5" t="e">
        <f>SUBTOTAL(1,Tabela_2[02 - Você se sente à vontade para relatar situações de assédio moral ou sexual na empresa sem medo de represálias?
(-Responda se você se sente seguro(a) para relatar situações de assédio na empresa.)])</f>
        <v>#DIV/0!</v>
      </c>
      <c r="F1" s="5" t="e">
        <f>SUBTOTAL(1,Tabela_2[03 - Existe um canal seguro e sigiloso para denunciar assédio na empresa?
(-Responda se a empresa oferece um meio seguro para denunciar assédio e outras situações)])</f>
        <v>#DIV/0!</v>
      </c>
      <c r="G1" s="5" t="e">
        <f>SUBTOTAL(1,Tabela_2[04 - Há casos conhecidos de assédio moral ou sexual que não foram devidamente investigados ou punidos?
(- Responda se você percebe que situações de assédio não são tratadas corretamente.)])</f>
        <v>#DIV/0!</v>
      </c>
      <c r="H1" s="5" t="e">
        <f>SUBTOTAL(1,Tabela_2[05 - O RH e os gestores demonstram comprometimento real com a prevenção do assédio?
(- Responda se você percebe que situações de assédio não são tratadas corretamente.)])</f>
        <v>#DIV/0!</v>
      </c>
      <c r="I1" s="5" t="e">
        <f>SUBTOTAL(1,Tabela_2[06 - Você sente que pode contar com seus colegas em momentos de dificuldade?
(-Responda se você sente que pode contar com seus colegas quando precisa.)])</f>
        <v>#DIV/0!</v>
      </c>
      <c r="J1" s="5" t="e">
        <f>SUBTOTAL(1,Tabela_2[07 - Existe apoio da liderança para lidar com desafios relacionados ao trabalho?
(Responda se seus gestores ajudam quando surgem dificuldades no trabalho.)])</f>
        <v>#DIV/0!</v>
      </c>
      <c r="K1" s="5" t="e">
        <f>SUBTOTAL(1,Tabela_2[08 - O RH está presente e atuante quando surgem conflitos ou dificuldades no trabalho?
(Responda se o RH costuma apoiar quando há conflitos ou problemas.)])</f>
        <v>#DIV/0!</v>
      </c>
      <c r="L1" s="5" t="e">
        <f>SUBTOTAL(1,Tabela_2[09 - Os gestores promovem um ambiente saudável e respeitoso?
(Responda como você avalia o comportamento dos gestores no dia a dia.)])</f>
        <v>#DIV/0!</v>
      </c>
      <c r="M1" s="5" t="e">
        <f>SUBTOTAL(1,Tabela_2[10 - Você sente que pode expressar suas dificuldades no trabalho sem ser julgado(a)?
(Responda se você se sente à vontade para falar sobre dificuldades no trabalho.)])</f>
        <v>#DIV/0!</v>
      </c>
      <c r="N1" s="5" t="e">
        <f>SUBTOTAL(1,Tabela_2[11 - Mudanças organizacionais impactaram negativamente seu sentimento de segurança no trabalho? 
(Responda se mudanças na empresa afetaram sua sensação de segurança no trabalho.)])</f>
        <v>#DIV/0!</v>
      </c>
      <c r="O1" s="5" t="e">
        <f>SUBTOTAL(1,Tabela_2[12 - Há comunicação clara sobre mudanças que afetam a empresa ou os trabalhadores?
(Responda se a empresa costuma explicar bem as mudanças que acontecem.)])</f>
        <v>#DIV/0!</v>
      </c>
      <c r="P1" s="5" t="e">
        <f>SUBTOTAL(1,Tabela_2[13 - Você já sentiu que seu emprego estava ameaçado sem explicações claras durante períodos de mudança?
(Responda se já sentiu insegurança sobre seu emprego durante mudanças.)])</f>
        <v>#DIV/0!</v>
      </c>
      <c r="Q1" s="5" t="e">
        <f>SUBTOTAL(1,Tabela_2[14 - Existe transparência na comunicação da empresa durante processos de mudança?
(Responda se as mudanças são comunicadas de forma clara e aberta.)])</f>
        <v>#DIV/0!</v>
      </c>
      <c r="R1" s="5" t="e">
        <f>SUBTOTAL(1,Tabela_2[15 - Você recebe instruções claras sobre suas responsabilidades no trabalho?
(Responda se você entende bem quais são suas responsabilidades.)])</f>
        <v>#DIV/0!</v>
      </c>
      <c r="S1" s="5" t="e">
        <f>SUBTOTAL(1,Tabela_2[16 - A comunicação da empresa ajuda você a entender o que é esperado do seu trabalho?
(Responda se a empresa deixa claro o que espera do seu trabalho.)])</f>
        <v>#DIV/0!</v>
      </c>
      <c r="T1" s="5" t="e">
        <f>SUBTOTAL(1,Tabela_2[17 - A comunicação entre equipes e setores contribui para a clareza das suas tarefas?
(Responda se a comunicação entre áreas ajuda no seu trabalho.)])</f>
        <v>#DIV/0!</v>
      </c>
      <c r="U1" s="5" t="e">
        <f>SUBTOTAL(1,Tabela_2[18 - Você se sente confortável para pedir esclarecimentos quando não entende suas funções ou prioridades?
(Responda se você se sente à vontade para perguntar quando não entende algo.)])</f>
        <v>#DIV/0!</v>
      </c>
      <c r="V1" s="5" t="e">
        <f>SUBTOTAL(1,Tabela_2[19 - Você sente que seu esforço e desempenho são reconhecidos pela liderança?
(Responda se você se sente valorizado(a) pelo trabalho que realiza.)])</f>
        <v>#DIV/0!</v>
      </c>
      <c r="W1" s="5" t="e">
        <f>SUBTOTAL(1,Tabela_2[20 - Você recebe feedback construtivo sobre o seu trabalho com regularidade?
(Responda se você recebe orientações ou retornos sobre seu trabalho.)])</f>
        <v>#DIV/0!</v>
      </c>
      <c r="X1" s="5" t="e">
        <f>SUBTOTAL(1,Tabela_2[21 - Com que Frequência Você já se sentiu desmotivado(a) por falta de reconhecimento no trabalho?
(Responda se a falta de reconhecimento já te deixou desmotivado(a).])</f>
        <v>#DIV/0!</v>
      </c>
      <c r="Y1" s="5" t="e">
        <f>SUBTOTAL(1,Tabela_2[22 - Você tem liberdade para tomar decisões sobre como executar suas tarefas diárias?
(Responda se você pode sugerir melhorias ou decidir como fazer suas tarefas.)])</f>
        <v>#DIV/0!</v>
      </c>
      <c r="Z1" s="5" t="e">
        <f>SUBTOTAL(1,Tabela_2[23 - A empresa confia na sua capacidade de organizar e gerenciar o próprio trabalho?
(Responda se sente que a empresa confia na forma como você organiza seu trabalho.)])</f>
        <v>#DIV/0!</v>
      </c>
      <c r="AA1" s="5" t="e">
        <f>SUBTOTAL(1,Tabela_2[24 - Existe excesso de controle ou burocracia que interfere no seu desempenho?
(Responda se regras ou controles atrapalham seu desempenho.)])</f>
        <v>#DIV/0!</v>
      </c>
      <c r="AB1" s="5" t="e">
        <f>SUBTOTAL(1,Tabela_2[25 - Existe excesso de supervisão que impacta negativamente na sua produtividade ou bem-estar?])</f>
        <v>#DIV/0!</v>
      </c>
      <c r="AC1" s="5" t="e">
        <f>SUBTOTAL(1,Tabela_2[26 - Você acha justas e claras as formas que a empresa usa para avaliar o seu trabalho?
(Responda se as formas de avaliar seu trabalho são claras e justas.)])</f>
        <v>#DIV/0!</v>
      </c>
      <c r="AD1" s="5" t="e">
        <f>SUBTOTAL(1,Tabela_2[27 - Você sente que há igualdade no reconhecimento entre diferentes áreas ou equipes?
(Responda se você percebe tratamento justo entre equipes ou setores.)])</f>
        <v>#DIV/0!</v>
      </c>
      <c r="AE1" s="5" t="e">
        <f>SUBTOTAL(1,Tabela_2[28 - Você sente que há transparência nas decisões de desligamento na empresa?
(Responda se a empresa é clara quando ocorrem desligamentos.)])</f>
        <v>#DIV/0!</v>
      </c>
      <c r="AF1" s="5" t="e">
        <f>SUBTOTAL(1,Tabela_2[29 - Você já presenciou casos de demissões que considerasse injustas?
(Responda se já presenciou demissões que considerou injustas.)])</f>
        <v>#DIV/0!</v>
      </c>
      <c r="AG1" s="5" t="e">
        <f>SUBTOTAL(1,Tabela_2[30 - Você já vivenciou ou presenciou alguma situação de violência grave no trabalho (como agressão física, ameaça séria ou ataque verbal intenso)?])</f>
        <v>#DIV/0!</v>
      </c>
      <c r="AH1" s="5" t="e">
        <f>SUBTOTAL(1,Tabela_2[31 - Você já passou por algum evento grave no trabalho (como acidente sério, situação de risco extremo ou episódio muito impactante)?
Responda se já passou por situações muito graves ou perigosas no trabalho.])</f>
        <v>#DIV/0!</v>
      </c>
      <c r="AI1" s="5" t="e">
        <f>SUBTOTAL(1,Tabela_2[32 - Alguma situação vivida no trabalho já foi tão marcante que deixou medo, choque ou forte abalo emocional?
(Responda se alguma situação no trabalho já te causou forte abalo emocional.)])</f>
        <v>#DIV/0!</v>
      </c>
      <c r="AJ1" s="5" t="e">
        <f>SUBTOTAL(1,Tabela_2[33 - Você sente que, na maior parte do tempo, tem pouco trabalho a realizar durante sua jornada?
(Responda se costuma ter pouco trabalho durante sua jornada.)])</f>
        <v>#DIV/0!</v>
      </c>
      <c r="AK1" s="5" t="e">
        <f>SUBTOTAL(1,Tabela_2[34 - Você costuma ficar com tempo ocioso no trabalho por falta de tarefas ou demandas claras?
(Responda se frequentemente fica sem tarefas para realizar.)])</f>
        <v>#DIV/0!</v>
      </c>
      <c r="AL1" s="5" t="e">
        <f>SUBTOTAL(1,Tabela_2[35 - Você sente que suas habilidades ou conhecimentos são pouco utilizados no seu trabalho?
(Responda se sente que suas habilidades são pouco aproveitadas.)])</f>
        <v>#DIV/0!</v>
      </c>
      <c r="AM1" s="5" t="e">
        <f>SUBTOTAL(1,Tabela_2[36 - Seu trabalho costuma ser pouco desafiador ou repetitivo a ponto de gerar desânimo?
(Responda se o trabalho é repetitivo ou desmotivador.)])</f>
        <v>#DIV/0!</v>
      </c>
      <c r="AN1" s="5" t="e">
        <f>SUBTOTAL(1,Tabela_2[37 - Você sente que sua carga de trabalho diária é maior do que consegue realizar dentro do horário normal? 
(Responda se a quantidade de trabalho é maior do que consegue realizar.)])</f>
        <v>#DIV/0!</v>
      </c>
      <c r="AO1" s="5" t="e">
        <f>SUBTOTAL(1,Tabela_2[38 - Você frequentemente precisa fazer horas extras ou levar trabalho para casa?
(Responda se costuma trabalhar além do horário normal.)])</f>
        <v>#DIV/0!</v>
      </c>
      <c r="AP1" s="5" t="e">
        <f>SUBTOTAL(1,Tabela_2[39 - Você já teve sintomas físicos ou emocionais (como exaustão, ansiedade ou insônia) devido ao excesso de trabalho?
(Responda se o excesso de trabalho já afetou sua saúde)])</f>
        <v>#DIV/0!</v>
      </c>
      <c r="AQ1" s="5" t="e">
        <f>SUBTOTAL(1,Tabela_2[40 - A equipe é dimensionada/dividida corretamente para a demanda/quantidade de trabalho existente?
(Responda se a quantidade de pessoas é suficiente para a demanda.)])</f>
        <v>#DIV/0!</v>
      </c>
      <c r="AR1" s="5" t="e">
        <f>SUBTOTAL(1,Tabela_2[41 - Você já evitou colegas ou superiores por causa de desentendimentos frequentes?
(Responda se já evitou colegas ou superiores por conflitos.)])</f>
        <v>#DIV/0!</v>
      </c>
      <c r="AS1" s="5" t="e">
        <f>SUBTOTAL(1,Tabela_2[42 - Você percebe rivalidade excessiva ou desnecessária entre colegas ou setores?
(Responda se percebe disputas desnecessárias no trabalho.)])</f>
        <v>#DIV/0!</v>
      </c>
      <c r="AT1" s="5" t="e">
        <f>SUBTOTAL(1,Tabela_2[43 - Conflitos no trabalho costumam ser resolvidos de forma justa?
(Responda se os conflitos costumam ser resolvidos de forma justa.)])</f>
        <v>#DIV/0!</v>
      </c>
      <c r="AU1" s="5" t="e">
        <f>SUBTOTAL(1,Tabela_2[44 - Você trabalha em condições (como turnos diferentes, trabalho externo ou distância física) que dificultam a comunicação no trabalho?
(Responda se seu trabalho dificulta a comunicação com colegas ou líderes.)])</f>
        <v>#DIV/0!</v>
      </c>
      <c r="AV1" s="5" t="e">
        <f>SUBTOTAL(1,Tabela_2[45 - A distância física entre você e sua equipe ou liderança dificulta a troca de informações? 
(Responda se a distância atrapalha a troca de informações.)])</f>
        <v>#DIV/0!</v>
      </c>
      <c r="AW1" s="5" t="e">
        <f>SUBTOTAL(1,Tabela_2[46 - Você já teve dificuldade para receber informações importantes no momento certo por causa da organização do trabalho?
(Responda se já recebeu informações importantes com atraso.)])</f>
        <v>#DIV/0!</v>
      </c>
      <c r="AX1" s="5" t="e">
        <f>SUBTOTAL(1,Tabela_2[47 - Você tem acesso fácil aos meios necessários para se comunicar com colegas e liderança durante o trabalho?
(Responda se você tem meios adequados para se comunicar no trabalho.)])</f>
        <v>#DIV/0!</v>
      </c>
      <c r="AY1" s="5" t="e">
        <f>SUBTOTAL(1,Tabela_2[48 - Você trabalha grande parte do tempo de forma remota ou sozinho(a), com pouco contato presencial com colegas ou liderança?
(Responda se você trabalha a maior parte do tempo sozinho(a) ou à distância.)])</f>
        <v>#DIV/0!</v>
      </c>
      <c r="AZ1" s="5" t="e">
        <f>SUBTOTAL(1,Tabela_2[49 - Você sente que o trabalho remoto ou isolado faz com que se sinta distante da equipe ou da empresa?
(Responda se isso faz você se sentir distante da equipe ou da empresa.)])</f>
        <v>#DIV/0!</v>
      </c>
      <c r="BA1" s="5" t="e">
        <f>SUBTOTAL(1,Tabela_2[50 - Mesmo trabalhando de forma remota ou isolada, você sente que recebe apoio e acompanhamento adequados da empresa?(Responda se, mesmo à distância, você recebe apoio da empresa.)])</f>
        <v>#DIV/0!</v>
      </c>
      <c r="BB1" s="5" t="e">
        <f>SUBTOTAL(1,Tabela_2[Coluna1])</f>
        <v>#DIV/0!</v>
      </c>
      <c r="BC1" s="5" t="e">
        <f>SUBTOTAL(1,Tabela_2[Coluna2])</f>
        <v>#DIV/0!</v>
      </c>
      <c r="BD1" s="5" t="e">
        <f>SUBTOTAL(1,Tabela_2[Coluna3])</f>
        <v>#DIV/0!</v>
      </c>
      <c r="BE1" s="5" t="e">
        <f>SUBTOTAL(1,Tabela_2[Coluna4])</f>
        <v>#DIV/0!</v>
      </c>
      <c r="BF1" s="5" t="e">
        <f>SUBTOTAL(1,Tabela_2[Coluna5])</f>
        <v>#DIV/0!</v>
      </c>
      <c r="BG1" s="5" t="e">
        <f>SUBTOTAL(1,Tabela_2[Coluna6])</f>
        <v>#DIV/0!</v>
      </c>
      <c r="BH1" s="5" t="e">
        <f>SUBTOTAL(1,Tabela_2[Coluna7])</f>
        <v>#DIV/0!</v>
      </c>
      <c r="BI1" s="5" t="e">
        <f>SUBTOTAL(1,Tabela_2[Coluna8])</f>
        <v>#DIV/0!</v>
      </c>
      <c r="BJ1" s="5" t="e">
        <f>SUBTOTAL(1,Tabela_2[Coluna9])</f>
        <v>#DIV/0!</v>
      </c>
      <c r="BK1" s="5" t="e">
        <f>SUBTOTAL(1,Tabela_2[Coluna10])</f>
        <v>#DIV/0!</v>
      </c>
      <c r="BL1" s="5" t="e">
        <f>SUBTOTAL(1,Tabela_2[Coluna11])</f>
        <v>#DIV/0!</v>
      </c>
      <c r="BM1" s="5" t="e">
        <f>SUBTOTAL(1,Tabela_2[Coluna12])</f>
        <v>#DIV/0!</v>
      </c>
      <c r="BN1" s="5" t="e">
        <f>SUBTOTAL(1,Tabela_2[Coluna13])</f>
        <v>#DIV/0!</v>
      </c>
      <c r="BO1" s="5" t="e">
        <f>SUBTOTAL(1,Tabela_2[Coluna14])</f>
        <v>#DIV/0!</v>
      </c>
      <c r="BP1" s="5" t="e">
        <f>SUBTOTAL(1,Tabela_2[Coluna15])</f>
        <v>#DIV/0!</v>
      </c>
      <c r="BQ1" s="5" t="e">
        <f>SUBTOTAL(1,Tabela_2[Coluna16])</f>
        <v>#DIV/0!</v>
      </c>
      <c r="BR1" s="5" t="e">
        <f>SUBTOTAL(1,Tabela_2[Coluna17])</f>
        <v>#DIV/0!</v>
      </c>
      <c r="BS1" s="5" t="e">
        <f>SUBTOTAL(1,Tabela_2[Coluna18])</f>
        <v>#DIV/0!</v>
      </c>
      <c r="BT1" s="5" t="e">
        <f>SUBTOTAL(1,Tabela_2[Coluna19])</f>
        <v>#DIV/0!</v>
      </c>
      <c r="BU1" s="5" t="e">
        <f>SUBTOTAL(1,Tabela_2[Coluna20])</f>
        <v>#DIV/0!</v>
      </c>
      <c r="BV1" s="5" t="e">
        <f>SUBTOTAL(1,Tabela_2[Coluna21])</f>
        <v>#DIV/0!</v>
      </c>
      <c r="BW1" s="5" t="e">
        <f>SUBTOTAL(1,Tabela_2[Coluna22])</f>
        <v>#DIV/0!</v>
      </c>
      <c r="BX1" s="5" t="e">
        <f>SUBTOTAL(1,Tabela_2[Coluna23])</f>
        <v>#DIV/0!</v>
      </c>
      <c r="BY1" s="5" t="e">
        <f>SUBTOTAL(1,Tabela_2[Coluna24])</f>
        <v>#DIV/0!</v>
      </c>
      <c r="BZ1" s="5" t="e">
        <f>SUBTOTAL(1,Tabela_2[Coluna25])</f>
        <v>#DIV/0!</v>
      </c>
      <c r="CA1" s="5" t="e">
        <f>SUBTOTAL(1,Tabela_2[Coluna26])</f>
        <v>#DIV/0!</v>
      </c>
      <c r="CB1" s="5" t="e">
        <f>SUBTOTAL(1,Tabela_2[Coluna27])</f>
        <v>#DIV/0!</v>
      </c>
      <c r="CC1" s="5" t="e">
        <f>SUBTOTAL(1,Tabela_2[Coluna28])</f>
        <v>#DIV/0!</v>
      </c>
      <c r="CD1" s="5" t="e">
        <f>SUBTOTAL(1,Tabela_2[Coluna29])</f>
        <v>#DIV/0!</v>
      </c>
      <c r="CE1" s="5" t="e">
        <f>SUBTOTAL(1,Tabela_2[Coluna30])</f>
        <v>#DIV/0!</v>
      </c>
      <c r="CF1" s="5" t="e">
        <f>SUBTOTAL(1,Tabela_2[Coluna31])</f>
        <v>#DIV/0!</v>
      </c>
      <c r="CG1" s="5" t="e">
        <f>SUBTOTAL(1,Tabela_2[Coluna32])</f>
        <v>#DIV/0!</v>
      </c>
      <c r="CH1" s="5" t="e">
        <f>SUBTOTAL(1,Tabela_2[Coluna33])</f>
        <v>#DIV/0!</v>
      </c>
      <c r="CI1" s="5" t="e">
        <f>SUBTOTAL(1,Tabela_2[Coluna34])</f>
        <v>#DIV/0!</v>
      </c>
      <c r="CJ1" s="5" t="e">
        <f>SUBTOTAL(1,Tabela_2[Coluna35])</f>
        <v>#DIV/0!</v>
      </c>
      <c r="CK1" s="5" t="e">
        <f>SUBTOTAL(1,Tabela_2[Coluna36])</f>
        <v>#DIV/0!</v>
      </c>
      <c r="CL1" s="5" t="e">
        <f>SUBTOTAL(1,Tabela_2[Coluna37])</f>
        <v>#DIV/0!</v>
      </c>
      <c r="CM1" s="5" t="e">
        <f>SUBTOTAL(1,Tabela_2[Coluna38])</f>
        <v>#DIV/0!</v>
      </c>
      <c r="CN1" s="5" t="e">
        <f>SUBTOTAL(1,Tabela_2[Coluna39])</f>
        <v>#DIV/0!</v>
      </c>
      <c r="CO1" s="5" t="e">
        <f>SUBTOTAL(1,Tabela_2[Coluna40])</f>
        <v>#DIV/0!</v>
      </c>
    </row>
    <row r="2" spans="1:629" hidden="1" x14ac:dyDescent="0.2">
      <c r="C2" s="5" t="s">
        <v>127</v>
      </c>
      <c r="D2" s="70" t="e">
        <f>AVERAGE(Tabela_2[[#All],[01 - Você já presenciou ou sofreu comentários ofensivos, piadas ou insinuações inadequadas no ambiente de trabalho?
(- Responda pensando se já presenciou ou sofreu esse tipo de situação no trabalho.)]])</f>
        <v>#DIV/0!</v>
      </c>
      <c r="E2" s="70" t="e">
        <f>AVERAGE(Tabela_2[[#All],[02 - Você se sente à vontade para relatar situações de assédio moral ou sexual na empresa sem medo de represálias?
(-Responda se você se sente seguro(a) para relatar situações de assédio na empresa.)]])</f>
        <v>#DIV/0!</v>
      </c>
      <c r="F2" s="70" t="e">
        <f>AVERAGE(Tabela_2[[#All],[03 - Existe um canal seguro e sigiloso para denunciar assédio na empresa?
(-Responda se a empresa oferece um meio seguro para denunciar assédio e outras situações)]])</f>
        <v>#DIV/0!</v>
      </c>
      <c r="G2" s="70" t="e">
        <f>AVERAGE(Tabela_2[[#All],[04 - Há casos conhecidos de assédio moral ou sexual que não foram devidamente investigados ou punidos?
(- Responda se você percebe que situações de assédio não são tratadas corretamente.)]])</f>
        <v>#DIV/0!</v>
      </c>
      <c r="H2" s="70" t="e">
        <f>AVERAGE(Tabela_2[[#All],[05 - O RH e os gestores demonstram comprometimento real com a prevenção do assédio?
(- Responda se você percebe que situações de assédio não são tratadas corretamente.)]])</f>
        <v>#DIV/0!</v>
      </c>
      <c r="I2" s="70" t="e">
        <f>AVERAGE(Tabela_2[[#All],[06 - Você sente que pode contar com seus colegas em momentos de dificuldade?
(-Responda se você sente que pode contar com seus colegas quando precisa.)]])</f>
        <v>#DIV/0!</v>
      </c>
      <c r="J2" s="70" t="e">
        <f>AVERAGE(Tabela_2[[#All],[07 - Existe apoio da liderança para lidar com desafios relacionados ao trabalho?
(Responda se seus gestores ajudam quando surgem dificuldades no trabalho.)]])</f>
        <v>#DIV/0!</v>
      </c>
      <c r="K2" s="70" t="e">
        <f>AVERAGE(Tabela_2[[#All],[08 - O RH está presente e atuante quando surgem conflitos ou dificuldades no trabalho?
(Responda se o RH costuma apoiar quando há conflitos ou problemas.)]])</f>
        <v>#DIV/0!</v>
      </c>
      <c r="L2" s="70" t="e">
        <f>AVERAGE(Tabela_2[[#All],[09 - Os gestores promovem um ambiente saudável e respeitoso?
(Responda como você avalia o comportamento dos gestores no dia a dia.)]])</f>
        <v>#DIV/0!</v>
      </c>
      <c r="M2" s="70" t="e">
        <f>AVERAGE(Tabela_2[[#All],[10 - Você sente que pode expressar suas dificuldades no trabalho sem ser julgado(a)?
(Responda se você se sente à vontade para falar sobre dificuldades no trabalho.)]])</f>
        <v>#DIV/0!</v>
      </c>
      <c r="N2" s="5" t="e">
        <f>AVERAGE(Tabela_2[[#All],[11 - Mudanças organizacionais impactaram negativamente seu sentimento de segurança no trabalho? 
(Responda se mudanças na empresa afetaram sua sensação de segurança no trabalho.)]])</f>
        <v>#DIV/0!</v>
      </c>
      <c r="O2" s="5" t="e">
        <f>AVERAGE(Tabela_2[[#All],[12 - Há comunicação clara sobre mudanças que afetam a empresa ou os trabalhadores?
(Responda se a empresa costuma explicar bem as mudanças que acontecem.)]])</f>
        <v>#DIV/0!</v>
      </c>
      <c r="P2" s="5" t="e">
        <f>AVERAGE(Tabela_2[[#All],[13 - Você já sentiu que seu emprego estava ameaçado sem explicações claras durante períodos de mudança?
(Responda se já sentiu insegurança sobre seu emprego durante mudanças.)]])</f>
        <v>#DIV/0!</v>
      </c>
      <c r="Q2" s="5" t="e">
        <f>AVERAGE(Tabela_2[[#All],[14 - Existe transparência na comunicação da empresa durante processos de mudança?
(Responda se as mudanças são comunicadas de forma clara e aberta.)]])</f>
        <v>#DIV/0!</v>
      </c>
      <c r="R2" s="5" t="e">
        <f>AVERAGE(Tabela_2[[#All],[15 - Você recebe instruções claras sobre suas responsabilidades no trabalho?
(Responda se você entende bem quais são suas responsabilidades.)]])</f>
        <v>#DIV/0!</v>
      </c>
      <c r="S2" s="5" t="e">
        <f>AVERAGE(Tabela_2[[#All],[16 - A comunicação da empresa ajuda você a entender o que é esperado do seu trabalho?
(Responda se a empresa deixa claro o que espera do seu trabalho.)]])</f>
        <v>#DIV/0!</v>
      </c>
      <c r="T2" s="5" t="e">
        <f>AVERAGE(Tabela_2[[#All],[17 - A comunicação entre equipes e setores contribui para a clareza das suas tarefas?
(Responda se a comunicação entre áreas ajuda no seu trabalho.)]])</f>
        <v>#DIV/0!</v>
      </c>
      <c r="U2" s="5" t="e">
        <f>AVERAGE(Tabela_2[[#All],[18 - Você se sente confortável para pedir esclarecimentos quando não entende suas funções ou prioridades?
(Responda se você se sente à vontade para perguntar quando não entende algo.)]])</f>
        <v>#DIV/0!</v>
      </c>
      <c r="V2" s="5" t="e">
        <f>AVERAGE(Tabela_2[[#All],[19 - Você sente que seu esforço e desempenho são reconhecidos pela liderança?
(Responda se você se sente valorizado(a) pelo trabalho que realiza.)]])</f>
        <v>#DIV/0!</v>
      </c>
      <c r="W2" s="5" t="e">
        <f>AVERAGE(Tabela_2[[#All],[20 - Você recebe feedback construtivo sobre o seu trabalho com regularidade?
(Responda se você recebe orientações ou retornos sobre seu trabalho.)]])</f>
        <v>#DIV/0!</v>
      </c>
      <c r="X2" s="5" t="e">
        <f>AVERAGE(Tabela_2[[#All],[21 - Com que Frequência Você já se sentiu desmotivado(a) por falta de reconhecimento no trabalho?
(Responda se a falta de reconhecimento já te deixou desmotivado(a).]])</f>
        <v>#DIV/0!</v>
      </c>
      <c r="Y2" s="5" t="e">
        <f>AVERAGE(Tabela_2[[#All],[22 - Você tem liberdade para tomar decisões sobre como executar suas tarefas diárias?
(Responda se você pode sugerir melhorias ou decidir como fazer suas tarefas.)]])</f>
        <v>#DIV/0!</v>
      </c>
      <c r="Z2" s="5" t="e">
        <f>AVERAGE(Tabela_2[[#All],[23 - A empresa confia na sua capacidade de organizar e gerenciar o próprio trabalho?
(Responda se sente que a empresa confia na forma como você organiza seu trabalho.)]])</f>
        <v>#DIV/0!</v>
      </c>
      <c r="AA2" s="5" t="e">
        <f>AVERAGE(Tabela_2[[#All],[24 - Existe excesso de controle ou burocracia que interfere no seu desempenho?
(Responda se regras ou controles atrapalham seu desempenho.)]])</f>
        <v>#DIV/0!</v>
      </c>
      <c r="AB2" s="5" t="e">
        <f>AVERAGE(Tabela_2[[#All],[25 - Existe excesso de supervisão que impacta negativamente na sua produtividade ou bem-estar?]])</f>
        <v>#DIV/0!</v>
      </c>
      <c r="AC2" s="5" t="e">
        <f>AVERAGE(Tabela_2[[#All],[26 - Você acha justas e claras as formas que a empresa usa para avaliar o seu trabalho?
(Responda se as formas de avaliar seu trabalho são claras e justas.)]])</f>
        <v>#DIV/0!</v>
      </c>
      <c r="AD2" s="5" t="e">
        <f>AVERAGE(Tabela_2[[#All],[27 - Você sente que há igualdade no reconhecimento entre diferentes áreas ou equipes?
(Responda se você percebe tratamento justo entre equipes ou setores.)]])</f>
        <v>#DIV/0!</v>
      </c>
      <c r="AE2" s="5" t="e">
        <f>AVERAGE(Tabela_2[[#All],[28 - Você sente que há transparência nas decisões de desligamento na empresa?
(Responda se a empresa é clara quando ocorrem desligamentos.)]])</f>
        <v>#DIV/0!</v>
      </c>
      <c r="AF2" s="5" t="e">
        <f>AVERAGE(Tabela_2[[#All],[29 - Você já presenciou casos de demissões que considerasse injustas?
(Responda se já presenciou demissões que considerou injustas.)]])</f>
        <v>#DIV/0!</v>
      </c>
      <c r="AG2" s="5" t="e">
        <f>AVERAGE(Tabela_2[[#All],[30 - Você já vivenciou ou presenciou alguma situação de violência grave no trabalho (como agressão física, ameaça séria ou ataque verbal intenso)?]])</f>
        <v>#DIV/0!</v>
      </c>
      <c r="AH2" s="5" t="e">
        <f>AVERAGE(Tabela_2[[#All],[31 - Você já passou por algum evento grave no trabalho (como acidente sério, situação de risco extremo ou episódio muito impactante)?
Responda se já passou por situações muito graves ou perigosas no trabalho.]])</f>
        <v>#DIV/0!</v>
      </c>
      <c r="AI2" s="5" t="e">
        <f>AVERAGE(Tabela_2[[#All],[32 - Alguma situação vivida no trabalho já foi tão marcante que deixou medo, choque ou forte abalo emocional?
(Responda se alguma situação no trabalho já te causou forte abalo emocional.)]])</f>
        <v>#DIV/0!</v>
      </c>
      <c r="AJ2" s="5" t="e">
        <f>AVERAGE(Tabela_2[[#All],[33 - Você sente que, na maior parte do tempo, tem pouco trabalho a realizar durante sua jornada?
(Responda se costuma ter pouco trabalho durante sua jornada.)]])</f>
        <v>#DIV/0!</v>
      </c>
      <c r="AK2" s="5" t="e">
        <f>AVERAGE(Tabela_2[[#All],[34 - Você costuma ficar com tempo ocioso no trabalho por falta de tarefas ou demandas claras?
(Responda se frequentemente fica sem tarefas para realizar.)]])</f>
        <v>#DIV/0!</v>
      </c>
      <c r="AL2" s="5" t="e">
        <f>AVERAGE(Tabela_2[[#All],[35 - Você sente que suas habilidades ou conhecimentos são pouco utilizados no seu trabalho?
(Responda se sente que suas habilidades são pouco aproveitadas.)]])</f>
        <v>#DIV/0!</v>
      </c>
      <c r="AM2" s="5" t="e">
        <f>AVERAGE(Tabela_2[[#All],[36 - Seu trabalho costuma ser pouco desafiador ou repetitivo a ponto de gerar desânimo?
(Responda se o trabalho é repetitivo ou desmotivador.)]])</f>
        <v>#DIV/0!</v>
      </c>
      <c r="AN2" s="5" t="e">
        <f>AVERAGE(Tabela_2[[#All],[37 - Você sente que sua carga de trabalho diária é maior do que consegue realizar dentro do horário normal? 
(Responda se a quantidade de trabalho é maior do que consegue realizar.)]])</f>
        <v>#DIV/0!</v>
      </c>
      <c r="AO2" s="5" t="e">
        <f>AVERAGE(Tabela_2[[#All],[38 - Você frequentemente precisa fazer horas extras ou levar trabalho para casa?
(Responda se costuma trabalhar além do horário normal.)]])</f>
        <v>#DIV/0!</v>
      </c>
      <c r="AP2" s="5" t="e">
        <f>AVERAGE(Tabela_2[[#All],[39 - Você já teve sintomas físicos ou emocionais (como exaustão, ansiedade ou insônia) devido ao excesso de trabalho?
(Responda se o excesso de trabalho já afetou sua saúde)]])</f>
        <v>#DIV/0!</v>
      </c>
      <c r="AQ2" s="5" t="e">
        <f>AVERAGE(Tabela_2[[#All],[40 - A equipe é dimensionada/dividida corretamente para a demanda/quantidade de trabalho existente?
(Responda se a quantidade de pessoas é suficiente para a demanda.)]])</f>
        <v>#DIV/0!</v>
      </c>
      <c r="AR2" s="5" t="e">
        <f>AVERAGE(Tabela_2[[#All],[41 - Você já evitou colegas ou superiores por causa de desentendimentos frequentes?
(Responda se já evitou colegas ou superiores por conflitos.)]])</f>
        <v>#DIV/0!</v>
      </c>
      <c r="AS2" s="5" t="e">
        <f>AVERAGE(Tabela_2[[#All],[42 - Você percebe rivalidade excessiva ou desnecessária entre colegas ou setores?
(Responda se percebe disputas desnecessárias no trabalho.)]])</f>
        <v>#DIV/0!</v>
      </c>
      <c r="AT2" s="5" t="e">
        <f>AVERAGE(Tabela_2[[#All],[43 - Conflitos no trabalho costumam ser resolvidos de forma justa?
(Responda se os conflitos costumam ser resolvidos de forma justa.)]])</f>
        <v>#DIV/0!</v>
      </c>
      <c r="AU2" s="5" t="e">
        <f>AVERAGE(Tabela_2[[#All],[44 - Você trabalha em condições (como turnos diferentes, trabalho externo ou distância física) que dificultam a comunicação no trabalho?
(Responda se seu trabalho dificulta a comunicação com colegas ou líderes.)]])</f>
        <v>#DIV/0!</v>
      </c>
      <c r="AV2" s="5" t="e">
        <f>AVERAGE(Tabela_2[[#All],[45 - A distância física entre você e sua equipe ou liderança dificulta a troca de informações? 
(Responda se a distância atrapalha a troca de informações.)]])</f>
        <v>#DIV/0!</v>
      </c>
      <c r="AW2" s="5" t="e">
        <f>AVERAGE(Tabela_2[[#All],[46 - Você já teve dificuldade para receber informações importantes no momento certo por causa da organização do trabalho?
(Responda se já recebeu informações importantes com atraso.)]])</f>
        <v>#DIV/0!</v>
      </c>
      <c r="AX2" s="5" t="e">
        <f>AVERAGE(Tabela_2[[#All],[47 - Você tem acesso fácil aos meios necessários para se comunicar com colegas e liderança durante o trabalho?
(Responda se você tem meios adequados para se comunicar no trabalho.)]])</f>
        <v>#DIV/0!</v>
      </c>
      <c r="AY2" s="5" t="e">
        <f>AVERAGE(Tabela_2[[#All],[48 - Você trabalha grande parte do tempo de forma remota ou sozinho(a), com pouco contato presencial com colegas ou liderança?
(Responda se você trabalha a maior parte do tempo sozinho(a) ou à distância.)]])</f>
        <v>#DIV/0!</v>
      </c>
      <c r="AZ2" s="5" t="e">
        <f>AVERAGE(Tabela_2[[#All],[49 - Você sente que o trabalho remoto ou isolado faz com que se sinta distante da equipe ou da empresa?
(Responda se isso faz você se sentir distante da equipe ou da empresa.)]])</f>
        <v>#DIV/0!</v>
      </c>
      <c r="BA2" s="5" t="e">
        <f>AVERAGE(Tabela_2[[#All],[50 - Mesmo trabalhando de forma remota ou isolada, você sente que recebe apoio e acompanhamento adequados da empresa?(Responda se, mesmo à distância, você recebe apoio da empresa.)]])</f>
        <v>#DIV/0!</v>
      </c>
      <c r="BB2" s="5" t="e">
        <f>AVERAGE(Tabela_2[[#All],[Coluna1]])</f>
        <v>#DIV/0!</v>
      </c>
      <c r="BC2" s="5" t="e">
        <f>AVERAGE(Tabela_2[[#All],[Coluna2]])</f>
        <v>#DIV/0!</v>
      </c>
      <c r="BD2" s="5" t="e">
        <f>AVERAGE(Tabela_2[[#All],[Coluna3]])</f>
        <v>#DIV/0!</v>
      </c>
      <c r="BE2" s="5" t="e">
        <f>AVERAGE(Tabela_2[[#All],[Coluna4]])</f>
        <v>#DIV/0!</v>
      </c>
      <c r="BF2" s="5" t="e">
        <f>AVERAGE(Tabela_2[[#All],[Coluna5]])</f>
        <v>#DIV/0!</v>
      </c>
      <c r="BG2" s="5" t="e">
        <f>AVERAGE(Tabela_2[[#All],[Coluna6]])</f>
        <v>#DIV/0!</v>
      </c>
      <c r="BH2" s="5" t="e">
        <f>AVERAGE(Tabela_2[[#All],[Coluna7]])</f>
        <v>#DIV/0!</v>
      </c>
      <c r="BI2" s="5" t="e">
        <f>AVERAGE(Tabela_2[[#All],[Coluna8]])</f>
        <v>#DIV/0!</v>
      </c>
      <c r="BJ2" s="5" t="e">
        <f>AVERAGE(Tabela_2[[#All],[Coluna9]])</f>
        <v>#DIV/0!</v>
      </c>
      <c r="BK2" s="5" t="e">
        <f>AVERAGE(Tabela_2[[#All],[Coluna10]])</f>
        <v>#DIV/0!</v>
      </c>
      <c r="BL2" s="5" t="e">
        <f>AVERAGE(Tabela_2[[#All],[Coluna11]])</f>
        <v>#DIV/0!</v>
      </c>
      <c r="BM2" s="5" t="e">
        <f>AVERAGE(Tabela_2[[#All],[Coluna12]])</f>
        <v>#DIV/0!</v>
      </c>
      <c r="BN2" s="5" t="e">
        <f>AVERAGE(Tabela_2[[#All],[Coluna13]])</f>
        <v>#DIV/0!</v>
      </c>
      <c r="BO2" s="5" t="e">
        <f>AVERAGE(Tabela_2[[#All],[Coluna14]])</f>
        <v>#DIV/0!</v>
      </c>
      <c r="BP2" s="5" t="e">
        <f>AVERAGE(Tabela_2[[#All],[Coluna15]])</f>
        <v>#DIV/0!</v>
      </c>
      <c r="BQ2" s="5" t="e">
        <f>AVERAGE(Tabela_2[[#All],[Coluna16]])</f>
        <v>#DIV/0!</v>
      </c>
      <c r="BR2" s="5" t="e">
        <f>AVERAGE(Tabela_2[[#All],[Coluna17]])</f>
        <v>#DIV/0!</v>
      </c>
      <c r="BS2" s="5" t="e">
        <f>AVERAGE(Tabela_2[[#All],[Coluna18]])</f>
        <v>#DIV/0!</v>
      </c>
      <c r="BT2" s="5" t="e">
        <f>AVERAGE(Tabela_2[[#All],[Coluna19]])</f>
        <v>#DIV/0!</v>
      </c>
      <c r="BU2" s="5" t="e">
        <f>AVERAGE(Tabela_2[[#All],[Coluna20]])</f>
        <v>#DIV/0!</v>
      </c>
      <c r="BV2" s="5" t="e">
        <f>AVERAGE(Tabela_2[[#All],[Coluna21]])</f>
        <v>#DIV/0!</v>
      </c>
      <c r="BW2" s="5" t="e">
        <f>AVERAGE(Tabela_2[[#All],[Coluna22]])</f>
        <v>#DIV/0!</v>
      </c>
      <c r="BX2" s="5" t="e">
        <f>AVERAGE(Tabela_2[[#All],[Coluna23]])</f>
        <v>#DIV/0!</v>
      </c>
      <c r="BY2" s="5" t="e">
        <f>AVERAGE(Tabela_2[[#All],[Coluna24]])</f>
        <v>#DIV/0!</v>
      </c>
      <c r="BZ2" s="5" t="e">
        <f>AVERAGE(Tabela_2[[#All],[Coluna25]])</f>
        <v>#DIV/0!</v>
      </c>
      <c r="CA2" s="5" t="e">
        <f>AVERAGE(Tabela_2[[#All],[Coluna26]])</f>
        <v>#DIV/0!</v>
      </c>
      <c r="CB2" s="5" t="e">
        <f>AVERAGE(Tabela_2[[#All],[Coluna27]])</f>
        <v>#DIV/0!</v>
      </c>
      <c r="CC2" s="5" t="e">
        <f>AVERAGE(Tabela_2[[#All],[Coluna28]])</f>
        <v>#DIV/0!</v>
      </c>
      <c r="CD2" s="5" t="e">
        <f>AVERAGE(Tabela_2[[#All],[Coluna29]])</f>
        <v>#DIV/0!</v>
      </c>
      <c r="CE2" s="5" t="e">
        <f>AVERAGE(Tabela_2[[#All],[Coluna30]])</f>
        <v>#DIV/0!</v>
      </c>
      <c r="CF2" s="5" t="e">
        <f>AVERAGE(Tabela_2[[#All],[Coluna31]])</f>
        <v>#DIV/0!</v>
      </c>
      <c r="CG2" s="5" t="e">
        <f>AVERAGE(Tabela_2[[#All],[Coluna32]])</f>
        <v>#DIV/0!</v>
      </c>
      <c r="CH2" s="5" t="e">
        <f>AVERAGE(Tabela_2[[#All],[Coluna33]])</f>
        <v>#DIV/0!</v>
      </c>
      <c r="CI2" s="5" t="e">
        <f>AVERAGE(Tabela_2[[#All],[Coluna34]])</f>
        <v>#DIV/0!</v>
      </c>
      <c r="CJ2" s="5" t="e">
        <f>AVERAGE(Tabela_2[[#All],[Coluna35]])</f>
        <v>#DIV/0!</v>
      </c>
      <c r="CK2" s="5" t="e">
        <f>AVERAGE(Tabela_2[[#All],[Coluna36]])</f>
        <v>#DIV/0!</v>
      </c>
      <c r="CL2" s="5" t="e">
        <f>AVERAGE(Tabela_2[[#All],[Coluna37]])</f>
        <v>#DIV/0!</v>
      </c>
      <c r="CM2" s="5" t="e">
        <f>AVERAGE(Tabela_2[[#All],[Coluna38]])</f>
        <v>#DIV/0!</v>
      </c>
      <c r="CN2" s="5" t="e">
        <f>AVERAGE(Tabela_2[[#All],[Coluna39]])</f>
        <v>#DIV/0!</v>
      </c>
      <c r="CO2" s="5" t="e">
        <f>AVERAGE(Tabela_2[[#All],[Coluna40]])</f>
        <v>#DIV/0!</v>
      </c>
    </row>
    <row r="3" spans="1:629" x14ac:dyDescent="0.2">
      <c r="M3">
        <v>1</v>
      </c>
      <c r="N3">
        <v>2</v>
      </c>
      <c r="W3">
        <v>2</v>
      </c>
      <c r="X3">
        <v>3</v>
      </c>
      <c r="AG3">
        <v>3</v>
      </c>
      <c r="AH3">
        <v>4</v>
      </c>
      <c r="AQ3">
        <v>4</v>
      </c>
      <c r="AR3">
        <v>5</v>
      </c>
      <c r="BA3">
        <v>5</v>
      </c>
      <c r="BB3">
        <v>6</v>
      </c>
      <c r="BK3">
        <v>6</v>
      </c>
      <c r="BL3">
        <v>7</v>
      </c>
      <c r="BU3">
        <v>7</v>
      </c>
      <c r="BV3">
        <v>8</v>
      </c>
      <c r="CE3">
        <v>8</v>
      </c>
      <c r="CF3">
        <v>9</v>
      </c>
      <c r="CO3">
        <v>9</v>
      </c>
    </row>
    <row r="4" spans="1:629" s="9" customFormat="1" ht="77" customHeight="1" x14ac:dyDescent="0.2">
      <c r="A4" s="149" t="s">
        <v>0</v>
      </c>
      <c r="B4" s="150" t="s">
        <v>1</v>
      </c>
      <c r="C4" s="150" t="s">
        <v>2</v>
      </c>
      <c r="D4" s="151" t="s">
        <v>253</v>
      </c>
      <c r="E4" s="151" t="s">
        <v>254</v>
      </c>
      <c r="F4" s="151" t="s">
        <v>255</v>
      </c>
      <c r="G4" s="151" t="s">
        <v>256</v>
      </c>
      <c r="H4" s="151" t="s">
        <v>257</v>
      </c>
      <c r="I4" s="151" t="s">
        <v>258</v>
      </c>
      <c r="J4" s="151" t="s">
        <v>259</v>
      </c>
      <c r="K4" s="151" t="s">
        <v>260</v>
      </c>
      <c r="L4" s="151" t="s">
        <v>261</v>
      </c>
      <c r="M4" s="151" t="s">
        <v>262</v>
      </c>
      <c r="N4" s="151" t="s">
        <v>263</v>
      </c>
      <c r="O4" s="151" t="s">
        <v>264</v>
      </c>
      <c r="P4" s="151" t="s">
        <v>265</v>
      </c>
      <c r="Q4" s="151" t="s">
        <v>266</v>
      </c>
      <c r="R4" s="151" t="s">
        <v>267</v>
      </c>
      <c r="S4" s="151" t="s">
        <v>268</v>
      </c>
      <c r="T4" s="151" t="s">
        <v>269</v>
      </c>
      <c r="U4" s="151" t="s">
        <v>270</v>
      </c>
      <c r="V4" s="151" t="s">
        <v>271</v>
      </c>
      <c r="W4" s="151" t="s">
        <v>272</v>
      </c>
      <c r="X4" s="151" t="s">
        <v>273</v>
      </c>
      <c r="Y4" s="151" t="s">
        <v>274</v>
      </c>
      <c r="Z4" s="151" t="s">
        <v>275</v>
      </c>
      <c r="AA4" s="151" t="s">
        <v>276</v>
      </c>
      <c r="AB4" s="152" t="s">
        <v>277</v>
      </c>
      <c r="AC4" s="151" t="s">
        <v>278</v>
      </c>
      <c r="AD4" s="151" t="s">
        <v>279</v>
      </c>
      <c r="AE4" s="151" t="s">
        <v>280</v>
      </c>
      <c r="AF4" s="151" t="s">
        <v>281</v>
      </c>
      <c r="AG4" s="152" t="s">
        <v>282</v>
      </c>
      <c r="AH4" s="151" t="s">
        <v>283</v>
      </c>
      <c r="AI4" s="151" t="s">
        <v>284</v>
      </c>
      <c r="AJ4" s="151" t="s">
        <v>285</v>
      </c>
      <c r="AK4" s="151" t="s">
        <v>286</v>
      </c>
      <c r="AL4" s="151" t="s">
        <v>287</v>
      </c>
      <c r="AM4" s="151" t="s">
        <v>288</v>
      </c>
      <c r="AN4" s="151" t="s">
        <v>289</v>
      </c>
      <c r="AO4" s="151" t="s">
        <v>290</v>
      </c>
      <c r="AP4" s="151" t="s">
        <v>291</v>
      </c>
      <c r="AQ4" s="151" t="s">
        <v>292</v>
      </c>
      <c r="AR4" s="151" t="s">
        <v>293</v>
      </c>
      <c r="AS4" s="151" t="s">
        <v>294</v>
      </c>
      <c r="AT4" s="151" t="s">
        <v>295</v>
      </c>
      <c r="AU4" s="151" t="s">
        <v>296</v>
      </c>
      <c r="AV4" s="151" t="s">
        <v>297</v>
      </c>
      <c r="AW4" s="151" t="s">
        <v>298</v>
      </c>
      <c r="AX4" s="151" t="s">
        <v>299</v>
      </c>
      <c r="AY4" s="151" t="s">
        <v>300</v>
      </c>
      <c r="AZ4" s="151" t="s">
        <v>301</v>
      </c>
      <c r="BA4" s="152" t="s">
        <v>302</v>
      </c>
      <c r="BB4" s="111" t="s">
        <v>246</v>
      </c>
      <c r="BC4" s="111" t="s">
        <v>247</v>
      </c>
      <c r="BD4" s="111" t="s">
        <v>248</v>
      </c>
      <c r="BE4" s="111" t="s">
        <v>249</v>
      </c>
      <c r="BF4" s="111" t="s">
        <v>250</v>
      </c>
      <c r="BG4" s="111" t="s">
        <v>303</v>
      </c>
      <c r="BH4" s="111" t="s">
        <v>304</v>
      </c>
      <c r="BI4" s="111" t="s">
        <v>305</v>
      </c>
      <c r="BJ4" s="111" t="s">
        <v>306</v>
      </c>
      <c r="BK4" s="111" t="s">
        <v>307</v>
      </c>
      <c r="BL4" s="111" t="s">
        <v>308</v>
      </c>
      <c r="BM4" s="111" t="s">
        <v>309</v>
      </c>
      <c r="BN4" s="111" t="s">
        <v>310</v>
      </c>
      <c r="BO4" s="111" t="s">
        <v>311</v>
      </c>
      <c r="BP4" s="111" t="s">
        <v>312</v>
      </c>
      <c r="BQ4" s="111" t="s">
        <v>313</v>
      </c>
      <c r="BR4" s="111" t="s">
        <v>314</v>
      </c>
      <c r="BS4" s="111" t="s">
        <v>315</v>
      </c>
      <c r="BT4" s="111" t="s">
        <v>316</v>
      </c>
      <c r="BU4" s="111" t="s">
        <v>317</v>
      </c>
      <c r="BV4" s="111" t="s">
        <v>318</v>
      </c>
      <c r="BW4" s="111" t="s">
        <v>319</v>
      </c>
      <c r="BX4" s="111" t="s">
        <v>320</v>
      </c>
      <c r="BY4" s="111" t="s">
        <v>321</v>
      </c>
      <c r="BZ4" s="111" t="s">
        <v>322</v>
      </c>
      <c r="CA4" s="111" t="s">
        <v>323</v>
      </c>
      <c r="CB4" s="111" t="s">
        <v>324</v>
      </c>
      <c r="CC4" s="111" t="s">
        <v>325</v>
      </c>
      <c r="CD4" s="111" t="s">
        <v>326</v>
      </c>
      <c r="CE4" s="111" t="s">
        <v>327</v>
      </c>
      <c r="CF4" s="111" t="s">
        <v>328</v>
      </c>
      <c r="CG4" s="111" t="s">
        <v>329</v>
      </c>
      <c r="CH4" s="111" t="s">
        <v>330</v>
      </c>
      <c r="CI4" s="111" t="s">
        <v>331</v>
      </c>
      <c r="CJ4" s="111" t="s">
        <v>332</v>
      </c>
      <c r="CK4" s="111" t="s">
        <v>333</v>
      </c>
      <c r="CL4" s="111" t="s">
        <v>334</v>
      </c>
      <c r="CM4" s="111" t="s">
        <v>335</v>
      </c>
      <c r="CN4" s="111" t="s">
        <v>336</v>
      </c>
      <c r="CO4" s="112" t="s">
        <v>337</v>
      </c>
      <c r="CP4" s="113"/>
      <c r="CQ4" s="113"/>
      <c r="CR4" s="113"/>
      <c r="CS4" s="113"/>
      <c r="CT4" s="113"/>
      <c r="CU4" s="113"/>
      <c r="CV4" s="113"/>
      <c r="CW4" s="113"/>
      <c r="CX4" s="113"/>
      <c r="CY4" s="113"/>
      <c r="CZ4" s="113"/>
      <c r="DA4" s="113"/>
      <c r="DB4" s="113"/>
      <c r="DC4" s="113"/>
      <c r="DD4" s="113"/>
      <c r="DE4" s="113"/>
      <c r="DF4" s="113"/>
      <c r="DG4" s="113"/>
      <c r="DH4" s="113"/>
      <c r="DI4" s="113"/>
      <c r="DJ4" s="113"/>
      <c r="DK4" s="113"/>
      <c r="DL4" s="113"/>
      <c r="DM4" s="113"/>
      <c r="DN4" s="113"/>
      <c r="DO4" s="113"/>
      <c r="DP4" s="113"/>
      <c r="DQ4" s="113"/>
      <c r="DR4" s="113"/>
      <c r="DS4" s="113"/>
      <c r="DT4" s="113"/>
      <c r="DU4" s="113"/>
      <c r="DV4" s="113"/>
      <c r="DW4" s="113"/>
      <c r="DX4" s="113"/>
      <c r="DY4" s="113"/>
      <c r="DZ4" s="113"/>
      <c r="EA4" s="113"/>
      <c r="EB4" s="113"/>
      <c r="EC4" s="113"/>
      <c r="ED4" s="113"/>
      <c r="EE4" s="113"/>
      <c r="EF4" s="113"/>
      <c r="EG4" s="113"/>
      <c r="EH4" s="113"/>
      <c r="EI4" s="113"/>
      <c r="EJ4" s="113"/>
      <c r="EK4" s="113"/>
      <c r="EL4" s="113"/>
      <c r="EM4" s="113"/>
      <c r="EN4" s="113"/>
      <c r="EO4" s="113"/>
      <c r="EP4" s="113"/>
      <c r="EQ4" s="113"/>
      <c r="ER4" s="113"/>
      <c r="ES4" s="113"/>
      <c r="ET4" s="113"/>
      <c r="EU4" s="113"/>
      <c r="EV4" s="113"/>
      <c r="EW4" s="113"/>
      <c r="EX4" s="113"/>
      <c r="EY4" s="113"/>
      <c r="EZ4" s="113"/>
      <c r="FA4" s="113"/>
      <c r="FB4" s="113"/>
      <c r="FC4" s="113"/>
      <c r="FD4" s="113"/>
      <c r="FE4" s="113"/>
      <c r="FF4" s="113"/>
      <c r="FG4" s="113"/>
      <c r="FH4" s="113"/>
      <c r="FI4" s="113"/>
      <c r="FJ4" s="113"/>
      <c r="FK4" s="113"/>
      <c r="FL4" s="113"/>
      <c r="FM4" s="113"/>
      <c r="FN4" s="113"/>
      <c r="FO4" s="113"/>
      <c r="FP4" s="113"/>
      <c r="FQ4" s="113"/>
      <c r="FR4" s="113"/>
      <c r="FS4" s="113"/>
      <c r="FT4" s="113"/>
      <c r="FU4" s="113"/>
      <c r="FV4" s="113"/>
      <c r="FW4" s="113"/>
      <c r="FX4" s="113"/>
      <c r="FY4" s="113"/>
      <c r="FZ4" s="113"/>
      <c r="GA4" s="113"/>
      <c r="GB4" s="113"/>
      <c r="GC4" s="113"/>
      <c r="GD4" s="113"/>
      <c r="GE4" s="113"/>
      <c r="GF4" s="113"/>
      <c r="GG4" s="113"/>
      <c r="GH4" s="113"/>
      <c r="GI4" s="113"/>
      <c r="GJ4" s="113"/>
      <c r="GK4" s="113"/>
      <c r="GL4" s="113"/>
      <c r="GM4" s="113"/>
      <c r="GN4" s="113"/>
      <c r="GO4" s="113"/>
      <c r="GP4" s="113"/>
      <c r="GQ4" s="113"/>
      <c r="GR4" s="113"/>
      <c r="GS4" s="113"/>
      <c r="GT4" s="113"/>
      <c r="GU4" s="113"/>
      <c r="GV4" s="113"/>
      <c r="GW4" s="113"/>
      <c r="GX4" s="113"/>
      <c r="GY4" s="113"/>
      <c r="GZ4" s="113"/>
      <c r="HA4" s="113"/>
      <c r="HB4" s="113"/>
      <c r="HC4" s="113"/>
      <c r="HD4" s="113"/>
      <c r="HE4" s="113"/>
      <c r="HF4" s="113"/>
      <c r="HG4" s="113"/>
      <c r="HH4" s="113"/>
      <c r="HI4" s="113"/>
      <c r="HJ4" s="113"/>
      <c r="HK4" s="113"/>
      <c r="HL4" s="113"/>
      <c r="HM4" s="113"/>
      <c r="HN4" s="113"/>
      <c r="HO4" s="113"/>
      <c r="HP4" s="113"/>
      <c r="HQ4" s="113"/>
      <c r="HR4" s="113"/>
      <c r="HS4" s="113"/>
      <c r="HT4" s="113"/>
      <c r="HU4" s="113"/>
      <c r="HV4" s="113"/>
      <c r="HW4" s="113"/>
      <c r="HX4" s="113"/>
      <c r="HY4" s="113"/>
      <c r="HZ4" s="113"/>
      <c r="IA4" s="113"/>
      <c r="IB4" s="113"/>
      <c r="IC4" s="113"/>
      <c r="ID4" s="113"/>
      <c r="IE4" s="113"/>
      <c r="IF4" s="113"/>
      <c r="IG4" s="113"/>
      <c r="IH4" s="113"/>
      <c r="II4" s="113"/>
      <c r="IJ4" s="113"/>
      <c r="IK4" s="113"/>
      <c r="IL4" s="113"/>
      <c r="IM4" s="113"/>
      <c r="IN4" s="113"/>
      <c r="IO4" s="113"/>
      <c r="IP4" s="113"/>
      <c r="IQ4" s="113"/>
      <c r="IR4" s="113"/>
      <c r="IS4" s="113"/>
      <c r="IT4" s="113"/>
      <c r="IU4" s="113"/>
      <c r="IV4" s="113"/>
      <c r="IW4" s="113"/>
      <c r="IX4" s="113"/>
      <c r="IY4" s="113"/>
      <c r="IZ4" s="113"/>
      <c r="JA4" s="113"/>
      <c r="JB4" s="113"/>
      <c r="JC4" s="113"/>
      <c r="JD4" s="113"/>
      <c r="JE4" s="113"/>
      <c r="JF4" s="113"/>
      <c r="JG4" s="113"/>
      <c r="JH4" s="113"/>
      <c r="JI4" s="113"/>
      <c r="JJ4" s="113"/>
      <c r="JK4" s="113"/>
      <c r="JL4" s="113"/>
      <c r="JM4" s="113"/>
      <c r="JN4" s="113"/>
      <c r="JO4" s="113"/>
      <c r="JP4" s="113"/>
      <c r="JQ4" s="113"/>
      <c r="JR4" s="113"/>
      <c r="JS4" s="113"/>
      <c r="JT4" s="113"/>
      <c r="JU4" s="113"/>
      <c r="JV4" s="113"/>
      <c r="JW4" s="113"/>
      <c r="JX4" s="113"/>
      <c r="JY4" s="113"/>
      <c r="JZ4" s="113"/>
      <c r="KA4" s="113"/>
      <c r="KB4" s="113"/>
      <c r="KC4" s="113"/>
      <c r="KD4" s="113"/>
      <c r="KE4" s="113"/>
      <c r="KF4" s="113"/>
      <c r="KG4" s="113"/>
      <c r="KH4" s="113"/>
      <c r="KI4" s="113"/>
      <c r="KJ4" s="113"/>
      <c r="KK4" s="113"/>
      <c r="KL4" s="113"/>
      <c r="KM4" s="113"/>
      <c r="KN4" s="113"/>
      <c r="KO4" s="113"/>
      <c r="KP4" s="113"/>
      <c r="KQ4" s="113"/>
      <c r="KR4" s="113"/>
      <c r="KS4" s="113"/>
      <c r="KT4" s="113"/>
      <c r="KU4" s="113"/>
      <c r="KV4" s="113"/>
      <c r="KW4" s="113"/>
      <c r="KX4" s="113"/>
      <c r="KY4" s="113"/>
      <c r="KZ4" s="113"/>
      <c r="LA4" s="113"/>
      <c r="LB4" s="113"/>
      <c r="LC4" s="113"/>
      <c r="LD4" s="113"/>
      <c r="LE4" s="113"/>
      <c r="LF4" s="113"/>
      <c r="LG4" s="113"/>
      <c r="LH4" s="113"/>
      <c r="LI4" s="113"/>
      <c r="LJ4" s="113"/>
      <c r="LK4" s="113"/>
      <c r="LL4" s="113"/>
      <c r="LM4" s="113"/>
      <c r="LN4" s="113"/>
      <c r="LO4" s="113"/>
      <c r="LP4" s="113"/>
      <c r="LQ4" s="113"/>
      <c r="LR4" s="113"/>
      <c r="LS4" s="113"/>
      <c r="LT4" s="113"/>
      <c r="LU4" s="113"/>
      <c r="LV4" s="113"/>
      <c r="LW4" s="113"/>
      <c r="LX4" s="113"/>
      <c r="LY4" s="113"/>
      <c r="LZ4" s="113"/>
      <c r="MA4" s="113"/>
      <c r="MB4" s="113"/>
      <c r="MC4" s="113"/>
      <c r="MD4" s="113"/>
      <c r="ME4" s="113"/>
      <c r="MF4" s="113"/>
      <c r="MG4" s="113"/>
      <c r="MH4" s="113"/>
      <c r="MI4" s="113"/>
      <c r="MJ4" s="113"/>
      <c r="MK4" s="113"/>
      <c r="ML4" s="113"/>
      <c r="MM4" s="113"/>
      <c r="MN4" s="113"/>
      <c r="MO4" s="113"/>
      <c r="MP4" s="113"/>
      <c r="MQ4" s="113"/>
      <c r="MR4" s="113"/>
      <c r="MS4" s="113"/>
      <c r="MT4" s="113"/>
      <c r="MU4" s="113"/>
      <c r="MV4" s="113"/>
      <c r="MW4" s="113"/>
      <c r="MX4" s="113"/>
      <c r="MY4" s="113"/>
      <c r="MZ4" s="113"/>
      <c r="NA4" s="113"/>
      <c r="NB4" s="113"/>
      <c r="NC4" s="113"/>
      <c r="ND4" s="113"/>
      <c r="NE4" s="113"/>
      <c r="NF4" s="113"/>
      <c r="NG4" s="113"/>
      <c r="NH4" s="113"/>
      <c r="NI4" s="113"/>
      <c r="NJ4" s="113"/>
      <c r="NK4" s="113"/>
      <c r="NL4" s="113"/>
      <c r="NM4" s="113"/>
      <c r="NN4" s="113"/>
      <c r="NO4" s="113"/>
      <c r="NP4" s="113"/>
      <c r="NQ4" s="113"/>
      <c r="NR4" s="113"/>
      <c r="NS4" s="113"/>
      <c r="NT4" s="113"/>
      <c r="NU4" s="113"/>
      <c r="NV4" s="113"/>
      <c r="NW4" s="113"/>
      <c r="NX4" s="113"/>
      <c r="NY4" s="113"/>
      <c r="NZ4" s="113"/>
      <c r="OA4" s="113"/>
      <c r="OB4" s="113"/>
      <c r="OC4" s="113"/>
      <c r="OD4" s="113"/>
      <c r="OE4" s="113"/>
      <c r="OF4" s="113"/>
      <c r="OG4" s="113"/>
      <c r="OH4" s="113"/>
      <c r="OI4" s="113"/>
      <c r="OJ4" s="113"/>
      <c r="OK4" s="113"/>
      <c r="OL4" s="113"/>
      <c r="OM4" s="113"/>
      <c r="ON4" s="113"/>
      <c r="OO4" s="113"/>
      <c r="OP4" s="113"/>
      <c r="OQ4" s="113"/>
      <c r="OR4" s="113"/>
      <c r="OS4" s="113"/>
      <c r="OT4" s="113"/>
      <c r="OU4" s="113"/>
      <c r="OV4" s="113"/>
      <c r="OW4" s="113"/>
      <c r="OX4" s="113"/>
      <c r="OY4" s="113"/>
      <c r="OZ4" s="113"/>
      <c r="PA4" s="113"/>
      <c r="PB4" s="113"/>
      <c r="PC4" s="113"/>
      <c r="PD4" s="113"/>
      <c r="PE4" s="113"/>
      <c r="PF4" s="113"/>
      <c r="PG4" s="113"/>
      <c r="PH4" s="113"/>
      <c r="PI4" s="113"/>
      <c r="PJ4" s="113"/>
      <c r="PK4" s="113"/>
      <c r="PL4" s="113"/>
      <c r="PM4" s="113"/>
      <c r="PN4" s="113"/>
      <c r="PO4" s="113"/>
      <c r="PP4" s="113"/>
      <c r="PQ4" s="113"/>
      <c r="PR4" s="113"/>
      <c r="PS4" s="113"/>
      <c r="PT4" s="113"/>
      <c r="PU4" s="113"/>
      <c r="PV4" s="113"/>
      <c r="PW4" s="113"/>
      <c r="PX4" s="113"/>
      <c r="PY4" s="113"/>
      <c r="PZ4" s="113"/>
      <c r="QA4" s="113"/>
      <c r="QB4" s="113"/>
      <c r="QC4" s="113"/>
      <c r="QD4" s="113"/>
      <c r="QE4" s="113"/>
      <c r="QF4" s="113"/>
      <c r="QG4" s="113"/>
      <c r="QH4" s="113"/>
      <c r="QI4" s="113"/>
      <c r="QJ4" s="113"/>
      <c r="QK4" s="113"/>
      <c r="QL4" s="113"/>
      <c r="QM4" s="113"/>
      <c r="QN4" s="113"/>
      <c r="QO4" s="113"/>
      <c r="QP4" s="113"/>
      <c r="QQ4" s="113"/>
      <c r="QR4" s="113"/>
      <c r="QS4" s="113"/>
      <c r="QT4" s="113"/>
      <c r="QU4" s="113"/>
      <c r="QV4" s="113"/>
      <c r="QW4" s="113"/>
      <c r="QX4" s="113"/>
      <c r="QY4" s="113"/>
      <c r="QZ4" s="113"/>
      <c r="RA4" s="113"/>
      <c r="RB4" s="113"/>
      <c r="RC4" s="113"/>
      <c r="RD4" s="113"/>
      <c r="RE4" s="113"/>
      <c r="RF4" s="113"/>
      <c r="RG4" s="113"/>
      <c r="RH4" s="113"/>
      <c r="RI4" s="113"/>
      <c r="RJ4" s="113"/>
      <c r="RK4" s="113"/>
      <c r="RL4" s="113"/>
      <c r="RM4" s="113"/>
      <c r="RN4" s="113"/>
      <c r="RO4" s="113"/>
      <c r="RP4" s="113"/>
      <c r="RQ4" s="113"/>
      <c r="RR4" s="113"/>
      <c r="RS4" s="113"/>
      <c r="RT4" s="113"/>
      <c r="RU4" s="113"/>
      <c r="RV4" s="113"/>
      <c r="RW4" s="113"/>
      <c r="RX4" s="113"/>
      <c r="RY4" s="113"/>
      <c r="RZ4" s="113"/>
      <c r="SA4" s="113"/>
      <c r="SB4" s="113"/>
      <c r="SC4" s="113"/>
      <c r="SD4" s="113"/>
      <c r="SE4" s="113"/>
      <c r="SF4" s="113"/>
      <c r="SG4" s="113"/>
      <c r="SH4" s="113"/>
      <c r="SI4" s="113"/>
      <c r="SJ4" s="113"/>
      <c r="SK4" s="113"/>
      <c r="SL4" s="113"/>
      <c r="SM4" s="113"/>
      <c r="SN4" s="113"/>
      <c r="SO4" s="113"/>
      <c r="SP4" s="113"/>
      <c r="SQ4" s="113"/>
      <c r="SR4" s="113"/>
      <c r="SS4" s="113"/>
      <c r="ST4" s="113"/>
      <c r="SU4" s="113"/>
      <c r="SV4" s="113"/>
      <c r="SW4" s="113"/>
      <c r="SX4" s="113"/>
      <c r="SY4" s="113"/>
      <c r="SZ4" s="113"/>
      <c r="TA4" s="113"/>
      <c r="TB4" s="113"/>
      <c r="TC4" s="113"/>
      <c r="TD4" s="113"/>
      <c r="TE4" s="113"/>
      <c r="TF4" s="113"/>
      <c r="TG4" s="113"/>
      <c r="TH4" s="113"/>
      <c r="TI4" s="113"/>
      <c r="TJ4" s="113"/>
      <c r="TK4" s="113"/>
      <c r="TL4" s="113"/>
      <c r="TM4" s="113"/>
      <c r="TN4" s="113"/>
      <c r="TO4" s="113"/>
      <c r="TP4" s="113"/>
      <c r="TQ4" s="113"/>
      <c r="TR4" s="113"/>
      <c r="TS4" s="113"/>
      <c r="TT4" s="113"/>
      <c r="TU4" s="113"/>
      <c r="TV4" s="113"/>
      <c r="TW4" s="113"/>
      <c r="TX4" s="113"/>
      <c r="TY4" s="113"/>
      <c r="TZ4" s="113"/>
      <c r="UA4" s="113"/>
      <c r="UB4" s="113"/>
      <c r="UC4" s="113"/>
      <c r="UD4" s="113"/>
      <c r="UE4" s="113"/>
      <c r="UF4" s="113"/>
      <c r="UG4" s="113"/>
      <c r="UH4" s="113"/>
      <c r="UI4" s="113"/>
      <c r="UJ4" s="113"/>
      <c r="UK4" s="113"/>
      <c r="UL4" s="113"/>
      <c r="UM4" s="113"/>
      <c r="UN4" s="113"/>
      <c r="UO4" s="113"/>
      <c r="UP4" s="113"/>
      <c r="UQ4" s="113"/>
      <c r="UR4" s="113"/>
      <c r="US4" s="113"/>
      <c r="UT4" s="113"/>
      <c r="UU4" s="113"/>
      <c r="UV4" s="113"/>
      <c r="UW4" s="113"/>
      <c r="UX4" s="113"/>
      <c r="UY4" s="113"/>
      <c r="UZ4" s="113"/>
      <c r="VA4" s="113"/>
      <c r="VB4" s="113"/>
      <c r="VC4" s="113"/>
      <c r="VD4" s="113"/>
      <c r="VE4" s="113"/>
      <c r="VF4" s="113"/>
      <c r="VG4" s="113"/>
      <c r="VH4" s="113"/>
      <c r="VI4" s="113"/>
      <c r="VJ4" s="113"/>
      <c r="VK4" s="113"/>
      <c r="VL4" s="113"/>
      <c r="VM4" s="113"/>
      <c r="VN4" s="113"/>
      <c r="VO4" s="113"/>
      <c r="VP4" s="113"/>
      <c r="VQ4" s="113"/>
      <c r="VR4" s="113"/>
      <c r="VS4" s="113"/>
      <c r="VT4" s="113"/>
      <c r="VU4" s="113"/>
      <c r="VV4" s="113"/>
      <c r="VW4" s="113"/>
      <c r="VX4" s="113"/>
      <c r="VY4" s="113"/>
      <c r="VZ4" s="113"/>
      <c r="WA4" s="113"/>
      <c r="WB4" s="113"/>
      <c r="WC4" s="113"/>
      <c r="WD4" s="113"/>
      <c r="WE4" s="113"/>
      <c r="WF4" s="113"/>
      <c r="WG4" s="113"/>
      <c r="WH4" s="113"/>
      <c r="WI4" s="113"/>
      <c r="WJ4" s="113"/>
      <c r="WK4" s="113"/>
      <c r="WL4" s="113"/>
      <c r="WM4" s="113"/>
      <c r="WN4" s="113"/>
      <c r="WO4" s="113"/>
      <c r="WP4" s="113"/>
      <c r="WQ4" s="113"/>
      <c r="WR4" s="113"/>
      <c r="WS4" s="113"/>
      <c r="WT4" s="113"/>
      <c r="WU4" s="113"/>
      <c r="WV4" s="113"/>
      <c r="WW4" s="113"/>
      <c r="WX4" s="113"/>
      <c r="WY4" s="113"/>
      <c r="WZ4" s="113"/>
      <c r="XA4" s="113"/>
      <c r="XB4" s="113"/>
      <c r="XC4" s="113"/>
      <c r="XD4" s="113"/>
      <c r="XE4" s="113"/>
    </row>
    <row r="5" spans="1:629" ht="13.5" customHeight="1" x14ac:dyDescent="0.2">
      <c r="A5" s="61"/>
      <c r="B5" s="62"/>
      <c r="C5" s="62"/>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62"/>
      <c r="BC5" s="62"/>
      <c r="BD5" s="62"/>
      <c r="BE5" s="62"/>
      <c r="BF5" s="62"/>
      <c r="BG5" s="62"/>
      <c r="BH5" s="62"/>
      <c r="BI5" s="62"/>
      <c r="BJ5" s="62"/>
      <c r="BK5" s="62"/>
      <c r="BL5" s="62"/>
      <c r="BM5" s="62"/>
      <c r="BN5" s="62"/>
      <c r="BO5" s="62"/>
      <c r="BP5" s="62"/>
      <c r="BQ5" s="62"/>
      <c r="BR5" s="62"/>
      <c r="BS5" s="62"/>
      <c r="BT5" s="62"/>
      <c r="BU5" s="62"/>
      <c r="BV5" s="62"/>
      <c r="BW5" s="62"/>
      <c r="BX5" s="62"/>
      <c r="BY5" s="62"/>
      <c r="BZ5" s="62"/>
      <c r="CA5" s="62"/>
      <c r="CB5" s="62"/>
      <c r="CC5" s="62"/>
      <c r="CD5" s="62"/>
      <c r="CE5" s="62"/>
      <c r="CF5" s="62"/>
      <c r="CG5" s="62"/>
      <c r="CH5" s="62"/>
      <c r="CI5" s="62"/>
      <c r="CJ5" s="62"/>
      <c r="CK5" s="62"/>
      <c r="CL5" s="62"/>
      <c r="CM5" s="62"/>
      <c r="CN5" s="62"/>
      <c r="CO5" s="63"/>
    </row>
    <row r="6" spans="1:629" x14ac:dyDescent="0.2">
      <c r="A6" s="64"/>
      <c r="B6" s="65"/>
      <c r="C6" s="62"/>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6"/>
    </row>
    <row r="7" spans="1:629" x14ac:dyDescent="0.2">
      <c r="A7" s="61"/>
      <c r="B7" s="62"/>
      <c r="C7" s="62"/>
      <c r="D7" s="91"/>
      <c r="E7" s="91"/>
      <c r="F7" s="91"/>
      <c r="G7" s="91"/>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3"/>
    </row>
    <row r="8" spans="1:629" x14ac:dyDescent="0.2">
      <c r="A8" s="64"/>
      <c r="B8" s="65"/>
      <c r="C8" s="62"/>
      <c r="D8" s="91"/>
      <c r="E8" s="91"/>
      <c r="F8" s="91"/>
      <c r="G8" s="91"/>
      <c r="H8" s="91"/>
      <c r="I8" s="91"/>
      <c r="J8" s="91"/>
      <c r="K8" s="91"/>
      <c r="L8" s="91"/>
      <c r="M8" s="91"/>
      <c r="N8" s="91"/>
      <c r="O8" s="91"/>
      <c r="P8" s="91"/>
      <c r="Q8" s="91"/>
      <c r="R8" s="91"/>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6"/>
    </row>
    <row r="9" spans="1:629" x14ac:dyDescent="0.2">
      <c r="A9" s="61"/>
      <c r="B9" s="62"/>
      <c r="C9" s="62"/>
      <c r="D9" s="91"/>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62"/>
      <c r="BC9" s="62"/>
      <c r="BD9" s="62"/>
      <c r="BE9" s="62"/>
      <c r="BF9" s="62"/>
      <c r="BG9" s="62"/>
      <c r="BH9" s="62"/>
      <c r="BI9" s="62"/>
      <c r="BJ9" s="62"/>
      <c r="BK9" s="62"/>
      <c r="BL9" s="62"/>
      <c r="BM9" s="62"/>
      <c r="BN9" s="62"/>
      <c r="BO9" s="62"/>
      <c r="BP9" s="62"/>
      <c r="BQ9" s="62"/>
      <c r="BR9" s="62"/>
      <c r="BS9" s="62"/>
      <c r="BT9" s="62"/>
      <c r="BU9" s="62"/>
      <c r="BV9" s="62"/>
      <c r="BW9" s="62"/>
      <c r="BX9" s="62"/>
      <c r="BY9" s="62"/>
      <c r="BZ9" s="62"/>
      <c r="CA9" s="62"/>
      <c r="CB9" s="62"/>
      <c r="CC9" s="62"/>
      <c r="CD9" s="62"/>
      <c r="CE9" s="62"/>
      <c r="CF9" s="62"/>
      <c r="CG9" s="62"/>
      <c r="CH9" s="62"/>
      <c r="CI9" s="62"/>
      <c r="CJ9" s="62"/>
      <c r="CK9" s="62"/>
      <c r="CL9" s="62"/>
      <c r="CM9" s="62"/>
      <c r="CN9" s="62"/>
      <c r="CO9" s="63"/>
    </row>
    <row r="10" spans="1:629" x14ac:dyDescent="0.2">
      <c r="A10" s="64"/>
      <c r="B10" s="65"/>
      <c r="C10" s="62"/>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6"/>
    </row>
    <row r="11" spans="1:629" x14ac:dyDescent="0.2">
      <c r="A11" s="61"/>
      <c r="B11" s="62"/>
      <c r="C11" s="62"/>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62"/>
      <c r="BC11" s="62"/>
      <c r="BD11" s="62"/>
      <c r="BE11" s="62"/>
      <c r="BF11" s="62"/>
      <c r="BG11" s="62"/>
      <c r="BH11" s="62"/>
      <c r="BI11" s="62"/>
      <c r="BJ11" s="62"/>
      <c r="BK11" s="62"/>
      <c r="BL11" s="62"/>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3"/>
    </row>
    <row r="12" spans="1:629" x14ac:dyDescent="0.2">
      <c r="A12" s="64"/>
      <c r="B12" s="65"/>
      <c r="C12" s="62"/>
      <c r="D12" s="91"/>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65"/>
      <c r="BC12" s="65"/>
      <c r="BD12" s="65"/>
      <c r="BE12" s="65"/>
      <c r="BF12" s="65"/>
      <c r="BG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6"/>
    </row>
    <row r="13" spans="1:629" x14ac:dyDescent="0.2">
      <c r="A13" s="61"/>
      <c r="B13" s="62"/>
      <c r="C13" s="62"/>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62"/>
      <c r="BC13" s="62"/>
      <c r="BD13" s="62"/>
      <c r="BE13" s="62"/>
      <c r="BF13" s="62"/>
      <c r="BG13" s="62"/>
      <c r="BH13" s="62"/>
      <c r="BI13" s="62"/>
      <c r="BJ13" s="62"/>
      <c r="BK13" s="62"/>
      <c r="BL13" s="62"/>
      <c r="BM13" s="62"/>
      <c r="BN13" s="62"/>
      <c r="BO13" s="62"/>
      <c r="BP13" s="62"/>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3"/>
    </row>
    <row r="14" spans="1:629" x14ac:dyDescent="0.2">
      <c r="A14" s="64"/>
      <c r="B14" s="65"/>
      <c r="C14" s="62"/>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65"/>
      <c r="BC14" s="65"/>
      <c r="BD14" s="65"/>
      <c r="BE14" s="65"/>
      <c r="BF14" s="65"/>
      <c r="BG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6"/>
    </row>
    <row r="15" spans="1:629" x14ac:dyDescent="0.2">
      <c r="A15" s="61"/>
      <c r="B15" s="62"/>
      <c r="C15" s="62"/>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62"/>
      <c r="BC15" s="62"/>
      <c r="BD15" s="62"/>
      <c r="BE15" s="62"/>
      <c r="BF15" s="62"/>
      <c r="BG15" s="62"/>
      <c r="BH15" s="62"/>
      <c r="BI15" s="62"/>
      <c r="BJ15" s="62"/>
      <c r="BK15" s="62"/>
      <c r="BL15" s="62"/>
      <c r="BM15" s="62"/>
      <c r="BN15" s="62"/>
      <c r="BO15" s="62"/>
      <c r="BP15" s="62"/>
      <c r="BQ15" s="62"/>
      <c r="BR15" s="62"/>
      <c r="BS15" s="62"/>
      <c r="BT15" s="62"/>
      <c r="BU15" s="62"/>
      <c r="BV15" s="62"/>
      <c r="BW15" s="62"/>
      <c r="BX15" s="62"/>
      <c r="BY15" s="62"/>
      <c r="BZ15" s="62"/>
      <c r="CA15" s="62"/>
      <c r="CB15" s="62"/>
      <c r="CC15" s="62"/>
      <c r="CD15" s="62"/>
      <c r="CE15" s="62"/>
      <c r="CF15" s="62"/>
      <c r="CG15" s="62"/>
      <c r="CH15" s="62"/>
      <c r="CI15" s="62"/>
      <c r="CJ15" s="62"/>
      <c r="CK15" s="62"/>
      <c r="CL15" s="62"/>
      <c r="CM15" s="62"/>
      <c r="CN15" s="62"/>
      <c r="CO15" s="63"/>
    </row>
    <row r="16" spans="1:629" x14ac:dyDescent="0.2">
      <c r="A16" s="64"/>
      <c r="B16" s="65"/>
      <c r="C16" s="62"/>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65"/>
      <c r="BC16" s="65"/>
      <c r="BD16" s="65"/>
      <c r="BE16" s="65"/>
      <c r="BF16" s="65"/>
      <c r="BG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6"/>
    </row>
    <row r="17" spans="1:93" x14ac:dyDescent="0.2">
      <c r="A17" s="61"/>
      <c r="B17" s="62"/>
      <c r="C17" s="62"/>
      <c r="D17" s="91"/>
      <c r="E17" s="91"/>
      <c r="F17" s="91"/>
      <c r="G17" s="91"/>
      <c r="H17" s="91"/>
      <c r="I17" s="91"/>
      <c r="J17" s="91"/>
      <c r="K17" s="91"/>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62"/>
      <c r="BC17" s="62"/>
      <c r="BD17" s="62"/>
      <c r="BE17" s="62"/>
      <c r="BF17" s="62"/>
      <c r="BG17" s="62"/>
      <c r="BH17" s="62"/>
      <c r="BI17" s="62"/>
      <c r="BJ17" s="62"/>
      <c r="BK17" s="62"/>
      <c r="BL17" s="62"/>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2"/>
      <c r="CL17" s="62"/>
      <c r="CM17" s="62"/>
      <c r="CN17" s="62"/>
      <c r="CO17" s="63"/>
    </row>
    <row r="18" spans="1:93" x14ac:dyDescent="0.2">
      <c r="A18" s="64"/>
      <c r="B18" s="65"/>
      <c r="C18" s="62"/>
      <c r="D18" s="91"/>
      <c r="E18" s="91"/>
      <c r="F18" s="91"/>
      <c r="G18" s="91"/>
      <c r="H18" s="91"/>
      <c r="I18" s="91"/>
      <c r="J18" s="91"/>
      <c r="K18" s="91"/>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6"/>
    </row>
    <row r="19" spans="1:93" x14ac:dyDescent="0.2">
      <c r="A19" s="61"/>
      <c r="B19" s="62"/>
      <c r="C19" s="62"/>
      <c r="D19" s="91"/>
      <c r="E19" s="91"/>
      <c r="F19" s="91"/>
      <c r="G19" s="91"/>
      <c r="H19" s="91"/>
      <c r="I19" s="91"/>
      <c r="J19" s="91"/>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3"/>
    </row>
    <row r="20" spans="1:93" x14ac:dyDescent="0.2">
      <c r="A20" s="64"/>
      <c r="B20" s="65"/>
      <c r="C20" s="62"/>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65"/>
      <c r="BC20" s="65"/>
      <c r="BD20" s="65"/>
      <c r="BE20" s="65"/>
      <c r="BF20" s="65"/>
      <c r="BG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6"/>
    </row>
    <row r="21" spans="1:93" x14ac:dyDescent="0.2">
      <c r="A21" s="61"/>
      <c r="B21" s="62"/>
      <c r="C21" s="62"/>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62"/>
      <c r="BC21" s="62"/>
      <c r="BD21" s="62"/>
      <c r="BE21" s="62"/>
      <c r="BF21" s="62"/>
      <c r="BG21" s="62"/>
      <c r="BH21" s="62"/>
      <c r="BI21" s="62"/>
      <c r="BJ21" s="62"/>
      <c r="BK21" s="62"/>
      <c r="BL21" s="62"/>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2"/>
      <c r="CL21" s="62"/>
      <c r="CM21" s="62"/>
      <c r="CN21" s="62"/>
      <c r="CO21" s="63"/>
    </row>
    <row r="22" spans="1:93" x14ac:dyDescent="0.2">
      <c r="A22" s="64"/>
      <c r="B22" s="65"/>
      <c r="C22" s="62"/>
      <c r="D22" s="91"/>
      <c r="E22" s="91"/>
      <c r="F22" s="91"/>
      <c r="G22" s="91"/>
      <c r="H22" s="91"/>
      <c r="I22" s="91"/>
      <c r="J22" s="91"/>
      <c r="K22" s="91"/>
      <c r="L22" s="91"/>
      <c r="M22" s="91"/>
      <c r="N22" s="91"/>
      <c r="O22" s="91"/>
      <c r="P22" s="91"/>
      <c r="Q22" s="9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6"/>
    </row>
    <row r="23" spans="1:93" x14ac:dyDescent="0.2">
      <c r="A23" s="61"/>
      <c r="B23" s="62"/>
      <c r="C23" s="62"/>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62"/>
      <c r="BC23" s="62"/>
      <c r="BD23" s="62"/>
      <c r="BE23" s="62"/>
      <c r="BF23" s="62"/>
      <c r="BG23" s="62"/>
      <c r="BH23" s="62"/>
      <c r="BI23" s="62"/>
      <c r="BJ23" s="62"/>
      <c r="BK23" s="62"/>
      <c r="BL23" s="62"/>
      <c r="BM23" s="62"/>
      <c r="BN23" s="62"/>
      <c r="BO23" s="62"/>
      <c r="BP23" s="62"/>
      <c r="BQ23" s="62"/>
      <c r="BR23" s="62"/>
      <c r="BS23" s="62"/>
      <c r="BT23" s="62"/>
      <c r="BU23" s="62"/>
      <c r="BV23" s="62"/>
      <c r="BW23" s="62"/>
      <c r="BX23" s="62"/>
      <c r="BY23" s="62"/>
      <c r="BZ23" s="62"/>
      <c r="CA23" s="62"/>
      <c r="CB23" s="62"/>
      <c r="CC23" s="62"/>
      <c r="CD23" s="62"/>
      <c r="CE23" s="62"/>
      <c r="CF23" s="62"/>
      <c r="CG23" s="62"/>
      <c r="CH23" s="62"/>
      <c r="CI23" s="62"/>
      <c r="CJ23" s="62"/>
      <c r="CK23" s="62"/>
      <c r="CL23" s="62"/>
      <c r="CM23" s="62"/>
      <c r="CN23" s="62"/>
      <c r="CO23" s="63"/>
    </row>
    <row r="24" spans="1:93" x14ac:dyDescent="0.2">
      <c r="A24" s="64"/>
      <c r="B24" s="65"/>
      <c r="C24" s="62"/>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6"/>
    </row>
    <row r="25" spans="1:93" x14ac:dyDescent="0.2">
      <c r="A25" s="61"/>
      <c r="B25" s="62"/>
      <c r="C25" s="62"/>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62"/>
      <c r="BC25" s="62"/>
      <c r="BD25" s="62"/>
      <c r="BE25" s="62"/>
      <c r="BF25" s="62"/>
      <c r="BG25" s="62"/>
      <c r="BH25" s="62"/>
      <c r="BI25" s="62"/>
      <c r="BJ25" s="62"/>
      <c r="BK25" s="62"/>
      <c r="BL25" s="62"/>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2"/>
      <c r="CL25" s="62"/>
      <c r="CM25" s="62"/>
      <c r="CN25" s="62"/>
      <c r="CO25" s="63"/>
    </row>
    <row r="26" spans="1:93" x14ac:dyDescent="0.2">
      <c r="A26" s="64"/>
      <c r="B26" s="65"/>
      <c r="C26" s="62"/>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65"/>
      <c r="BC26" s="65"/>
      <c r="BD26" s="65"/>
      <c r="BE26" s="65"/>
      <c r="BF26" s="65"/>
      <c r="BG26" s="65"/>
      <c r="BH26" s="65"/>
      <c r="BI26" s="65"/>
      <c r="BJ26" s="65"/>
      <c r="BK26" s="65"/>
      <c r="BL26" s="65"/>
      <c r="BM26" s="65"/>
      <c r="BN26" s="65"/>
      <c r="BO26" s="65"/>
      <c r="BP26" s="65"/>
      <c r="BQ26" s="65"/>
      <c r="BR26" s="65"/>
      <c r="BS26" s="65"/>
      <c r="BT26" s="65"/>
      <c r="BU26" s="65"/>
      <c r="BV26" s="65"/>
      <c r="BW26" s="65"/>
      <c r="BX26" s="65"/>
      <c r="BY26" s="65"/>
      <c r="BZ26" s="65"/>
      <c r="CA26" s="65"/>
      <c r="CB26" s="65"/>
      <c r="CC26" s="65"/>
      <c r="CD26" s="65"/>
      <c r="CE26" s="65"/>
      <c r="CF26" s="65"/>
      <c r="CG26" s="65"/>
      <c r="CH26" s="65"/>
      <c r="CI26" s="65"/>
      <c r="CJ26" s="65"/>
      <c r="CK26" s="65"/>
      <c r="CL26" s="65"/>
      <c r="CM26" s="65"/>
      <c r="CN26" s="65"/>
      <c r="CO26" s="66"/>
    </row>
    <row r="27" spans="1:93" x14ac:dyDescent="0.2">
      <c r="A27" s="61"/>
      <c r="B27" s="62"/>
      <c r="C27" s="62"/>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3"/>
    </row>
    <row r="28" spans="1:93" x14ac:dyDescent="0.2">
      <c r="A28" s="64"/>
      <c r="B28" s="65"/>
      <c r="C28" s="62"/>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65"/>
      <c r="BC28" s="65"/>
      <c r="BD28" s="65"/>
      <c r="BE28" s="65"/>
      <c r="BF28" s="65"/>
      <c r="BG28" s="65"/>
      <c r="BH28" s="65"/>
      <c r="BI28" s="65"/>
      <c r="BJ28" s="65"/>
      <c r="BK28" s="65"/>
      <c r="BL28" s="65"/>
      <c r="BM28" s="65"/>
      <c r="BN28" s="65"/>
      <c r="BO28" s="65"/>
      <c r="BP28" s="65"/>
      <c r="BQ28" s="65"/>
      <c r="BR28" s="65"/>
      <c r="BS28" s="65"/>
      <c r="BT28" s="65"/>
      <c r="BU28" s="65"/>
      <c r="BV28" s="65"/>
      <c r="BW28" s="65"/>
      <c r="BX28" s="65"/>
      <c r="BY28" s="65"/>
      <c r="BZ28" s="65"/>
      <c r="CA28" s="65"/>
      <c r="CB28" s="65"/>
      <c r="CC28" s="65"/>
      <c r="CD28" s="65"/>
      <c r="CE28" s="65"/>
      <c r="CF28" s="65"/>
      <c r="CG28" s="65"/>
      <c r="CH28" s="65"/>
      <c r="CI28" s="65"/>
      <c r="CJ28" s="65"/>
      <c r="CK28" s="65"/>
      <c r="CL28" s="65"/>
      <c r="CM28" s="65"/>
      <c r="CN28" s="65"/>
      <c r="CO28" s="66"/>
    </row>
    <row r="29" spans="1:93" x14ac:dyDescent="0.2">
      <c r="A29" s="61"/>
      <c r="B29" s="62"/>
      <c r="C29" s="62"/>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3"/>
    </row>
    <row r="30" spans="1:93" x14ac:dyDescent="0.2">
      <c r="A30" s="64"/>
      <c r="B30" s="65"/>
      <c r="C30" s="62"/>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65"/>
      <c r="BC30" s="65"/>
      <c r="BD30" s="65"/>
      <c r="BE30" s="65"/>
      <c r="BF30" s="65"/>
      <c r="BG30" s="65"/>
      <c r="BH30" s="65"/>
      <c r="BI30" s="65"/>
      <c r="BJ30" s="65"/>
      <c r="BK30" s="65"/>
      <c r="BL30" s="65"/>
      <c r="BM30" s="65"/>
      <c r="BN30" s="65"/>
      <c r="BO30" s="65"/>
      <c r="BP30" s="65"/>
      <c r="BQ30" s="65"/>
      <c r="BR30" s="65"/>
      <c r="BS30" s="65"/>
      <c r="BT30" s="65"/>
      <c r="BU30" s="65"/>
      <c r="BV30" s="65"/>
      <c r="BW30" s="65"/>
      <c r="BX30" s="65"/>
      <c r="BY30" s="65"/>
      <c r="BZ30" s="65"/>
      <c r="CA30" s="65"/>
      <c r="CB30" s="65"/>
      <c r="CC30" s="65"/>
      <c r="CD30" s="65"/>
      <c r="CE30" s="65"/>
      <c r="CF30" s="65"/>
      <c r="CG30" s="65"/>
      <c r="CH30" s="65"/>
      <c r="CI30" s="65"/>
      <c r="CJ30" s="65"/>
      <c r="CK30" s="65"/>
      <c r="CL30" s="65"/>
      <c r="CM30" s="65"/>
      <c r="CN30" s="65"/>
      <c r="CO30" s="66"/>
    </row>
    <row r="31" spans="1:93" x14ac:dyDescent="0.2">
      <c r="A31" s="61"/>
      <c r="B31" s="62"/>
      <c r="C31" s="62"/>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62"/>
      <c r="BC31" s="62"/>
      <c r="BD31" s="62"/>
      <c r="BE31" s="62"/>
      <c r="BF31" s="62"/>
      <c r="BG31" s="62"/>
      <c r="BH31" s="62"/>
      <c r="BI31" s="62"/>
      <c r="BJ31" s="62"/>
      <c r="BK31" s="62"/>
      <c r="BL31" s="62"/>
      <c r="BM31" s="62"/>
      <c r="BN31" s="62"/>
      <c r="BO31" s="62"/>
      <c r="BP31" s="62"/>
      <c r="BQ31" s="62"/>
      <c r="BR31" s="62"/>
      <c r="BS31" s="62"/>
      <c r="BT31" s="62"/>
      <c r="BU31" s="62"/>
      <c r="BV31" s="62"/>
      <c r="BW31" s="62"/>
      <c r="BX31" s="62"/>
      <c r="BY31" s="62"/>
      <c r="BZ31" s="62"/>
      <c r="CA31" s="62"/>
      <c r="CB31" s="62"/>
      <c r="CC31" s="62"/>
      <c r="CD31" s="62"/>
      <c r="CE31" s="62"/>
      <c r="CF31" s="62"/>
      <c r="CG31" s="62"/>
      <c r="CH31" s="62"/>
      <c r="CI31" s="62"/>
      <c r="CJ31" s="62"/>
      <c r="CK31" s="62"/>
      <c r="CL31" s="62"/>
      <c r="CM31" s="62"/>
      <c r="CN31" s="62"/>
      <c r="CO31" s="63"/>
    </row>
    <row r="32" spans="1:93" x14ac:dyDescent="0.2">
      <c r="A32" s="64"/>
      <c r="B32" s="65"/>
      <c r="C32" s="62"/>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65"/>
      <c r="BC32" s="65"/>
      <c r="BD32" s="65"/>
      <c r="BE32" s="65"/>
      <c r="BF32" s="65"/>
      <c r="BG32" s="65"/>
      <c r="BH32" s="65"/>
      <c r="BI32" s="65"/>
      <c r="BJ32" s="65"/>
      <c r="BK32" s="65"/>
      <c r="BL32" s="65"/>
      <c r="BM32" s="65"/>
      <c r="BN32" s="65"/>
      <c r="BO32" s="65"/>
      <c r="BP32" s="65"/>
      <c r="BQ32" s="65"/>
      <c r="BR32" s="65"/>
      <c r="BS32" s="65"/>
      <c r="BT32" s="65"/>
      <c r="BU32" s="65"/>
      <c r="BV32" s="65"/>
      <c r="BW32" s="65"/>
      <c r="BX32" s="65"/>
      <c r="BY32" s="65"/>
      <c r="BZ32" s="65"/>
      <c r="CA32" s="65"/>
      <c r="CB32" s="65"/>
      <c r="CC32" s="65"/>
      <c r="CD32" s="65"/>
      <c r="CE32" s="65"/>
      <c r="CF32" s="65"/>
      <c r="CG32" s="65"/>
      <c r="CH32" s="65"/>
      <c r="CI32" s="65"/>
      <c r="CJ32" s="65"/>
      <c r="CK32" s="65"/>
      <c r="CL32" s="65"/>
      <c r="CM32" s="65"/>
      <c r="CN32" s="65"/>
      <c r="CO32" s="66"/>
    </row>
    <row r="33" spans="1:93" x14ac:dyDescent="0.2">
      <c r="A33" s="61"/>
      <c r="B33" s="62"/>
      <c r="C33" s="62"/>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62"/>
      <c r="BC33" s="62"/>
      <c r="BD33" s="62"/>
      <c r="BE33" s="62"/>
      <c r="BF33" s="62"/>
      <c r="BG33" s="62"/>
      <c r="BH33" s="62"/>
      <c r="BI33" s="62"/>
      <c r="BJ33" s="62"/>
      <c r="BK33" s="62"/>
      <c r="BL33" s="62"/>
      <c r="BM33" s="62"/>
      <c r="BN33" s="62"/>
      <c r="BO33" s="62"/>
      <c r="BP33" s="62"/>
      <c r="BQ33" s="62"/>
      <c r="BR33" s="62"/>
      <c r="BS33" s="62"/>
      <c r="BT33" s="62"/>
      <c r="BU33" s="62"/>
      <c r="BV33" s="62"/>
      <c r="BW33" s="62"/>
      <c r="BX33" s="62"/>
      <c r="BY33" s="62"/>
      <c r="BZ33" s="62"/>
      <c r="CA33" s="62"/>
      <c r="CB33" s="62"/>
      <c r="CC33" s="62"/>
      <c r="CD33" s="62"/>
      <c r="CE33" s="62"/>
      <c r="CF33" s="62"/>
      <c r="CG33" s="62"/>
      <c r="CH33" s="62"/>
      <c r="CI33" s="62"/>
      <c r="CJ33" s="62"/>
      <c r="CK33" s="62"/>
      <c r="CL33" s="62"/>
      <c r="CM33" s="62"/>
      <c r="CN33" s="62"/>
      <c r="CO33" s="63"/>
    </row>
    <row r="34" spans="1:93" x14ac:dyDescent="0.2">
      <c r="A34" s="64"/>
      <c r="B34" s="65"/>
      <c r="C34" s="62"/>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65"/>
      <c r="CC34" s="65"/>
      <c r="CD34" s="65"/>
      <c r="CE34" s="65"/>
      <c r="CF34" s="65"/>
      <c r="CG34" s="65"/>
      <c r="CH34" s="65"/>
      <c r="CI34" s="65"/>
      <c r="CJ34" s="65"/>
      <c r="CK34" s="65"/>
      <c r="CL34" s="65"/>
      <c r="CM34" s="65"/>
      <c r="CN34" s="65"/>
      <c r="CO34" s="66"/>
    </row>
    <row r="35" spans="1:93" x14ac:dyDescent="0.2">
      <c r="A35" s="61"/>
      <c r="B35" s="62"/>
      <c r="C35" s="62"/>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62"/>
      <c r="BC35" s="62"/>
      <c r="BD35" s="62"/>
      <c r="BE35" s="62"/>
      <c r="BF35" s="62"/>
      <c r="BG35" s="62"/>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2"/>
      <c r="CF35" s="62"/>
      <c r="CG35" s="62"/>
      <c r="CH35" s="62"/>
      <c r="CI35" s="62"/>
      <c r="CJ35" s="62"/>
      <c r="CK35" s="62"/>
      <c r="CL35" s="62"/>
      <c r="CM35" s="62"/>
      <c r="CN35" s="62"/>
      <c r="CO35" s="63"/>
    </row>
    <row r="36" spans="1:93" x14ac:dyDescent="0.2">
      <c r="A36" s="64"/>
      <c r="B36" s="65"/>
      <c r="C36" s="62"/>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65"/>
      <c r="BC36" s="65"/>
      <c r="BD36" s="65"/>
      <c r="BE36" s="65"/>
      <c r="BF36" s="65"/>
      <c r="BG36" s="65"/>
      <c r="BH36" s="65"/>
      <c r="BI36" s="65"/>
      <c r="BJ36" s="65"/>
      <c r="BK36" s="65"/>
      <c r="BL36" s="65"/>
      <c r="BM36" s="65"/>
      <c r="BN36" s="65"/>
      <c r="BO36" s="65"/>
      <c r="BP36" s="65"/>
      <c r="BQ36" s="65"/>
      <c r="BR36" s="65"/>
      <c r="BS36" s="65"/>
      <c r="BT36" s="65"/>
      <c r="BU36" s="65"/>
      <c r="BV36" s="65"/>
      <c r="BW36" s="65"/>
      <c r="BX36" s="65"/>
      <c r="BY36" s="65"/>
      <c r="BZ36" s="65"/>
      <c r="CA36" s="65"/>
      <c r="CB36" s="65"/>
      <c r="CC36" s="65"/>
      <c r="CD36" s="65"/>
      <c r="CE36" s="65"/>
      <c r="CF36" s="65"/>
      <c r="CG36" s="65"/>
      <c r="CH36" s="65"/>
      <c r="CI36" s="65"/>
      <c r="CJ36" s="65"/>
      <c r="CK36" s="65"/>
      <c r="CL36" s="65"/>
      <c r="CM36" s="65"/>
      <c r="CN36" s="65"/>
      <c r="CO36" s="66"/>
    </row>
    <row r="37" spans="1:93" x14ac:dyDescent="0.2">
      <c r="A37" s="61"/>
      <c r="B37" s="62"/>
      <c r="C37" s="62"/>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3"/>
    </row>
    <row r="38" spans="1:93" x14ac:dyDescent="0.2">
      <c r="A38" s="64"/>
      <c r="B38" s="65"/>
      <c r="C38" s="62"/>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65"/>
      <c r="BC38" s="65"/>
      <c r="BD38" s="65"/>
      <c r="BE38" s="65"/>
      <c r="BF38" s="65"/>
      <c r="BG38" s="65"/>
      <c r="BH38" s="65"/>
      <c r="BI38" s="65"/>
      <c r="BJ38" s="65"/>
      <c r="BK38" s="65"/>
      <c r="BL38" s="65"/>
      <c r="BM38" s="65"/>
      <c r="BN38" s="65"/>
      <c r="BO38" s="65"/>
      <c r="BP38" s="65"/>
      <c r="BQ38" s="65"/>
      <c r="BR38" s="65"/>
      <c r="BS38" s="65"/>
      <c r="BT38" s="65"/>
      <c r="BU38" s="65"/>
      <c r="BV38" s="65"/>
      <c r="BW38" s="65"/>
      <c r="BX38" s="65"/>
      <c r="BY38" s="65"/>
      <c r="BZ38" s="65"/>
      <c r="CA38" s="65"/>
      <c r="CB38" s="65"/>
      <c r="CC38" s="65"/>
      <c r="CD38" s="65"/>
      <c r="CE38" s="65"/>
      <c r="CF38" s="65"/>
      <c r="CG38" s="65"/>
      <c r="CH38" s="65"/>
      <c r="CI38" s="65"/>
      <c r="CJ38" s="65"/>
      <c r="CK38" s="65"/>
      <c r="CL38" s="65"/>
      <c r="CM38" s="65"/>
      <c r="CN38" s="65"/>
      <c r="CO38" s="66"/>
    </row>
    <row r="39" spans="1:93" x14ac:dyDescent="0.2">
      <c r="A39" s="61"/>
      <c r="B39" s="62"/>
      <c r="C39" s="62"/>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62"/>
      <c r="BC39" s="62"/>
      <c r="BD39" s="62"/>
      <c r="BE39" s="62"/>
      <c r="BF39" s="62"/>
      <c r="BG39" s="62"/>
      <c r="BH39" s="62"/>
      <c r="BI39" s="62"/>
      <c r="BJ39" s="62"/>
      <c r="BK39" s="62"/>
      <c r="BL39" s="62"/>
      <c r="BM39" s="62"/>
      <c r="BN39" s="62"/>
      <c r="BO39" s="62"/>
      <c r="BP39" s="62"/>
      <c r="BQ39" s="62"/>
      <c r="BR39" s="62"/>
      <c r="BS39" s="62"/>
      <c r="BT39" s="62"/>
      <c r="BU39" s="62"/>
      <c r="BV39" s="62"/>
      <c r="BW39" s="62"/>
      <c r="BX39" s="62"/>
      <c r="BY39" s="62"/>
      <c r="BZ39" s="62"/>
      <c r="CA39" s="62"/>
      <c r="CB39" s="62"/>
      <c r="CC39" s="62"/>
      <c r="CD39" s="62"/>
      <c r="CE39" s="62"/>
      <c r="CF39" s="62"/>
      <c r="CG39" s="62"/>
      <c r="CH39" s="62"/>
      <c r="CI39" s="62"/>
      <c r="CJ39" s="62"/>
      <c r="CK39" s="62"/>
      <c r="CL39" s="62"/>
      <c r="CM39" s="62"/>
      <c r="CN39" s="62"/>
      <c r="CO39" s="63"/>
    </row>
    <row r="40" spans="1:93" x14ac:dyDescent="0.2">
      <c r="A40" s="64"/>
      <c r="B40" s="65"/>
      <c r="C40" s="62"/>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65"/>
      <c r="BC40" s="65"/>
      <c r="BD40" s="65"/>
      <c r="BE40" s="65"/>
      <c r="BF40" s="65"/>
      <c r="BG40" s="65"/>
      <c r="BH40" s="65"/>
      <c r="BI40" s="65"/>
      <c r="BJ40" s="65"/>
      <c r="BK40" s="65"/>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6"/>
    </row>
    <row r="41" spans="1:93" x14ac:dyDescent="0.2">
      <c r="A41" s="61"/>
      <c r="B41" s="62"/>
      <c r="C41" s="62"/>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62"/>
      <c r="BC41" s="62"/>
      <c r="BD41" s="62"/>
      <c r="BE41" s="62"/>
      <c r="BF41" s="62"/>
      <c r="BG41" s="62"/>
      <c r="BH41" s="62"/>
      <c r="BI41" s="62"/>
      <c r="BJ41" s="62"/>
      <c r="BK41" s="62"/>
      <c r="BL41" s="62"/>
      <c r="BM41" s="62"/>
      <c r="BN41" s="62"/>
      <c r="BO41" s="62"/>
      <c r="BP41" s="62"/>
      <c r="BQ41" s="62"/>
      <c r="BR41" s="62"/>
      <c r="BS41" s="62"/>
      <c r="BT41" s="62"/>
      <c r="BU41" s="62"/>
      <c r="BV41" s="62"/>
      <c r="BW41" s="62"/>
      <c r="BX41" s="62"/>
      <c r="BY41" s="62"/>
      <c r="BZ41" s="62"/>
      <c r="CA41" s="62"/>
      <c r="CB41" s="62"/>
      <c r="CC41" s="62"/>
      <c r="CD41" s="62"/>
      <c r="CE41" s="62"/>
      <c r="CF41" s="62"/>
      <c r="CG41" s="62"/>
      <c r="CH41" s="62"/>
      <c r="CI41" s="62"/>
      <c r="CJ41" s="62"/>
      <c r="CK41" s="62"/>
      <c r="CL41" s="62"/>
      <c r="CM41" s="62"/>
      <c r="CN41" s="62"/>
      <c r="CO41" s="63"/>
    </row>
    <row r="42" spans="1:93" x14ac:dyDescent="0.2">
      <c r="A42" s="64"/>
      <c r="B42" s="65"/>
      <c r="C42" s="62"/>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65"/>
      <c r="BC42" s="65"/>
      <c r="BD42" s="65"/>
      <c r="BE42" s="65"/>
      <c r="BF42" s="65"/>
      <c r="BG42" s="65"/>
      <c r="BH42" s="65"/>
      <c r="BI42" s="65"/>
      <c r="BJ42" s="65"/>
      <c r="BK42" s="65"/>
      <c r="BL42" s="65"/>
      <c r="BM42" s="65"/>
      <c r="BN42" s="65"/>
      <c r="BO42" s="65"/>
      <c r="BP42" s="65"/>
      <c r="BQ42" s="65"/>
      <c r="BR42" s="65"/>
      <c r="BS42" s="65"/>
      <c r="BT42" s="65"/>
      <c r="BU42" s="65"/>
      <c r="BV42" s="65"/>
      <c r="BW42" s="65"/>
      <c r="BX42" s="65"/>
      <c r="BY42" s="65"/>
      <c r="BZ42" s="65"/>
      <c r="CA42" s="65"/>
      <c r="CB42" s="65"/>
      <c r="CC42" s="65"/>
      <c r="CD42" s="65"/>
      <c r="CE42" s="65"/>
      <c r="CF42" s="65"/>
      <c r="CG42" s="65"/>
      <c r="CH42" s="65"/>
      <c r="CI42" s="65"/>
      <c r="CJ42" s="65"/>
      <c r="CK42" s="65"/>
      <c r="CL42" s="65"/>
      <c r="CM42" s="65"/>
      <c r="CN42" s="65"/>
      <c r="CO42" s="66"/>
    </row>
    <row r="43" spans="1:93" x14ac:dyDescent="0.2">
      <c r="A43" s="61"/>
      <c r="B43" s="62"/>
      <c r="C43" s="62"/>
      <c r="D43" s="91"/>
      <c r="E43" s="91"/>
      <c r="F43" s="91"/>
      <c r="G43" s="91"/>
      <c r="H43" s="91"/>
      <c r="I43" s="91"/>
      <c r="J43" s="91"/>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91"/>
      <c r="BA43" s="91"/>
      <c r="BB43" s="62"/>
      <c r="BC43" s="62"/>
      <c r="BD43" s="62"/>
      <c r="BE43" s="62"/>
      <c r="BF43" s="62"/>
      <c r="BG43" s="62"/>
      <c r="BH43" s="62"/>
      <c r="BI43" s="62"/>
      <c r="BJ43" s="62"/>
      <c r="BK43" s="62"/>
      <c r="BL43" s="62"/>
      <c r="BM43" s="62"/>
      <c r="BN43" s="62"/>
      <c r="BO43" s="62"/>
      <c r="BP43" s="62"/>
      <c r="BQ43" s="62"/>
      <c r="BR43" s="62"/>
      <c r="BS43" s="62"/>
      <c r="BT43" s="62"/>
      <c r="BU43" s="62"/>
      <c r="BV43" s="62"/>
      <c r="BW43" s="62"/>
      <c r="BX43" s="62"/>
      <c r="BY43" s="62"/>
      <c r="BZ43" s="62"/>
      <c r="CA43" s="62"/>
      <c r="CB43" s="62"/>
      <c r="CC43" s="62"/>
      <c r="CD43" s="62"/>
      <c r="CE43" s="62"/>
      <c r="CF43" s="62"/>
      <c r="CG43" s="62"/>
      <c r="CH43" s="62"/>
      <c r="CI43" s="62"/>
      <c r="CJ43" s="62"/>
      <c r="CK43" s="62"/>
      <c r="CL43" s="62"/>
      <c r="CM43" s="62"/>
      <c r="CN43" s="62"/>
      <c r="CO43" s="63"/>
    </row>
    <row r="44" spans="1:93" x14ac:dyDescent="0.2">
      <c r="A44" s="64"/>
      <c r="B44" s="65"/>
      <c r="C44" s="62"/>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65"/>
      <c r="BC44" s="65"/>
      <c r="BD44" s="65"/>
      <c r="BE44" s="65"/>
      <c r="BF44" s="65"/>
      <c r="BG44" s="65"/>
      <c r="BH44" s="65"/>
      <c r="BI44" s="65"/>
      <c r="BJ44" s="65"/>
      <c r="BK44" s="65"/>
      <c r="BL44" s="65"/>
      <c r="BM44" s="65"/>
      <c r="BN44" s="65"/>
      <c r="BO44" s="65"/>
      <c r="BP44" s="65"/>
      <c r="BQ44" s="65"/>
      <c r="BR44" s="65"/>
      <c r="BS44" s="65"/>
      <c r="BT44" s="65"/>
      <c r="BU44" s="65"/>
      <c r="BV44" s="65"/>
      <c r="BW44" s="65"/>
      <c r="BX44" s="65"/>
      <c r="BY44" s="65"/>
      <c r="BZ44" s="65"/>
      <c r="CA44" s="65"/>
      <c r="CB44" s="65"/>
      <c r="CC44" s="65"/>
      <c r="CD44" s="65"/>
      <c r="CE44" s="65"/>
      <c r="CF44" s="65"/>
      <c r="CG44" s="65"/>
      <c r="CH44" s="65"/>
      <c r="CI44" s="65"/>
      <c r="CJ44" s="65"/>
      <c r="CK44" s="65"/>
      <c r="CL44" s="65"/>
      <c r="CM44" s="65"/>
      <c r="CN44" s="65"/>
      <c r="CO44" s="66"/>
    </row>
    <row r="45" spans="1:93" x14ac:dyDescent="0.2">
      <c r="A45" s="61"/>
      <c r="B45" s="62"/>
      <c r="C45" s="62"/>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62"/>
      <c r="BC45" s="62"/>
      <c r="BD45" s="62"/>
      <c r="BE45" s="62"/>
      <c r="BF45" s="62"/>
      <c r="BG45" s="62"/>
      <c r="BH45" s="62"/>
      <c r="BI45" s="62"/>
      <c r="BJ45" s="62"/>
      <c r="BK45" s="62"/>
      <c r="BL45" s="62"/>
      <c r="BM45" s="62"/>
      <c r="BN45" s="62"/>
      <c r="BO45" s="62"/>
      <c r="BP45" s="62"/>
      <c r="BQ45" s="62"/>
      <c r="BR45" s="62"/>
      <c r="BS45" s="62"/>
      <c r="BT45" s="62"/>
      <c r="BU45" s="62"/>
      <c r="BV45" s="62"/>
      <c r="BW45" s="62"/>
      <c r="BX45" s="62"/>
      <c r="BY45" s="62"/>
      <c r="BZ45" s="62"/>
      <c r="CA45" s="62"/>
      <c r="CB45" s="62"/>
      <c r="CC45" s="62"/>
      <c r="CD45" s="62"/>
      <c r="CE45" s="62"/>
      <c r="CF45" s="62"/>
      <c r="CG45" s="62"/>
      <c r="CH45" s="62"/>
      <c r="CI45" s="62"/>
      <c r="CJ45" s="62"/>
      <c r="CK45" s="62"/>
      <c r="CL45" s="62"/>
      <c r="CM45" s="62"/>
      <c r="CN45" s="62"/>
      <c r="CO45" s="63"/>
    </row>
    <row r="46" spans="1:93" x14ac:dyDescent="0.2">
      <c r="A46" s="64"/>
      <c r="B46" s="65"/>
      <c r="C46" s="62"/>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c r="AV46" s="91"/>
      <c r="AW46" s="91"/>
      <c r="AX46" s="91"/>
      <c r="AY46" s="91"/>
      <c r="AZ46" s="91"/>
      <c r="BA46" s="91"/>
      <c r="BB46" s="65"/>
      <c r="BC46" s="65"/>
      <c r="BD46" s="65"/>
      <c r="BE46" s="65"/>
      <c r="BF46" s="65"/>
      <c r="BG46" s="65"/>
      <c r="BH46" s="65"/>
      <c r="BI46" s="65"/>
      <c r="BJ46" s="65"/>
      <c r="BK46" s="65"/>
      <c r="BL46" s="65"/>
      <c r="BM46" s="65"/>
      <c r="BN46" s="65"/>
      <c r="BO46" s="65"/>
      <c r="BP46" s="65"/>
      <c r="BQ46" s="65"/>
      <c r="BR46" s="65"/>
      <c r="BS46" s="65"/>
      <c r="BT46" s="65"/>
      <c r="BU46" s="65"/>
      <c r="BV46" s="65"/>
      <c r="BW46" s="65"/>
      <c r="BX46" s="65"/>
      <c r="BY46" s="65"/>
      <c r="BZ46" s="65"/>
      <c r="CA46" s="65"/>
      <c r="CB46" s="65"/>
      <c r="CC46" s="65"/>
      <c r="CD46" s="65"/>
      <c r="CE46" s="65"/>
      <c r="CF46" s="65"/>
      <c r="CG46" s="65"/>
      <c r="CH46" s="65"/>
      <c r="CI46" s="65"/>
      <c r="CJ46" s="65"/>
      <c r="CK46" s="65"/>
      <c r="CL46" s="65"/>
      <c r="CM46" s="65"/>
      <c r="CN46" s="65"/>
      <c r="CO46" s="66"/>
    </row>
    <row r="47" spans="1:93" x14ac:dyDescent="0.2">
      <c r="A47" s="61"/>
      <c r="B47" s="62"/>
      <c r="C47" s="62"/>
      <c r="D47" s="91"/>
      <c r="E47" s="91"/>
      <c r="F47" s="91"/>
      <c r="G47" s="91"/>
      <c r="H47" s="91"/>
      <c r="I47" s="91"/>
      <c r="J47" s="91"/>
      <c r="K47" s="91"/>
      <c r="L47" s="91"/>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1"/>
      <c r="AS47" s="91"/>
      <c r="AT47" s="91"/>
      <c r="AU47" s="91"/>
      <c r="AV47" s="91"/>
      <c r="AW47" s="91"/>
      <c r="AX47" s="91"/>
      <c r="AY47" s="91"/>
      <c r="AZ47" s="91"/>
      <c r="BA47" s="91"/>
      <c r="BB47" s="62"/>
      <c r="BC47" s="62"/>
      <c r="BD47" s="62"/>
      <c r="BE47" s="62"/>
      <c r="BF47" s="62"/>
      <c r="BG47" s="62"/>
      <c r="BH47" s="62"/>
      <c r="BI47" s="62"/>
      <c r="BJ47" s="62"/>
      <c r="BK47" s="62"/>
      <c r="BL47" s="62"/>
      <c r="BM47" s="62"/>
      <c r="BN47" s="62"/>
      <c r="BO47" s="62"/>
      <c r="BP47" s="62"/>
      <c r="BQ47" s="62"/>
      <c r="BR47" s="62"/>
      <c r="BS47" s="62"/>
      <c r="BT47" s="62"/>
      <c r="BU47" s="62"/>
      <c r="BV47" s="62"/>
      <c r="BW47" s="62"/>
      <c r="BX47" s="62"/>
      <c r="BY47" s="62"/>
      <c r="BZ47" s="62"/>
      <c r="CA47" s="62"/>
      <c r="CB47" s="62"/>
      <c r="CC47" s="62"/>
      <c r="CD47" s="62"/>
      <c r="CE47" s="62"/>
      <c r="CF47" s="62"/>
      <c r="CG47" s="62"/>
      <c r="CH47" s="62"/>
      <c r="CI47" s="62"/>
      <c r="CJ47" s="62"/>
      <c r="CK47" s="62"/>
      <c r="CL47" s="62"/>
      <c r="CM47" s="62"/>
      <c r="CN47" s="62"/>
      <c r="CO47" s="63"/>
    </row>
    <row r="48" spans="1:93" x14ac:dyDescent="0.2">
      <c r="A48" s="64"/>
      <c r="B48" s="65"/>
      <c r="C48" s="62"/>
      <c r="D48" s="91"/>
      <c r="E48" s="91"/>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65"/>
      <c r="BC48" s="65"/>
      <c r="BD48" s="65"/>
      <c r="BE48" s="65"/>
      <c r="BF48" s="65"/>
      <c r="BG48" s="65"/>
      <c r="BH48" s="65"/>
      <c r="BI48" s="65"/>
      <c r="BJ48" s="65"/>
      <c r="BK48" s="65"/>
      <c r="BL48" s="65"/>
      <c r="BM48" s="65"/>
      <c r="BN48" s="65"/>
      <c r="BO48" s="65"/>
      <c r="BP48" s="65"/>
      <c r="BQ48" s="65"/>
      <c r="BR48" s="65"/>
      <c r="BS48" s="65"/>
      <c r="BT48" s="65"/>
      <c r="BU48" s="65"/>
      <c r="BV48" s="65"/>
      <c r="BW48" s="65"/>
      <c r="BX48" s="65"/>
      <c r="BY48" s="65"/>
      <c r="BZ48" s="65"/>
      <c r="CA48" s="65"/>
      <c r="CB48" s="65"/>
      <c r="CC48" s="65"/>
      <c r="CD48" s="65"/>
      <c r="CE48" s="65"/>
      <c r="CF48" s="65"/>
      <c r="CG48" s="65"/>
      <c r="CH48" s="65"/>
      <c r="CI48" s="65"/>
      <c r="CJ48" s="65"/>
      <c r="CK48" s="65"/>
      <c r="CL48" s="65"/>
      <c r="CM48" s="65"/>
      <c r="CN48" s="65"/>
      <c r="CO48" s="66"/>
    </row>
    <row r="49" spans="1:93" x14ac:dyDescent="0.2">
      <c r="A49" s="61"/>
      <c r="B49" s="62"/>
      <c r="C49" s="62"/>
      <c r="D49" s="91"/>
      <c r="E49" s="91"/>
      <c r="F49" s="91"/>
      <c r="G49" s="91"/>
      <c r="H49" s="91"/>
      <c r="I49" s="91"/>
      <c r="J49" s="91"/>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62"/>
      <c r="BC49" s="62"/>
      <c r="BD49" s="62"/>
      <c r="BE49" s="62"/>
      <c r="BF49" s="62"/>
      <c r="BG49" s="62"/>
      <c r="BH49" s="62"/>
      <c r="BI49" s="62"/>
      <c r="BJ49" s="62"/>
      <c r="BK49" s="62"/>
      <c r="BL49" s="62"/>
      <c r="BM49" s="62"/>
      <c r="BN49" s="62"/>
      <c r="BO49" s="62"/>
      <c r="BP49" s="62"/>
      <c r="BQ49" s="62"/>
      <c r="BR49" s="62"/>
      <c r="BS49" s="62"/>
      <c r="BT49" s="62"/>
      <c r="BU49" s="62"/>
      <c r="BV49" s="62"/>
      <c r="BW49" s="62"/>
      <c r="BX49" s="62"/>
      <c r="BY49" s="62"/>
      <c r="BZ49" s="62"/>
      <c r="CA49" s="62"/>
      <c r="CB49" s="62"/>
      <c r="CC49" s="62"/>
      <c r="CD49" s="62"/>
      <c r="CE49" s="62"/>
      <c r="CF49" s="62"/>
      <c r="CG49" s="62"/>
      <c r="CH49" s="62"/>
      <c r="CI49" s="62"/>
      <c r="CJ49" s="62"/>
      <c r="CK49" s="62"/>
      <c r="CL49" s="62"/>
      <c r="CM49" s="62"/>
      <c r="CN49" s="62"/>
      <c r="CO49" s="63"/>
    </row>
    <row r="50" spans="1:93" x14ac:dyDescent="0.2">
      <c r="A50" s="64"/>
      <c r="B50" s="65"/>
      <c r="C50" s="62"/>
      <c r="D50" s="91"/>
      <c r="E50" s="91"/>
      <c r="F50" s="91"/>
      <c r="G50" s="91"/>
      <c r="H50" s="91"/>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1"/>
      <c r="AM50" s="91"/>
      <c r="AN50" s="91"/>
      <c r="AO50" s="91"/>
      <c r="AP50" s="91"/>
      <c r="AQ50" s="91"/>
      <c r="AR50" s="91"/>
      <c r="AS50" s="91"/>
      <c r="AT50" s="91"/>
      <c r="AU50" s="91"/>
      <c r="AV50" s="91"/>
      <c r="AW50" s="91"/>
      <c r="AX50" s="91"/>
      <c r="AY50" s="91"/>
      <c r="AZ50" s="91"/>
      <c r="BA50" s="91"/>
      <c r="BB50" s="65"/>
      <c r="BC50" s="65"/>
      <c r="BD50" s="65"/>
      <c r="BE50" s="65"/>
      <c r="BF50" s="65"/>
      <c r="BG50" s="65"/>
      <c r="BH50" s="65"/>
      <c r="BI50" s="65"/>
      <c r="BJ50" s="65"/>
      <c r="BK50" s="65"/>
      <c r="BL50" s="65"/>
      <c r="BM50" s="65"/>
      <c r="BN50" s="65"/>
      <c r="BO50" s="65"/>
      <c r="BP50" s="65"/>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6"/>
    </row>
    <row r="51" spans="1:93" x14ac:dyDescent="0.2">
      <c r="A51" s="61"/>
      <c r="B51" s="62"/>
      <c r="C51" s="62"/>
      <c r="D51" s="91"/>
      <c r="E51" s="91"/>
      <c r="F51" s="91"/>
      <c r="G51" s="91"/>
      <c r="H51" s="91"/>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1"/>
      <c r="AX51" s="91"/>
      <c r="AY51" s="91"/>
      <c r="AZ51" s="91"/>
      <c r="BA51" s="91"/>
      <c r="BB51" s="62"/>
      <c r="BC51" s="62"/>
      <c r="BD51" s="62"/>
      <c r="BE51" s="62"/>
      <c r="BF51" s="62"/>
      <c r="BG51" s="62"/>
      <c r="BH51" s="62"/>
      <c r="BI51" s="62"/>
      <c r="BJ51" s="62"/>
      <c r="BK51" s="62"/>
      <c r="BL51" s="62"/>
      <c r="BM51" s="62"/>
      <c r="BN51" s="62"/>
      <c r="BO51" s="62"/>
      <c r="BP51" s="62"/>
      <c r="BQ51" s="62"/>
      <c r="BR51" s="62"/>
      <c r="BS51" s="62"/>
      <c r="BT51" s="62"/>
      <c r="BU51" s="62"/>
      <c r="BV51" s="62"/>
      <c r="BW51" s="62"/>
      <c r="BX51" s="62"/>
      <c r="BY51" s="62"/>
      <c r="BZ51" s="62"/>
      <c r="CA51" s="62"/>
      <c r="CB51" s="62"/>
      <c r="CC51" s="62"/>
      <c r="CD51" s="62"/>
      <c r="CE51" s="62"/>
      <c r="CF51" s="62"/>
      <c r="CG51" s="62"/>
      <c r="CH51" s="62"/>
      <c r="CI51" s="62"/>
      <c r="CJ51" s="62"/>
      <c r="CK51" s="62"/>
      <c r="CL51" s="62"/>
      <c r="CM51" s="62"/>
      <c r="CN51" s="62"/>
      <c r="CO51" s="63"/>
    </row>
    <row r="52" spans="1:93" x14ac:dyDescent="0.2">
      <c r="A52" s="64"/>
      <c r="B52" s="65"/>
      <c r="C52" s="62"/>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1"/>
      <c r="AS52" s="91"/>
      <c r="AT52" s="91"/>
      <c r="AU52" s="91"/>
      <c r="AV52" s="91"/>
      <c r="AW52" s="91"/>
      <c r="AX52" s="91"/>
      <c r="AY52" s="91"/>
      <c r="AZ52" s="91"/>
      <c r="BA52" s="91"/>
      <c r="BB52" s="65"/>
      <c r="BC52" s="65"/>
      <c r="BD52" s="65"/>
      <c r="BE52" s="65"/>
      <c r="BF52" s="65"/>
      <c r="BG52" s="65"/>
      <c r="BH52" s="65"/>
      <c r="BI52" s="65"/>
      <c r="BJ52" s="65"/>
      <c r="BK52" s="65"/>
      <c r="BL52" s="65"/>
      <c r="BM52" s="65"/>
      <c r="BN52" s="65"/>
      <c r="BO52" s="65"/>
      <c r="BP52" s="65"/>
      <c r="BQ52" s="65"/>
      <c r="BR52" s="65"/>
      <c r="BS52" s="65"/>
      <c r="BT52" s="65"/>
      <c r="BU52" s="65"/>
      <c r="BV52" s="65"/>
      <c r="BW52" s="65"/>
      <c r="BX52" s="65"/>
      <c r="BY52" s="65"/>
      <c r="BZ52" s="65"/>
      <c r="CA52" s="65"/>
      <c r="CB52" s="65"/>
      <c r="CC52" s="65"/>
      <c r="CD52" s="65"/>
      <c r="CE52" s="65"/>
      <c r="CF52" s="65"/>
      <c r="CG52" s="65"/>
      <c r="CH52" s="65"/>
      <c r="CI52" s="65"/>
      <c r="CJ52" s="65"/>
      <c r="CK52" s="65"/>
      <c r="CL52" s="65"/>
      <c r="CM52" s="65"/>
      <c r="CN52" s="65"/>
      <c r="CO52" s="66"/>
    </row>
    <row r="53" spans="1:93" x14ac:dyDescent="0.2">
      <c r="A53" s="61"/>
      <c r="B53" s="62"/>
      <c r="C53" s="62"/>
      <c r="D53" s="91"/>
      <c r="E53" s="91"/>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c r="BA53" s="91"/>
      <c r="BB53" s="62"/>
      <c r="BC53" s="62"/>
      <c r="BD53" s="62"/>
      <c r="BE53" s="62"/>
      <c r="BF53" s="62"/>
      <c r="BG53" s="62"/>
      <c r="BH53" s="62"/>
      <c r="BI53" s="62"/>
      <c r="BJ53" s="62"/>
      <c r="BK53" s="62"/>
      <c r="BL53" s="62"/>
      <c r="BM53" s="62"/>
      <c r="BN53" s="62"/>
      <c r="BO53" s="62"/>
      <c r="BP53" s="62"/>
      <c r="BQ53" s="62"/>
      <c r="BR53" s="62"/>
      <c r="BS53" s="62"/>
      <c r="BT53" s="62"/>
      <c r="BU53" s="62"/>
      <c r="BV53" s="62"/>
      <c r="BW53" s="62"/>
      <c r="BX53" s="62"/>
      <c r="BY53" s="62"/>
      <c r="BZ53" s="62"/>
      <c r="CA53" s="62"/>
      <c r="CB53" s="62"/>
      <c r="CC53" s="62"/>
      <c r="CD53" s="62"/>
      <c r="CE53" s="62"/>
      <c r="CF53" s="62"/>
      <c r="CG53" s="62"/>
      <c r="CH53" s="62"/>
      <c r="CI53" s="62"/>
      <c r="CJ53" s="62"/>
      <c r="CK53" s="62"/>
      <c r="CL53" s="62"/>
      <c r="CM53" s="62"/>
      <c r="CN53" s="62"/>
      <c r="CO53" s="63"/>
    </row>
    <row r="54" spans="1:93" x14ac:dyDescent="0.2">
      <c r="A54" s="64"/>
      <c r="B54" s="65"/>
      <c r="C54" s="62"/>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1"/>
      <c r="AX54" s="91"/>
      <c r="AY54" s="91"/>
      <c r="AZ54" s="91"/>
      <c r="BA54" s="91"/>
      <c r="BB54" s="65"/>
      <c r="BC54" s="65"/>
      <c r="BD54" s="65"/>
      <c r="BE54" s="65"/>
      <c r="BF54" s="65"/>
      <c r="BG54" s="65"/>
      <c r="BH54" s="65"/>
      <c r="BI54" s="65"/>
      <c r="BJ54" s="65"/>
      <c r="BK54" s="65"/>
      <c r="BL54" s="65"/>
      <c r="BM54" s="65"/>
      <c r="BN54" s="65"/>
      <c r="BO54" s="65"/>
      <c r="BP54" s="65"/>
      <c r="BQ54" s="65"/>
      <c r="BR54" s="65"/>
      <c r="BS54" s="65"/>
      <c r="BT54" s="65"/>
      <c r="BU54" s="65"/>
      <c r="BV54" s="65"/>
      <c r="BW54" s="65"/>
      <c r="BX54" s="65"/>
      <c r="BY54" s="65"/>
      <c r="BZ54" s="65"/>
      <c r="CA54" s="65"/>
      <c r="CB54" s="65"/>
      <c r="CC54" s="65"/>
      <c r="CD54" s="65"/>
      <c r="CE54" s="65"/>
      <c r="CF54" s="65"/>
      <c r="CG54" s="65"/>
      <c r="CH54" s="65"/>
      <c r="CI54" s="65"/>
      <c r="CJ54" s="65"/>
      <c r="CK54" s="65"/>
      <c r="CL54" s="65"/>
      <c r="CM54" s="65"/>
      <c r="CN54" s="65"/>
      <c r="CO54" s="66"/>
    </row>
    <row r="55" spans="1:93" x14ac:dyDescent="0.2">
      <c r="A55" s="61"/>
      <c r="B55" s="62"/>
      <c r="C55" s="62"/>
      <c r="D55" s="91"/>
      <c r="E55" s="91"/>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1"/>
      <c r="AX55" s="91"/>
      <c r="AY55" s="91"/>
      <c r="AZ55" s="91"/>
      <c r="BA55" s="91"/>
      <c r="BB55" s="62"/>
      <c r="BC55" s="62"/>
      <c r="BD55" s="62"/>
      <c r="BE55" s="62"/>
      <c r="BF55" s="62"/>
      <c r="BG55" s="62"/>
      <c r="BH55" s="62"/>
      <c r="BI55" s="62"/>
      <c r="BJ55" s="62"/>
      <c r="BK55" s="62"/>
      <c r="BL55" s="62"/>
      <c r="BM55" s="62"/>
      <c r="BN55" s="62"/>
      <c r="BO55" s="62"/>
      <c r="BP55" s="62"/>
      <c r="BQ55" s="62"/>
      <c r="BR55" s="62"/>
      <c r="BS55" s="62"/>
      <c r="BT55" s="62"/>
      <c r="BU55" s="62"/>
      <c r="BV55" s="62"/>
      <c r="BW55" s="62"/>
      <c r="BX55" s="62"/>
      <c r="BY55" s="62"/>
      <c r="BZ55" s="62"/>
      <c r="CA55" s="62"/>
      <c r="CB55" s="62"/>
      <c r="CC55" s="62"/>
      <c r="CD55" s="62"/>
      <c r="CE55" s="62"/>
      <c r="CF55" s="62"/>
      <c r="CG55" s="62"/>
      <c r="CH55" s="62"/>
      <c r="CI55" s="62"/>
      <c r="CJ55" s="62"/>
      <c r="CK55" s="62"/>
      <c r="CL55" s="62"/>
      <c r="CM55" s="62"/>
      <c r="CN55" s="62"/>
      <c r="CO55" s="63"/>
    </row>
    <row r="56" spans="1:93" x14ac:dyDescent="0.2">
      <c r="A56" s="64"/>
      <c r="B56" s="65"/>
      <c r="C56" s="62"/>
      <c r="D56" s="91"/>
      <c r="E56" s="91"/>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1"/>
      <c r="AZ56" s="91"/>
      <c r="BA56" s="91"/>
      <c r="BB56" s="65"/>
      <c r="BC56" s="65"/>
      <c r="BD56" s="65"/>
      <c r="BE56" s="65"/>
      <c r="BF56" s="65"/>
      <c r="BG56" s="65"/>
      <c r="BH56" s="65"/>
      <c r="BI56" s="65"/>
      <c r="BJ56" s="65"/>
      <c r="BK56" s="65"/>
      <c r="BL56" s="65"/>
      <c r="BM56" s="65"/>
      <c r="BN56" s="65"/>
      <c r="BO56" s="65"/>
      <c r="BP56" s="65"/>
      <c r="BQ56" s="65"/>
      <c r="BR56" s="65"/>
      <c r="BS56" s="65"/>
      <c r="BT56" s="65"/>
      <c r="BU56" s="65"/>
      <c r="BV56" s="65"/>
      <c r="BW56" s="65"/>
      <c r="BX56" s="65"/>
      <c r="BY56" s="65"/>
      <c r="BZ56" s="65"/>
      <c r="CA56" s="65"/>
      <c r="CB56" s="65"/>
      <c r="CC56" s="65"/>
      <c r="CD56" s="65"/>
      <c r="CE56" s="65"/>
      <c r="CF56" s="65"/>
      <c r="CG56" s="65"/>
      <c r="CH56" s="65"/>
      <c r="CI56" s="65"/>
      <c r="CJ56" s="65"/>
      <c r="CK56" s="65"/>
      <c r="CL56" s="65"/>
      <c r="CM56" s="65"/>
      <c r="CN56" s="65"/>
      <c r="CO56" s="66"/>
    </row>
    <row r="57" spans="1:93" x14ac:dyDescent="0.2">
      <c r="A57" s="61"/>
      <c r="B57" s="62"/>
      <c r="C57" s="62"/>
      <c r="D57" s="91"/>
      <c r="E57" s="91"/>
      <c r="F57" s="91"/>
      <c r="G57" s="91"/>
      <c r="H57" s="91"/>
      <c r="I57" s="91"/>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c r="AV57" s="91"/>
      <c r="AW57" s="91"/>
      <c r="AX57" s="91"/>
      <c r="AY57" s="91"/>
      <c r="AZ57" s="91"/>
      <c r="BA57" s="91"/>
      <c r="BB57" s="62"/>
      <c r="BC57" s="62"/>
      <c r="BD57" s="62"/>
      <c r="BE57" s="62"/>
      <c r="BF57" s="62"/>
      <c r="BG57" s="62"/>
      <c r="BH57" s="62"/>
      <c r="BI57" s="62"/>
      <c r="BJ57" s="62"/>
      <c r="BK57" s="62"/>
      <c r="BL57" s="62"/>
      <c r="BM57" s="62"/>
      <c r="BN57" s="62"/>
      <c r="BO57" s="62"/>
      <c r="BP57" s="62"/>
      <c r="BQ57" s="62"/>
      <c r="BR57" s="62"/>
      <c r="BS57" s="62"/>
      <c r="BT57" s="62"/>
      <c r="BU57" s="62"/>
      <c r="BV57" s="62"/>
      <c r="BW57" s="62"/>
      <c r="BX57" s="62"/>
      <c r="BY57" s="62"/>
      <c r="BZ57" s="62"/>
      <c r="CA57" s="62"/>
      <c r="CB57" s="62"/>
      <c r="CC57" s="62"/>
      <c r="CD57" s="62"/>
      <c r="CE57" s="62"/>
      <c r="CF57" s="62"/>
      <c r="CG57" s="62"/>
      <c r="CH57" s="62"/>
      <c r="CI57" s="62"/>
      <c r="CJ57" s="62"/>
      <c r="CK57" s="62"/>
      <c r="CL57" s="62"/>
      <c r="CM57" s="62"/>
      <c r="CN57" s="62"/>
      <c r="CO57" s="63"/>
    </row>
    <row r="58" spans="1:93" x14ac:dyDescent="0.2">
      <c r="A58" s="64"/>
      <c r="B58" s="65"/>
      <c r="C58" s="62"/>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c r="AU58" s="91"/>
      <c r="AV58" s="91"/>
      <c r="AW58" s="91"/>
      <c r="AX58" s="91"/>
      <c r="AY58" s="91"/>
      <c r="AZ58" s="91"/>
      <c r="BA58" s="91"/>
      <c r="BB58" s="65"/>
      <c r="BC58" s="65"/>
      <c r="BD58" s="65"/>
      <c r="BE58" s="65"/>
      <c r="BF58" s="65"/>
      <c r="BG58" s="65"/>
      <c r="BH58" s="65"/>
      <c r="BI58" s="65"/>
      <c r="BJ58" s="65"/>
      <c r="BK58" s="65"/>
      <c r="BL58" s="65"/>
      <c r="BM58" s="65"/>
      <c r="BN58" s="65"/>
      <c r="BO58" s="65"/>
      <c r="BP58" s="65"/>
      <c r="BQ58" s="65"/>
      <c r="BR58" s="65"/>
      <c r="BS58" s="65"/>
      <c r="BT58" s="65"/>
      <c r="BU58" s="65"/>
      <c r="BV58" s="65"/>
      <c r="BW58" s="65"/>
      <c r="BX58" s="65"/>
      <c r="BY58" s="65"/>
      <c r="BZ58" s="65"/>
      <c r="CA58" s="65"/>
      <c r="CB58" s="65"/>
      <c r="CC58" s="65"/>
      <c r="CD58" s="65"/>
      <c r="CE58" s="65"/>
      <c r="CF58" s="65"/>
      <c r="CG58" s="65"/>
      <c r="CH58" s="65"/>
      <c r="CI58" s="65"/>
      <c r="CJ58" s="65"/>
      <c r="CK58" s="65"/>
      <c r="CL58" s="65"/>
      <c r="CM58" s="65"/>
      <c r="CN58" s="65"/>
      <c r="CO58" s="66"/>
    </row>
    <row r="59" spans="1:93" x14ac:dyDescent="0.2">
      <c r="A59" s="61"/>
      <c r="B59" s="62"/>
      <c r="C59" s="62"/>
      <c r="D59" s="91"/>
      <c r="E59" s="91"/>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1"/>
      <c r="AJ59" s="91"/>
      <c r="AK59" s="91"/>
      <c r="AL59" s="91"/>
      <c r="AM59" s="91"/>
      <c r="AN59" s="91"/>
      <c r="AO59" s="91"/>
      <c r="AP59" s="91"/>
      <c r="AQ59" s="91"/>
      <c r="AR59" s="91"/>
      <c r="AS59" s="91"/>
      <c r="AT59" s="91"/>
      <c r="AU59" s="91"/>
      <c r="AV59" s="91"/>
      <c r="AW59" s="91"/>
      <c r="AX59" s="91"/>
      <c r="AY59" s="91"/>
      <c r="AZ59" s="91"/>
      <c r="BA59" s="91"/>
      <c r="BB59" s="62"/>
      <c r="BC59" s="62"/>
      <c r="BD59" s="62"/>
      <c r="BE59" s="62"/>
      <c r="BF59" s="62"/>
      <c r="BG59" s="62"/>
      <c r="BH59" s="62"/>
      <c r="BI59" s="62"/>
      <c r="BJ59" s="62"/>
      <c r="BK59" s="62"/>
      <c r="BL59" s="62"/>
      <c r="BM59" s="62"/>
      <c r="BN59" s="62"/>
      <c r="BO59" s="62"/>
      <c r="BP59" s="62"/>
      <c r="BQ59" s="62"/>
      <c r="BR59" s="62"/>
      <c r="BS59" s="62"/>
      <c r="BT59" s="62"/>
      <c r="BU59" s="62"/>
      <c r="BV59" s="62"/>
      <c r="BW59" s="62"/>
      <c r="BX59" s="62"/>
      <c r="BY59" s="62"/>
      <c r="BZ59" s="62"/>
      <c r="CA59" s="62"/>
      <c r="CB59" s="62"/>
      <c r="CC59" s="62"/>
      <c r="CD59" s="62"/>
      <c r="CE59" s="62"/>
      <c r="CF59" s="62"/>
      <c r="CG59" s="62"/>
      <c r="CH59" s="62"/>
      <c r="CI59" s="62"/>
      <c r="CJ59" s="62"/>
      <c r="CK59" s="62"/>
      <c r="CL59" s="62"/>
      <c r="CM59" s="62"/>
      <c r="CN59" s="62"/>
      <c r="CO59" s="63"/>
    </row>
    <row r="60" spans="1:93" x14ac:dyDescent="0.2">
      <c r="A60" s="64"/>
      <c r="B60" s="65"/>
      <c r="C60" s="62"/>
      <c r="D60" s="91"/>
      <c r="E60" s="91"/>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1"/>
      <c r="AM60" s="91"/>
      <c r="AN60" s="91"/>
      <c r="AO60" s="91"/>
      <c r="AP60" s="91"/>
      <c r="AQ60" s="91"/>
      <c r="AR60" s="91"/>
      <c r="AS60" s="91"/>
      <c r="AT60" s="91"/>
      <c r="AU60" s="91"/>
      <c r="AV60" s="91"/>
      <c r="AW60" s="91"/>
      <c r="AX60" s="91"/>
      <c r="AY60" s="91"/>
      <c r="AZ60" s="91"/>
      <c r="BA60" s="91"/>
      <c r="BB60" s="65"/>
      <c r="BC60" s="65"/>
      <c r="BD60" s="65"/>
      <c r="BE60" s="65"/>
      <c r="BF60" s="65"/>
      <c r="BG60" s="65"/>
      <c r="BH60" s="65"/>
      <c r="BI60" s="65"/>
      <c r="BJ60" s="65"/>
      <c r="BK60" s="65"/>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6"/>
    </row>
    <row r="61" spans="1:93" x14ac:dyDescent="0.2">
      <c r="A61" s="61"/>
      <c r="B61" s="62"/>
      <c r="C61" s="62"/>
      <c r="D61" s="91"/>
      <c r="E61" s="91"/>
      <c r="F61" s="91"/>
      <c r="G61" s="91"/>
      <c r="H61" s="91"/>
      <c r="I61" s="91"/>
      <c r="J61" s="91"/>
      <c r="K61" s="91"/>
      <c r="L61" s="91"/>
      <c r="M61" s="91"/>
      <c r="N61" s="91"/>
      <c r="O61" s="91"/>
      <c r="P61" s="91"/>
      <c r="Q61" s="91"/>
      <c r="R61" s="91"/>
      <c r="S61" s="91"/>
      <c r="T61" s="91"/>
      <c r="U61" s="91"/>
      <c r="V61" s="91"/>
      <c r="W61" s="91"/>
      <c r="X61" s="91"/>
      <c r="Y61" s="91"/>
      <c r="Z61" s="91"/>
      <c r="AA61" s="91"/>
      <c r="AB61" s="91"/>
      <c r="AC61" s="91"/>
      <c r="AD61" s="91"/>
      <c r="AE61" s="91"/>
      <c r="AF61" s="91"/>
      <c r="AG61" s="91"/>
      <c r="AH61" s="91"/>
      <c r="AI61" s="91"/>
      <c r="AJ61" s="91"/>
      <c r="AK61" s="91"/>
      <c r="AL61" s="91"/>
      <c r="AM61" s="91"/>
      <c r="AN61" s="91"/>
      <c r="AO61" s="91"/>
      <c r="AP61" s="91"/>
      <c r="AQ61" s="91"/>
      <c r="AR61" s="91"/>
      <c r="AS61" s="91"/>
      <c r="AT61" s="91"/>
      <c r="AU61" s="91"/>
      <c r="AV61" s="91"/>
      <c r="AW61" s="91"/>
      <c r="AX61" s="91"/>
      <c r="AY61" s="91"/>
      <c r="AZ61" s="91"/>
      <c r="BA61" s="91"/>
      <c r="BB61" s="62"/>
      <c r="BC61" s="62"/>
      <c r="BD61" s="62"/>
      <c r="BE61" s="62"/>
      <c r="BF61" s="62"/>
      <c r="BG61" s="62"/>
      <c r="BH61" s="62"/>
      <c r="BI61" s="62"/>
      <c r="BJ61" s="62"/>
      <c r="BK61" s="62"/>
      <c r="BL61" s="62"/>
      <c r="BM61" s="62"/>
      <c r="BN61" s="62"/>
      <c r="BO61" s="62"/>
      <c r="BP61" s="62"/>
      <c r="BQ61" s="62"/>
      <c r="BR61" s="62"/>
      <c r="BS61" s="62"/>
      <c r="BT61" s="62"/>
      <c r="BU61" s="62"/>
      <c r="BV61" s="62"/>
      <c r="BW61" s="62"/>
      <c r="BX61" s="62"/>
      <c r="BY61" s="62"/>
      <c r="BZ61" s="62"/>
      <c r="CA61" s="62"/>
      <c r="CB61" s="62"/>
      <c r="CC61" s="62"/>
      <c r="CD61" s="62"/>
      <c r="CE61" s="62"/>
      <c r="CF61" s="62"/>
      <c r="CG61" s="62"/>
      <c r="CH61" s="62"/>
      <c r="CI61" s="62"/>
      <c r="CJ61" s="62"/>
      <c r="CK61" s="62"/>
      <c r="CL61" s="62"/>
      <c r="CM61" s="62"/>
      <c r="CN61" s="62"/>
      <c r="CO61" s="63"/>
    </row>
    <row r="62" spans="1:93" x14ac:dyDescent="0.2">
      <c r="A62" s="64"/>
      <c r="B62" s="65"/>
      <c r="C62" s="62"/>
      <c r="D62" s="91"/>
      <c r="E62" s="91"/>
      <c r="F62" s="91"/>
      <c r="G62" s="91"/>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91"/>
      <c r="AH62" s="91"/>
      <c r="AI62" s="91"/>
      <c r="AJ62" s="91"/>
      <c r="AK62" s="91"/>
      <c r="AL62" s="91"/>
      <c r="AM62" s="91"/>
      <c r="AN62" s="91"/>
      <c r="AO62" s="91"/>
      <c r="AP62" s="91"/>
      <c r="AQ62" s="91"/>
      <c r="AR62" s="91"/>
      <c r="AS62" s="91"/>
      <c r="AT62" s="91"/>
      <c r="AU62" s="91"/>
      <c r="AV62" s="91"/>
      <c r="AW62" s="91"/>
      <c r="AX62" s="91"/>
      <c r="AY62" s="91"/>
      <c r="AZ62" s="91"/>
      <c r="BA62" s="91"/>
      <c r="BB62" s="65"/>
      <c r="BC62" s="65"/>
      <c r="BD62" s="65"/>
      <c r="BE62" s="65"/>
      <c r="BF62" s="65"/>
      <c r="BG62" s="65"/>
      <c r="BH62" s="65"/>
      <c r="BI62" s="65"/>
      <c r="BJ62" s="65"/>
      <c r="BK62" s="65"/>
      <c r="BL62" s="65"/>
      <c r="BM62" s="65"/>
      <c r="BN62" s="65"/>
      <c r="BO62" s="65"/>
      <c r="BP62" s="65"/>
      <c r="BQ62" s="65"/>
      <c r="BR62" s="65"/>
      <c r="BS62" s="65"/>
      <c r="BT62" s="65"/>
      <c r="BU62" s="65"/>
      <c r="BV62" s="65"/>
      <c r="BW62" s="65"/>
      <c r="BX62" s="65"/>
      <c r="BY62" s="65"/>
      <c r="BZ62" s="65"/>
      <c r="CA62" s="65"/>
      <c r="CB62" s="65"/>
      <c r="CC62" s="65"/>
      <c r="CD62" s="65"/>
      <c r="CE62" s="65"/>
      <c r="CF62" s="65"/>
      <c r="CG62" s="65"/>
      <c r="CH62" s="65"/>
      <c r="CI62" s="65"/>
      <c r="CJ62" s="65"/>
      <c r="CK62" s="65"/>
      <c r="CL62" s="65"/>
      <c r="CM62" s="65"/>
      <c r="CN62" s="65"/>
      <c r="CO62" s="66"/>
    </row>
    <row r="63" spans="1:93" x14ac:dyDescent="0.2">
      <c r="A63" s="61"/>
      <c r="B63" s="62"/>
      <c r="C63" s="62"/>
      <c r="D63" s="91"/>
      <c r="E63" s="91"/>
      <c r="F63" s="91"/>
      <c r="G63" s="91"/>
      <c r="H63" s="91"/>
      <c r="I63" s="91"/>
      <c r="J63" s="91"/>
      <c r="K63" s="91"/>
      <c r="L63" s="91"/>
      <c r="M63" s="91"/>
      <c r="N63" s="91"/>
      <c r="O63" s="91"/>
      <c r="P63" s="91"/>
      <c r="Q63" s="91"/>
      <c r="R63" s="91"/>
      <c r="S63" s="91"/>
      <c r="T63" s="91"/>
      <c r="U63" s="91"/>
      <c r="V63" s="91"/>
      <c r="W63" s="91"/>
      <c r="X63" s="91"/>
      <c r="Y63" s="91"/>
      <c r="Z63" s="91"/>
      <c r="AA63" s="91"/>
      <c r="AB63" s="91"/>
      <c r="AC63" s="91"/>
      <c r="AD63" s="91"/>
      <c r="AE63" s="91"/>
      <c r="AF63" s="91"/>
      <c r="AG63" s="91"/>
      <c r="AH63" s="91"/>
      <c r="AI63" s="91"/>
      <c r="AJ63" s="91"/>
      <c r="AK63" s="91"/>
      <c r="AL63" s="91"/>
      <c r="AM63" s="91"/>
      <c r="AN63" s="91"/>
      <c r="AO63" s="91"/>
      <c r="AP63" s="91"/>
      <c r="AQ63" s="91"/>
      <c r="AR63" s="91"/>
      <c r="AS63" s="91"/>
      <c r="AT63" s="91"/>
      <c r="AU63" s="91"/>
      <c r="AV63" s="91"/>
      <c r="AW63" s="91"/>
      <c r="AX63" s="91"/>
      <c r="AY63" s="91"/>
      <c r="AZ63" s="91"/>
      <c r="BA63" s="91"/>
      <c r="BB63" s="62"/>
      <c r="BC63" s="62"/>
      <c r="BD63" s="62"/>
      <c r="BE63" s="62"/>
      <c r="BF63" s="62"/>
      <c r="BG63" s="62"/>
      <c r="BH63" s="62"/>
      <c r="BI63" s="62"/>
      <c r="BJ63" s="62"/>
      <c r="BK63" s="62"/>
      <c r="BL63" s="62"/>
      <c r="BM63" s="62"/>
      <c r="BN63" s="62"/>
      <c r="BO63" s="62"/>
      <c r="BP63" s="62"/>
      <c r="BQ63" s="62"/>
      <c r="BR63" s="62"/>
      <c r="BS63" s="62"/>
      <c r="BT63" s="62"/>
      <c r="BU63" s="62"/>
      <c r="BV63" s="62"/>
      <c r="BW63" s="62"/>
      <c r="BX63" s="62"/>
      <c r="BY63" s="62"/>
      <c r="BZ63" s="62"/>
      <c r="CA63" s="62"/>
      <c r="CB63" s="62"/>
      <c r="CC63" s="62"/>
      <c r="CD63" s="62"/>
      <c r="CE63" s="62"/>
      <c r="CF63" s="62"/>
      <c r="CG63" s="62"/>
      <c r="CH63" s="62"/>
      <c r="CI63" s="62"/>
      <c r="CJ63" s="62"/>
      <c r="CK63" s="62"/>
      <c r="CL63" s="62"/>
      <c r="CM63" s="62"/>
      <c r="CN63" s="62"/>
      <c r="CO63" s="63"/>
    </row>
    <row r="64" spans="1:93" x14ac:dyDescent="0.2">
      <c r="A64" s="64"/>
      <c r="B64" s="65"/>
      <c r="C64" s="62"/>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c r="AV64" s="91"/>
      <c r="AW64" s="91"/>
      <c r="AX64" s="91"/>
      <c r="AY64" s="91"/>
      <c r="AZ64" s="91"/>
      <c r="BA64" s="91"/>
      <c r="BB64" s="65"/>
      <c r="BC64" s="65"/>
      <c r="BD64" s="65"/>
      <c r="BE64" s="65"/>
      <c r="BF64" s="65"/>
      <c r="BG64" s="65"/>
      <c r="BH64" s="65"/>
      <c r="BI64" s="65"/>
      <c r="BJ64" s="65"/>
      <c r="BK64" s="65"/>
      <c r="BL64" s="65"/>
      <c r="BM64" s="65"/>
      <c r="BN64" s="65"/>
      <c r="BO64" s="65"/>
      <c r="BP64" s="65"/>
      <c r="BQ64" s="65"/>
      <c r="BR64" s="65"/>
      <c r="BS64" s="65"/>
      <c r="BT64" s="65"/>
      <c r="BU64" s="65"/>
      <c r="BV64" s="65"/>
      <c r="BW64" s="65"/>
      <c r="BX64" s="65"/>
      <c r="BY64" s="65"/>
      <c r="BZ64" s="65"/>
      <c r="CA64" s="65"/>
      <c r="CB64" s="65"/>
      <c r="CC64" s="65"/>
      <c r="CD64" s="65"/>
      <c r="CE64" s="65"/>
      <c r="CF64" s="65"/>
      <c r="CG64" s="65"/>
      <c r="CH64" s="65"/>
      <c r="CI64" s="65"/>
      <c r="CJ64" s="65"/>
      <c r="CK64" s="65"/>
      <c r="CL64" s="65"/>
      <c r="CM64" s="65"/>
      <c r="CN64" s="65"/>
      <c r="CO64" s="66"/>
    </row>
    <row r="65" spans="1:93" x14ac:dyDescent="0.2">
      <c r="A65" s="61"/>
      <c r="B65" s="62"/>
      <c r="C65" s="62"/>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1"/>
      <c r="AJ65" s="91"/>
      <c r="AK65" s="91"/>
      <c r="AL65" s="91"/>
      <c r="AM65" s="91"/>
      <c r="AN65" s="91"/>
      <c r="AO65" s="91"/>
      <c r="AP65" s="91"/>
      <c r="AQ65" s="91"/>
      <c r="AR65" s="91"/>
      <c r="AS65" s="91"/>
      <c r="AT65" s="91"/>
      <c r="AU65" s="91"/>
      <c r="AV65" s="91"/>
      <c r="AW65" s="91"/>
      <c r="AX65" s="91"/>
      <c r="AY65" s="91"/>
      <c r="AZ65" s="91"/>
      <c r="BA65" s="91"/>
      <c r="BB65" s="62"/>
      <c r="BC65" s="62"/>
      <c r="BD65" s="62"/>
      <c r="BE65" s="62"/>
      <c r="BF65" s="62"/>
      <c r="BG65" s="62"/>
      <c r="BH65" s="62"/>
      <c r="BI65" s="62"/>
      <c r="BJ65" s="62"/>
      <c r="BK65" s="62"/>
      <c r="BL65" s="62"/>
      <c r="BM65" s="62"/>
      <c r="BN65" s="62"/>
      <c r="BO65" s="62"/>
      <c r="BP65" s="62"/>
      <c r="BQ65" s="62"/>
      <c r="BR65" s="62"/>
      <c r="BS65" s="62"/>
      <c r="BT65" s="62"/>
      <c r="BU65" s="62"/>
      <c r="BV65" s="62"/>
      <c r="BW65" s="62"/>
      <c r="BX65" s="62"/>
      <c r="BY65" s="62"/>
      <c r="BZ65" s="62"/>
      <c r="CA65" s="62"/>
      <c r="CB65" s="62"/>
      <c r="CC65" s="62"/>
      <c r="CD65" s="62"/>
      <c r="CE65" s="62"/>
      <c r="CF65" s="62"/>
      <c r="CG65" s="62"/>
      <c r="CH65" s="62"/>
      <c r="CI65" s="62"/>
      <c r="CJ65" s="62"/>
      <c r="CK65" s="62"/>
      <c r="CL65" s="62"/>
      <c r="CM65" s="62"/>
      <c r="CN65" s="62"/>
      <c r="CO65" s="63"/>
    </row>
    <row r="66" spans="1:93" x14ac:dyDescent="0.2">
      <c r="A66" s="64"/>
      <c r="B66" s="65"/>
      <c r="C66" s="62"/>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c r="AQ66" s="91"/>
      <c r="AR66" s="91"/>
      <c r="AS66" s="91"/>
      <c r="AT66" s="91"/>
      <c r="AU66" s="91"/>
      <c r="AV66" s="91"/>
      <c r="AW66" s="91"/>
      <c r="AX66" s="91"/>
      <c r="AY66" s="91"/>
      <c r="AZ66" s="91"/>
      <c r="BA66" s="91"/>
      <c r="BB66" s="65"/>
      <c r="BC66" s="65"/>
      <c r="BD66" s="65"/>
      <c r="BE66" s="65"/>
      <c r="BF66" s="65"/>
      <c r="BG66" s="65"/>
      <c r="BH66" s="65"/>
      <c r="BI66" s="65"/>
      <c r="BJ66" s="65"/>
      <c r="BK66" s="65"/>
      <c r="BL66" s="65"/>
      <c r="BM66" s="65"/>
      <c r="BN66" s="65"/>
      <c r="BO66" s="65"/>
      <c r="BP66" s="65"/>
      <c r="BQ66" s="65"/>
      <c r="BR66" s="65"/>
      <c r="BS66" s="65"/>
      <c r="BT66" s="65"/>
      <c r="BU66" s="65"/>
      <c r="BV66" s="65"/>
      <c r="BW66" s="65"/>
      <c r="BX66" s="65"/>
      <c r="BY66" s="65"/>
      <c r="BZ66" s="65"/>
      <c r="CA66" s="65"/>
      <c r="CB66" s="65"/>
      <c r="CC66" s="65"/>
      <c r="CD66" s="65"/>
      <c r="CE66" s="65"/>
      <c r="CF66" s="65"/>
      <c r="CG66" s="65"/>
      <c r="CH66" s="65"/>
      <c r="CI66" s="65"/>
      <c r="CJ66" s="65"/>
      <c r="CK66" s="65"/>
      <c r="CL66" s="65"/>
      <c r="CM66" s="65"/>
      <c r="CN66" s="65"/>
      <c r="CO66" s="66"/>
    </row>
    <row r="67" spans="1:93" x14ac:dyDescent="0.2">
      <c r="A67" s="61"/>
      <c r="B67" s="62"/>
      <c r="C67" s="62"/>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c r="AK67" s="91"/>
      <c r="AL67" s="91"/>
      <c r="AM67" s="91"/>
      <c r="AN67" s="91"/>
      <c r="AO67" s="91"/>
      <c r="AP67" s="91"/>
      <c r="AQ67" s="91"/>
      <c r="AR67" s="91"/>
      <c r="AS67" s="91"/>
      <c r="AT67" s="91"/>
      <c r="AU67" s="91"/>
      <c r="AV67" s="91"/>
      <c r="AW67" s="91"/>
      <c r="AX67" s="91"/>
      <c r="AY67" s="91"/>
      <c r="AZ67" s="91"/>
      <c r="BA67" s="91"/>
      <c r="BB67" s="62"/>
      <c r="BC67" s="62"/>
      <c r="BD67" s="62"/>
      <c r="BE67" s="62"/>
      <c r="BF67" s="62"/>
      <c r="BG67" s="62"/>
      <c r="BH67" s="62"/>
      <c r="BI67" s="62"/>
      <c r="BJ67" s="62"/>
      <c r="BK67" s="62"/>
      <c r="BL67" s="62"/>
      <c r="BM67" s="62"/>
      <c r="BN67" s="62"/>
      <c r="BO67" s="62"/>
      <c r="BP67" s="62"/>
      <c r="BQ67" s="62"/>
      <c r="BR67" s="62"/>
      <c r="BS67" s="62"/>
      <c r="BT67" s="62"/>
      <c r="BU67" s="62"/>
      <c r="BV67" s="62"/>
      <c r="BW67" s="62"/>
      <c r="BX67" s="62"/>
      <c r="BY67" s="62"/>
      <c r="BZ67" s="62"/>
      <c r="CA67" s="62"/>
      <c r="CB67" s="62"/>
      <c r="CC67" s="62"/>
      <c r="CD67" s="62"/>
      <c r="CE67" s="62"/>
      <c r="CF67" s="62"/>
      <c r="CG67" s="62"/>
      <c r="CH67" s="62"/>
      <c r="CI67" s="62"/>
      <c r="CJ67" s="62"/>
      <c r="CK67" s="62"/>
      <c r="CL67" s="62"/>
      <c r="CM67" s="62"/>
      <c r="CN67" s="62"/>
      <c r="CO67" s="63"/>
    </row>
    <row r="68" spans="1:93" x14ac:dyDescent="0.2">
      <c r="A68" s="64"/>
      <c r="B68" s="65"/>
      <c r="C68" s="62"/>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c r="AK68" s="91"/>
      <c r="AL68" s="91"/>
      <c r="AM68" s="91"/>
      <c r="AN68" s="91"/>
      <c r="AO68" s="91"/>
      <c r="AP68" s="91"/>
      <c r="AQ68" s="91"/>
      <c r="AR68" s="91"/>
      <c r="AS68" s="91"/>
      <c r="AT68" s="91"/>
      <c r="AU68" s="91"/>
      <c r="AV68" s="91"/>
      <c r="AW68" s="91"/>
      <c r="AX68" s="91"/>
      <c r="AY68" s="91"/>
      <c r="AZ68" s="91"/>
      <c r="BA68" s="91"/>
      <c r="BB68" s="65"/>
      <c r="BC68" s="65"/>
      <c r="BD68" s="65"/>
      <c r="BE68" s="65"/>
      <c r="BF68" s="65"/>
      <c r="BG68" s="65"/>
      <c r="BH68" s="65"/>
      <c r="BI68" s="65"/>
      <c r="BJ68" s="65"/>
      <c r="BK68" s="65"/>
      <c r="BL68" s="65"/>
      <c r="BM68" s="65"/>
      <c r="BN68" s="65"/>
      <c r="BO68" s="65"/>
      <c r="BP68" s="65"/>
      <c r="BQ68" s="65"/>
      <c r="BR68" s="65"/>
      <c r="BS68" s="65"/>
      <c r="BT68" s="65"/>
      <c r="BU68" s="65"/>
      <c r="BV68" s="65"/>
      <c r="BW68" s="65"/>
      <c r="BX68" s="65"/>
      <c r="BY68" s="65"/>
      <c r="BZ68" s="65"/>
      <c r="CA68" s="65"/>
      <c r="CB68" s="65"/>
      <c r="CC68" s="65"/>
      <c r="CD68" s="65"/>
      <c r="CE68" s="65"/>
      <c r="CF68" s="65"/>
      <c r="CG68" s="65"/>
      <c r="CH68" s="65"/>
      <c r="CI68" s="65"/>
      <c r="CJ68" s="65"/>
      <c r="CK68" s="65"/>
      <c r="CL68" s="65"/>
      <c r="CM68" s="65"/>
      <c r="CN68" s="65"/>
      <c r="CO68" s="66"/>
    </row>
    <row r="69" spans="1:93" x14ac:dyDescent="0.2">
      <c r="A69" s="61"/>
      <c r="B69" s="62"/>
      <c r="C69" s="62"/>
      <c r="D69" s="91"/>
      <c r="E69" s="91"/>
      <c r="F69" s="91"/>
      <c r="G69" s="91"/>
      <c r="H69" s="91"/>
      <c r="I69" s="91"/>
      <c r="J69" s="91"/>
      <c r="K69" s="91"/>
      <c r="L69" s="91"/>
      <c r="M69" s="91"/>
      <c r="N69" s="91"/>
      <c r="O69" s="91"/>
      <c r="P69" s="91"/>
      <c r="Q69" s="91"/>
      <c r="R69" s="91"/>
      <c r="S69" s="91"/>
      <c r="T69" s="91"/>
      <c r="U69" s="91"/>
      <c r="V69" s="91"/>
      <c r="W69" s="91"/>
      <c r="X69" s="91"/>
      <c r="Y69" s="91"/>
      <c r="Z69" s="91"/>
      <c r="AA69" s="91"/>
      <c r="AB69" s="91"/>
      <c r="AC69" s="91"/>
      <c r="AD69" s="91"/>
      <c r="AE69" s="91"/>
      <c r="AF69" s="91"/>
      <c r="AG69" s="91"/>
      <c r="AH69" s="91"/>
      <c r="AI69" s="91"/>
      <c r="AJ69" s="91"/>
      <c r="AK69" s="91"/>
      <c r="AL69" s="91"/>
      <c r="AM69" s="91"/>
      <c r="AN69" s="91"/>
      <c r="AO69" s="91"/>
      <c r="AP69" s="91"/>
      <c r="AQ69" s="91"/>
      <c r="AR69" s="91"/>
      <c r="AS69" s="91"/>
      <c r="AT69" s="91"/>
      <c r="AU69" s="91"/>
      <c r="AV69" s="91"/>
      <c r="AW69" s="91"/>
      <c r="AX69" s="91"/>
      <c r="AY69" s="91"/>
      <c r="AZ69" s="91"/>
      <c r="BA69" s="91"/>
      <c r="BB69" s="62"/>
      <c r="BC69" s="62"/>
      <c r="BD69" s="62"/>
      <c r="BE69" s="62"/>
      <c r="BF69" s="62"/>
      <c r="BG69" s="62"/>
      <c r="BH69" s="62"/>
      <c r="BI69" s="62"/>
      <c r="BJ69" s="62"/>
      <c r="BK69" s="62"/>
      <c r="BL69" s="62"/>
      <c r="BM69" s="62"/>
      <c r="BN69" s="62"/>
      <c r="BO69" s="62"/>
      <c r="BP69" s="62"/>
      <c r="BQ69" s="62"/>
      <c r="BR69" s="62"/>
      <c r="BS69" s="62"/>
      <c r="BT69" s="62"/>
      <c r="BU69" s="62"/>
      <c r="BV69" s="62"/>
      <c r="BW69" s="62"/>
      <c r="BX69" s="62"/>
      <c r="BY69" s="62"/>
      <c r="BZ69" s="62"/>
      <c r="CA69" s="62"/>
      <c r="CB69" s="62"/>
      <c r="CC69" s="62"/>
      <c r="CD69" s="62"/>
      <c r="CE69" s="62"/>
      <c r="CF69" s="62"/>
      <c r="CG69" s="62"/>
      <c r="CH69" s="62"/>
      <c r="CI69" s="62"/>
      <c r="CJ69" s="62"/>
      <c r="CK69" s="62"/>
      <c r="CL69" s="62"/>
      <c r="CM69" s="62"/>
      <c r="CN69" s="62"/>
      <c r="CO69" s="63"/>
    </row>
    <row r="70" spans="1:93" x14ac:dyDescent="0.2">
      <c r="A70" s="64"/>
      <c r="B70" s="65"/>
      <c r="C70" s="62"/>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c r="AM70" s="91"/>
      <c r="AN70" s="91"/>
      <c r="AO70" s="91"/>
      <c r="AP70" s="91"/>
      <c r="AQ70" s="91"/>
      <c r="AR70" s="91"/>
      <c r="AS70" s="91"/>
      <c r="AT70" s="91"/>
      <c r="AU70" s="91"/>
      <c r="AV70" s="91"/>
      <c r="AW70" s="91"/>
      <c r="AX70" s="91"/>
      <c r="AY70" s="91"/>
      <c r="AZ70" s="91"/>
      <c r="BA70" s="91"/>
      <c r="BB70" s="65"/>
      <c r="BC70" s="65"/>
      <c r="BD70" s="65"/>
      <c r="BE70" s="65"/>
      <c r="BF70" s="65"/>
      <c r="BG70" s="65"/>
      <c r="BH70" s="65"/>
      <c r="BI70" s="65"/>
      <c r="BJ70" s="65"/>
      <c r="BK70" s="65"/>
      <c r="BL70" s="65"/>
      <c r="BM70" s="65"/>
      <c r="BN70" s="65"/>
      <c r="BO70" s="65"/>
      <c r="BP70" s="65"/>
      <c r="BQ70" s="65"/>
      <c r="BR70" s="65"/>
      <c r="BS70" s="65"/>
      <c r="BT70" s="65"/>
      <c r="BU70" s="65"/>
      <c r="BV70" s="65"/>
      <c r="BW70" s="65"/>
      <c r="BX70" s="65"/>
      <c r="BY70" s="65"/>
      <c r="BZ70" s="65"/>
      <c r="CA70" s="65"/>
      <c r="CB70" s="65"/>
      <c r="CC70" s="65"/>
      <c r="CD70" s="65"/>
      <c r="CE70" s="65"/>
      <c r="CF70" s="65"/>
      <c r="CG70" s="65"/>
      <c r="CH70" s="65"/>
      <c r="CI70" s="65"/>
      <c r="CJ70" s="65"/>
      <c r="CK70" s="65"/>
      <c r="CL70" s="65"/>
      <c r="CM70" s="65"/>
      <c r="CN70" s="65"/>
      <c r="CO70" s="66"/>
    </row>
    <row r="71" spans="1:93" x14ac:dyDescent="0.2">
      <c r="A71" s="61"/>
      <c r="B71" s="62"/>
      <c r="C71" s="62"/>
      <c r="D71" s="91"/>
      <c r="E71" s="91"/>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c r="AE71" s="91"/>
      <c r="AF71" s="91"/>
      <c r="AG71" s="91"/>
      <c r="AH71" s="91"/>
      <c r="AI71" s="91"/>
      <c r="AJ71" s="91"/>
      <c r="AK71" s="91"/>
      <c r="AL71" s="91"/>
      <c r="AM71" s="91"/>
      <c r="AN71" s="91"/>
      <c r="AO71" s="91"/>
      <c r="AP71" s="91"/>
      <c r="AQ71" s="91"/>
      <c r="AR71" s="91"/>
      <c r="AS71" s="91"/>
      <c r="AT71" s="91"/>
      <c r="AU71" s="91"/>
      <c r="AV71" s="91"/>
      <c r="AW71" s="91"/>
      <c r="AX71" s="91"/>
      <c r="AY71" s="91"/>
      <c r="AZ71" s="91"/>
      <c r="BA71" s="91"/>
      <c r="BB71" s="62"/>
      <c r="BC71" s="62"/>
      <c r="BD71" s="62"/>
      <c r="BE71" s="62"/>
      <c r="BF71" s="62"/>
      <c r="BG71" s="62"/>
      <c r="BH71" s="62"/>
      <c r="BI71" s="62"/>
      <c r="BJ71" s="62"/>
      <c r="BK71" s="62"/>
      <c r="BL71" s="62"/>
      <c r="BM71" s="62"/>
      <c r="BN71" s="62"/>
      <c r="BO71" s="62"/>
      <c r="BP71" s="62"/>
      <c r="BQ71" s="62"/>
      <c r="BR71" s="62"/>
      <c r="BS71" s="62"/>
      <c r="BT71" s="62"/>
      <c r="BU71" s="62"/>
      <c r="BV71" s="62"/>
      <c r="BW71" s="62"/>
      <c r="BX71" s="62"/>
      <c r="BY71" s="62"/>
      <c r="BZ71" s="62"/>
      <c r="CA71" s="62"/>
      <c r="CB71" s="62"/>
      <c r="CC71" s="62"/>
      <c r="CD71" s="62"/>
      <c r="CE71" s="62"/>
      <c r="CF71" s="62"/>
      <c r="CG71" s="62"/>
      <c r="CH71" s="62"/>
      <c r="CI71" s="62"/>
      <c r="CJ71" s="62"/>
      <c r="CK71" s="62"/>
      <c r="CL71" s="62"/>
      <c r="CM71" s="62"/>
      <c r="CN71" s="62"/>
      <c r="CO71" s="63"/>
    </row>
    <row r="72" spans="1:93" x14ac:dyDescent="0.2">
      <c r="A72" s="64"/>
      <c r="B72" s="65"/>
      <c r="C72" s="62"/>
      <c r="D72" s="91"/>
      <c r="E72" s="91"/>
      <c r="F72" s="91"/>
      <c r="G72" s="91"/>
      <c r="H72" s="91"/>
      <c r="I72" s="91"/>
      <c r="J72" s="91"/>
      <c r="K72" s="91"/>
      <c r="L72" s="91"/>
      <c r="M72" s="91"/>
      <c r="N72" s="91"/>
      <c r="O72" s="91"/>
      <c r="P72" s="91"/>
      <c r="Q72" s="91"/>
      <c r="R72" s="91"/>
      <c r="S72" s="91"/>
      <c r="T72" s="91"/>
      <c r="U72" s="91"/>
      <c r="V72" s="91"/>
      <c r="W72" s="91"/>
      <c r="X72" s="91"/>
      <c r="Y72" s="91"/>
      <c r="Z72" s="91"/>
      <c r="AA72" s="91"/>
      <c r="AB72" s="91"/>
      <c r="AC72" s="91"/>
      <c r="AD72" s="91"/>
      <c r="AE72" s="91"/>
      <c r="AF72" s="91"/>
      <c r="AG72" s="91"/>
      <c r="AH72" s="91"/>
      <c r="AI72" s="91"/>
      <c r="AJ72" s="91"/>
      <c r="AK72" s="91"/>
      <c r="AL72" s="91"/>
      <c r="AM72" s="91"/>
      <c r="AN72" s="91"/>
      <c r="AO72" s="91"/>
      <c r="AP72" s="91"/>
      <c r="AQ72" s="91"/>
      <c r="AR72" s="91"/>
      <c r="AS72" s="91"/>
      <c r="AT72" s="91"/>
      <c r="AU72" s="91"/>
      <c r="AV72" s="91"/>
      <c r="AW72" s="91"/>
      <c r="AX72" s="91"/>
      <c r="AY72" s="91"/>
      <c r="AZ72" s="91"/>
      <c r="BA72" s="91"/>
      <c r="BB72" s="65"/>
      <c r="BC72" s="65"/>
      <c r="BD72" s="65"/>
      <c r="BE72" s="65"/>
      <c r="BF72" s="65"/>
      <c r="BG72" s="65"/>
      <c r="BH72" s="65"/>
      <c r="BI72" s="65"/>
      <c r="BJ72" s="65"/>
      <c r="BK72" s="65"/>
      <c r="BL72" s="65"/>
      <c r="BM72" s="65"/>
      <c r="BN72" s="65"/>
      <c r="BO72" s="65"/>
      <c r="BP72" s="65"/>
      <c r="BQ72" s="65"/>
      <c r="BR72" s="65"/>
      <c r="BS72" s="65"/>
      <c r="BT72" s="65"/>
      <c r="BU72" s="65"/>
      <c r="BV72" s="65"/>
      <c r="BW72" s="65"/>
      <c r="BX72" s="65"/>
      <c r="BY72" s="65"/>
      <c r="BZ72" s="65"/>
      <c r="CA72" s="65"/>
      <c r="CB72" s="65"/>
      <c r="CC72" s="65"/>
      <c r="CD72" s="65"/>
      <c r="CE72" s="65"/>
      <c r="CF72" s="65"/>
      <c r="CG72" s="65"/>
      <c r="CH72" s="65"/>
      <c r="CI72" s="65"/>
      <c r="CJ72" s="65"/>
      <c r="CK72" s="65"/>
      <c r="CL72" s="65"/>
      <c r="CM72" s="65"/>
      <c r="CN72" s="65"/>
      <c r="CO72" s="66"/>
    </row>
    <row r="73" spans="1:93" x14ac:dyDescent="0.2">
      <c r="A73" s="61"/>
      <c r="B73" s="62"/>
      <c r="C73" s="62"/>
      <c r="D73" s="91"/>
      <c r="E73" s="91"/>
      <c r="F73" s="91"/>
      <c r="G73" s="91"/>
      <c r="H73" s="91"/>
      <c r="I73" s="91"/>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62"/>
      <c r="BC73" s="62"/>
      <c r="BD73" s="62"/>
      <c r="BE73" s="62"/>
      <c r="BF73" s="62"/>
      <c r="BG73" s="62"/>
      <c r="BH73" s="62"/>
      <c r="BI73" s="62"/>
      <c r="BJ73" s="62"/>
      <c r="BK73" s="62"/>
      <c r="BL73" s="62"/>
      <c r="BM73" s="62"/>
      <c r="BN73" s="62"/>
      <c r="BO73" s="62"/>
      <c r="BP73" s="62"/>
      <c r="BQ73" s="62"/>
      <c r="BR73" s="62"/>
      <c r="BS73" s="62"/>
      <c r="BT73" s="62"/>
      <c r="BU73" s="62"/>
      <c r="BV73" s="62"/>
      <c r="BW73" s="62"/>
      <c r="BX73" s="62"/>
      <c r="BY73" s="62"/>
      <c r="BZ73" s="62"/>
      <c r="CA73" s="62"/>
      <c r="CB73" s="62"/>
      <c r="CC73" s="62"/>
      <c r="CD73" s="62"/>
      <c r="CE73" s="62"/>
      <c r="CF73" s="62"/>
      <c r="CG73" s="62"/>
      <c r="CH73" s="62"/>
      <c r="CI73" s="62"/>
      <c r="CJ73" s="62"/>
      <c r="CK73" s="62"/>
      <c r="CL73" s="62"/>
      <c r="CM73" s="62"/>
      <c r="CN73" s="62"/>
      <c r="CO73" s="63"/>
    </row>
    <row r="74" spans="1:93" x14ac:dyDescent="0.2">
      <c r="A74" s="64"/>
      <c r="B74" s="65"/>
      <c r="C74" s="62"/>
      <c r="D74" s="91"/>
      <c r="E74" s="91"/>
      <c r="F74" s="91"/>
      <c r="G74" s="91"/>
      <c r="H74" s="91"/>
      <c r="I74" s="91"/>
      <c r="J74" s="91"/>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1"/>
      <c r="AR74" s="91"/>
      <c r="AS74" s="91"/>
      <c r="AT74" s="91"/>
      <c r="AU74" s="91"/>
      <c r="AV74" s="91"/>
      <c r="AW74" s="91"/>
      <c r="AX74" s="91"/>
      <c r="AY74" s="91"/>
      <c r="AZ74" s="91"/>
      <c r="BA74" s="91"/>
      <c r="BB74" s="65"/>
      <c r="BC74" s="65"/>
      <c r="BD74" s="65"/>
      <c r="BE74" s="65"/>
      <c r="BF74" s="65"/>
      <c r="BG74" s="65"/>
      <c r="BH74" s="65"/>
      <c r="BI74" s="65"/>
      <c r="BJ74" s="65"/>
      <c r="BK74" s="65"/>
      <c r="BL74" s="65"/>
      <c r="BM74" s="65"/>
      <c r="BN74" s="65"/>
      <c r="BO74" s="65"/>
      <c r="BP74" s="65"/>
      <c r="BQ74" s="65"/>
      <c r="BR74" s="65"/>
      <c r="BS74" s="65"/>
      <c r="BT74" s="65"/>
      <c r="BU74" s="65"/>
      <c r="BV74" s="65"/>
      <c r="BW74" s="65"/>
      <c r="BX74" s="65"/>
      <c r="BY74" s="65"/>
      <c r="BZ74" s="65"/>
      <c r="CA74" s="65"/>
      <c r="CB74" s="65"/>
      <c r="CC74" s="65"/>
      <c r="CD74" s="65"/>
      <c r="CE74" s="65"/>
      <c r="CF74" s="65"/>
      <c r="CG74" s="65"/>
      <c r="CH74" s="65"/>
      <c r="CI74" s="65"/>
      <c r="CJ74" s="65"/>
      <c r="CK74" s="65"/>
      <c r="CL74" s="65"/>
      <c r="CM74" s="65"/>
      <c r="CN74" s="65"/>
      <c r="CO74" s="66"/>
    </row>
    <row r="75" spans="1:93" x14ac:dyDescent="0.2">
      <c r="A75" s="61"/>
      <c r="B75" s="62"/>
      <c r="C75" s="62"/>
      <c r="D75" s="91"/>
      <c r="E75" s="91"/>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91"/>
      <c r="AN75" s="91"/>
      <c r="AO75" s="91"/>
      <c r="AP75" s="91"/>
      <c r="AQ75" s="91"/>
      <c r="AR75" s="91"/>
      <c r="AS75" s="91"/>
      <c r="AT75" s="91"/>
      <c r="AU75" s="91"/>
      <c r="AV75" s="91"/>
      <c r="AW75" s="91"/>
      <c r="AX75" s="91"/>
      <c r="AY75" s="91"/>
      <c r="AZ75" s="91"/>
      <c r="BA75" s="91"/>
      <c r="BB75" s="62"/>
      <c r="BC75" s="62"/>
      <c r="BD75" s="62"/>
      <c r="BE75" s="62"/>
      <c r="BF75" s="62"/>
      <c r="BG75" s="62"/>
      <c r="BH75" s="62"/>
      <c r="BI75" s="62"/>
      <c r="BJ75" s="62"/>
      <c r="BK75" s="62"/>
      <c r="BL75" s="62"/>
      <c r="BM75" s="62"/>
      <c r="BN75" s="62"/>
      <c r="BO75" s="62"/>
      <c r="BP75" s="62"/>
      <c r="BQ75" s="62"/>
      <c r="BR75" s="62"/>
      <c r="BS75" s="62"/>
      <c r="BT75" s="62"/>
      <c r="BU75" s="62"/>
      <c r="BV75" s="62"/>
      <c r="BW75" s="62"/>
      <c r="BX75" s="62"/>
      <c r="BY75" s="62"/>
      <c r="BZ75" s="62"/>
      <c r="CA75" s="62"/>
      <c r="CB75" s="62"/>
      <c r="CC75" s="62"/>
      <c r="CD75" s="62"/>
      <c r="CE75" s="62"/>
      <c r="CF75" s="62"/>
      <c r="CG75" s="62"/>
      <c r="CH75" s="62"/>
      <c r="CI75" s="62"/>
      <c r="CJ75" s="62"/>
      <c r="CK75" s="62"/>
      <c r="CL75" s="62"/>
      <c r="CM75" s="62"/>
      <c r="CN75" s="62"/>
      <c r="CO75" s="63"/>
    </row>
    <row r="76" spans="1:93" x14ac:dyDescent="0.2">
      <c r="A76" s="64"/>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c r="BI76" s="65"/>
      <c r="BJ76" s="65"/>
      <c r="BK76" s="65"/>
      <c r="BL76" s="65"/>
      <c r="BM76" s="65"/>
      <c r="BN76" s="65"/>
      <c r="BO76" s="65"/>
      <c r="BP76" s="65"/>
      <c r="BQ76" s="65"/>
      <c r="BR76" s="65"/>
      <c r="BS76" s="65"/>
      <c r="BT76" s="65"/>
      <c r="BU76" s="65"/>
      <c r="BV76" s="65"/>
      <c r="BW76" s="65"/>
      <c r="BX76" s="65"/>
      <c r="BY76" s="65"/>
      <c r="BZ76" s="65"/>
      <c r="CA76" s="65"/>
      <c r="CB76" s="65"/>
      <c r="CC76" s="65"/>
      <c r="CD76" s="65"/>
      <c r="CE76" s="65"/>
      <c r="CF76" s="65"/>
      <c r="CG76" s="65"/>
      <c r="CH76" s="65"/>
      <c r="CI76" s="65"/>
      <c r="CJ76" s="65"/>
      <c r="CK76" s="65"/>
      <c r="CL76" s="65"/>
      <c r="CM76" s="65"/>
      <c r="CN76" s="65"/>
      <c r="CO76" s="66"/>
    </row>
    <row r="77" spans="1:93" x14ac:dyDescent="0.2">
      <c r="A77" s="61"/>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2"/>
      <c r="AT77" s="62"/>
      <c r="AU77" s="62"/>
      <c r="AV77" s="62"/>
      <c r="AW77" s="62"/>
      <c r="AX77" s="62"/>
      <c r="AY77" s="62"/>
      <c r="AZ77" s="62"/>
      <c r="BA77" s="62"/>
      <c r="BB77" s="62"/>
      <c r="BC77" s="62"/>
      <c r="BD77" s="62"/>
      <c r="BE77" s="62"/>
      <c r="BF77" s="62"/>
      <c r="BG77" s="62"/>
      <c r="BH77" s="62"/>
      <c r="BI77" s="62"/>
      <c r="BJ77" s="62"/>
      <c r="BK77" s="62"/>
      <c r="BL77" s="62"/>
      <c r="BM77" s="62"/>
      <c r="BN77" s="62"/>
      <c r="BO77" s="62"/>
      <c r="BP77" s="62"/>
      <c r="BQ77" s="62"/>
      <c r="BR77" s="62"/>
      <c r="BS77" s="62"/>
      <c r="BT77" s="62"/>
      <c r="BU77" s="62"/>
      <c r="BV77" s="62"/>
      <c r="BW77" s="62"/>
      <c r="BX77" s="62"/>
      <c r="BY77" s="62"/>
      <c r="BZ77" s="62"/>
      <c r="CA77" s="62"/>
      <c r="CB77" s="62"/>
      <c r="CC77" s="62"/>
      <c r="CD77" s="62"/>
      <c r="CE77" s="62"/>
      <c r="CF77" s="62"/>
      <c r="CG77" s="62"/>
      <c r="CH77" s="62"/>
      <c r="CI77" s="62"/>
      <c r="CJ77" s="62"/>
      <c r="CK77" s="62"/>
      <c r="CL77" s="62"/>
      <c r="CM77" s="62"/>
      <c r="CN77" s="62"/>
      <c r="CO77" s="63"/>
    </row>
    <row r="78" spans="1:93" x14ac:dyDescent="0.2">
      <c r="A78" s="64"/>
      <c r="B78" s="65"/>
      <c r="C78" s="65"/>
      <c r="D78" s="65"/>
      <c r="E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65"/>
      <c r="BI78" s="65"/>
      <c r="BJ78" s="65"/>
      <c r="BK78" s="65"/>
      <c r="BL78" s="65"/>
      <c r="BM78" s="65"/>
      <c r="BN78" s="65"/>
      <c r="BO78" s="65"/>
      <c r="BP78" s="65"/>
      <c r="BQ78" s="65"/>
      <c r="BR78" s="65"/>
      <c r="BS78" s="65"/>
      <c r="BT78" s="65"/>
      <c r="BU78" s="65"/>
      <c r="BV78" s="65"/>
      <c r="BW78" s="65"/>
      <c r="BX78" s="65"/>
      <c r="BY78" s="65"/>
      <c r="BZ78" s="65"/>
      <c r="CA78" s="65"/>
      <c r="CB78" s="65"/>
      <c r="CC78" s="65"/>
      <c r="CD78" s="65"/>
      <c r="CE78" s="65"/>
      <c r="CF78" s="65"/>
      <c r="CG78" s="65"/>
      <c r="CH78" s="65"/>
      <c r="CI78" s="65"/>
      <c r="CJ78" s="65"/>
      <c r="CK78" s="65"/>
      <c r="CL78" s="65"/>
      <c r="CM78" s="65"/>
      <c r="CN78" s="65"/>
      <c r="CO78" s="66"/>
    </row>
    <row r="79" spans="1:93" x14ac:dyDescent="0.2">
      <c r="A79" s="61"/>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62"/>
      <c r="BD79" s="62"/>
      <c r="BE79" s="62"/>
      <c r="BF79" s="62"/>
      <c r="BG79" s="62"/>
      <c r="BH79" s="62"/>
      <c r="BI79" s="62"/>
      <c r="BJ79" s="62"/>
      <c r="BK79" s="62"/>
      <c r="BL79" s="62"/>
      <c r="BM79" s="62"/>
      <c r="BN79" s="62"/>
      <c r="BO79" s="62"/>
      <c r="BP79" s="62"/>
      <c r="BQ79" s="62"/>
      <c r="BR79" s="62"/>
      <c r="BS79" s="62"/>
      <c r="BT79" s="62"/>
      <c r="BU79" s="62"/>
      <c r="BV79" s="62"/>
      <c r="BW79" s="62"/>
      <c r="BX79" s="62"/>
      <c r="BY79" s="62"/>
      <c r="BZ79" s="62"/>
      <c r="CA79" s="62"/>
      <c r="CB79" s="62"/>
      <c r="CC79" s="62"/>
      <c r="CD79" s="62"/>
      <c r="CE79" s="62"/>
      <c r="CF79" s="62"/>
      <c r="CG79" s="62"/>
      <c r="CH79" s="62"/>
      <c r="CI79" s="62"/>
      <c r="CJ79" s="62"/>
      <c r="CK79" s="62"/>
      <c r="CL79" s="62"/>
      <c r="CM79" s="62"/>
      <c r="CN79" s="62"/>
      <c r="CO79" s="63"/>
    </row>
    <row r="80" spans="1:93" x14ac:dyDescent="0.2">
      <c r="A80" s="64"/>
      <c r="B80" s="65"/>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65"/>
      <c r="BI80" s="65"/>
      <c r="BJ80" s="65"/>
      <c r="BK80" s="65"/>
      <c r="BL80" s="65"/>
      <c r="BM80" s="65"/>
      <c r="BN80" s="65"/>
      <c r="BO80" s="65"/>
      <c r="BP80" s="65"/>
      <c r="BQ80" s="65"/>
      <c r="BR80" s="65"/>
      <c r="BS80" s="65"/>
      <c r="BT80" s="65"/>
      <c r="BU80" s="65"/>
      <c r="BV80" s="65"/>
      <c r="BW80" s="65"/>
      <c r="BX80" s="65"/>
      <c r="BY80" s="65"/>
      <c r="BZ80" s="65"/>
      <c r="CA80" s="65"/>
      <c r="CB80" s="65"/>
      <c r="CC80" s="65"/>
      <c r="CD80" s="65"/>
      <c r="CE80" s="65"/>
      <c r="CF80" s="65"/>
      <c r="CG80" s="65"/>
      <c r="CH80" s="65"/>
      <c r="CI80" s="65"/>
      <c r="CJ80" s="65"/>
      <c r="CK80" s="65"/>
      <c r="CL80" s="65"/>
      <c r="CM80" s="65"/>
      <c r="CN80" s="65"/>
      <c r="CO80" s="66"/>
    </row>
    <row r="81" spans="1:93" x14ac:dyDescent="0.2">
      <c r="A81" s="61"/>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62"/>
      <c r="AG81" s="62"/>
      <c r="AH81" s="62"/>
      <c r="AI81" s="62"/>
      <c r="AJ81" s="62"/>
      <c r="AK81" s="62"/>
      <c r="AL81" s="62"/>
      <c r="AM81" s="62"/>
      <c r="AN81" s="62"/>
      <c r="AO81" s="62"/>
      <c r="AP81" s="62"/>
      <c r="AQ81" s="62"/>
      <c r="AR81" s="62"/>
      <c r="AS81" s="62"/>
      <c r="AT81" s="62"/>
      <c r="AU81" s="62"/>
      <c r="AV81" s="62"/>
      <c r="AW81" s="62"/>
      <c r="AX81" s="62"/>
      <c r="AY81" s="62"/>
      <c r="AZ81" s="62"/>
      <c r="BA81" s="62"/>
      <c r="BB81" s="62"/>
      <c r="BC81" s="62"/>
      <c r="BD81" s="62"/>
      <c r="BE81" s="62"/>
      <c r="BF81" s="62"/>
      <c r="BG81" s="62"/>
      <c r="BH81" s="62"/>
      <c r="BI81" s="62"/>
      <c r="BJ81" s="62"/>
      <c r="BK81" s="62"/>
      <c r="BL81" s="62"/>
      <c r="BM81" s="62"/>
      <c r="BN81" s="62"/>
      <c r="BO81" s="62"/>
      <c r="BP81" s="62"/>
      <c r="BQ81" s="62"/>
      <c r="BR81" s="62"/>
      <c r="BS81" s="62"/>
      <c r="BT81" s="62"/>
      <c r="BU81" s="62"/>
      <c r="BV81" s="62"/>
      <c r="BW81" s="62"/>
      <c r="BX81" s="62"/>
      <c r="BY81" s="62"/>
      <c r="BZ81" s="62"/>
      <c r="CA81" s="62"/>
      <c r="CB81" s="62"/>
      <c r="CC81" s="62"/>
      <c r="CD81" s="62"/>
      <c r="CE81" s="62"/>
      <c r="CF81" s="62"/>
      <c r="CG81" s="62"/>
      <c r="CH81" s="62"/>
      <c r="CI81" s="62"/>
      <c r="CJ81" s="62"/>
      <c r="CK81" s="62"/>
      <c r="CL81" s="62"/>
      <c r="CM81" s="62"/>
      <c r="CN81" s="62"/>
      <c r="CO81" s="63"/>
    </row>
    <row r="82" spans="1:93" x14ac:dyDescent="0.2">
      <c r="A82" s="64"/>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c r="BC82" s="65"/>
      <c r="BD82" s="65"/>
      <c r="BE82" s="65"/>
      <c r="BF82" s="65"/>
      <c r="BG82" s="65"/>
      <c r="BH82" s="65"/>
      <c r="BI82" s="65"/>
      <c r="BJ82" s="65"/>
      <c r="BK82" s="65"/>
      <c r="BL82" s="65"/>
      <c r="BM82" s="65"/>
      <c r="BN82" s="65"/>
      <c r="BO82" s="65"/>
      <c r="BP82" s="65"/>
      <c r="BQ82" s="65"/>
      <c r="BR82" s="65"/>
      <c r="BS82" s="65"/>
      <c r="BT82" s="65"/>
      <c r="BU82" s="65"/>
      <c r="BV82" s="65"/>
      <c r="BW82" s="65"/>
      <c r="BX82" s="65"/>
      <c r="BY82" s="65"/>
      <c r="BZ82" s="65"/>
      <c r="CA82" s="65"/>
      <c r="CB82" s="65"/>
      <c r="CC82" s="65"/>
      <c r="CD82" s="65"/>
      <c r="CE82" s="65"/>
      <c r="CF82" s="65"/>
      <c r="CG82" s="65"/>
      <c r="CH82" s="65"/>
      <c r="CI82" s="65"/>
      <c r="CJ82" s="65"/>
      <c r="CK82" s="65"/>
      <c r="CL82" s="65"/>
      <c r="CM82" s="65"/>
      <c r="CN82" s="65"/>
      <c r="CO82" s="66"/>
    </row>
    <row r="83" spans="1:93" x14ac:dyDescent="0.2">
      <c r="A83" s="61"/>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2"/>
      <c r="BD83" s="62"/>
      <c r="BE83" s="62"/>
      <c r="BF83" s="62"/>
      <c r="BG83" s="62"/>
      <c r="BH83" s="62"/>
      <c r="BI83" s="62"/>
      <c r="BJ83" s="62"/>
      <c r="BK83" s="62"/>
      <c r="BL83" s="62"/>
      <c r="BM83" s="62"/>
      <c r="BN83" s="62"/>
      <c r="BO83" s="62"/>
      <c r="BP83" s="62"/>
      <c r="BQ83" s="62"/>
      <c r="BR83" s="62"/>
      <c r="BS83" s="62"/>
      <c r="BT83" s="62"/>
      <c r="BU83" s="62"/>
      <c r="BV83" s="62"/>
      <c r="BW83" s="62"/>
      <c r="BX83" s="62"/>
      <c r="BY83" s="62"/>
      <c r="BZ83" s="62"/>
      <c r="CA83" s="62"/>
      <c r="CB83" s="62"/>
      <c r="CC83" s="62"/>
      <c r="CD83" s="62"/>
      <c r="CE83" s="62"/>
      <c r="CF83" s="62"/>
      <c r="CG83" s="62"/>
      <c r="CH83" s="62"/>
      <c r="CI83" s="62"/>
      <c r="CJ83" s="62"/>
      <c r="CK83" s="62"/>
      <c r="CL83" s="62"/>
      <c r="CM83" s="62"/>
      <c r="CN83" s="62"/>
      <c r="CO83" s="63"/>
    </row>
    <row r="84" spans="1:93" x14ac:dyDescent="0.2">
      <c r="A84" s="64"/>
      <c r="B84" s="65"/>
      <c r="C84" s="65"/>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c r="BC84" s="65"/>
      <c r="BD84" s="65"/>
      <c r="BE84" s="65"/>
      <c r="BF84" s="65"/>
      <c r="BG84" s="65"/>
      <c r="BH84" s="65"/>
      <c r="BI84" s="65"/>
      <c r="BJ84" s="65"/>
      <c r="BK84" s="65"/>
      <c r="BL84" s="65"/>
      <c r="BM84" s="65"/>
      <c r="BN84" s="65"/>
      <c r="BO84" s="65"/>
      <c r="BP84" s="65"/>
      <c r="BQ84" s="65"/>
      <c r="BR84" s="65"/>
      <c r="BS84" s="65"/>
      <c r="BT84" s="65"/>
      <c r="BU84" s="65"/>
      <c r="BV84" s="65"/>
      <c r="BW84" s="65"/>
      <c r="BX84" s="65"/>
      <c r="BY84" s="65"/>
      <c r="BZ84" s="65"/>
      <c r="CA84" s="65"/>
      <c r="CB84" s="65"/>
      <c r="CC84" s="65"/>
      <c r="CD84" s="65"/>
      <c r="CE84" s="65"/>
      <c r="CF84" s="65"/>
      <c r="CG84" s="65"/>
      <c r="CH84" s="65"/>
      <c r="CI84" s="65"/>
      <c r="CJ84" s="65"/>
      <c r="CK84" s="65"/>
      <c r="CL84" s="65"/>
      <c r="CM84" s="65"/>
      <c r="CN84" s="65"/>
      <c r="CO84" s="66"/>
    </row>
    <row r="85" spans="1:93" x14ac:dyDescent="0.2">
      <c r="A85" s="61"/>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2"/>
      <c r="AV85" s="62"/>
      <c r="AW85" s="62"/>
      <c r="AX85" s="62"/>
      <c r="AY85" s="62"/>
      <c r="AZ85" s="62"/>
      <c r="BA85" s="62"/>
      <c r="BB85" s="62"/>
      <c r="BC85" s="62"/>
      <c r="BD85" s="62"/>
      <c r="BE85" s="62"/>
      <c r="BF85" s="62"/>
      <c r="BG85" s="62"/>
      <c r="BH85" s="62"/>
      <c r="BI85" s="62"/>
      <c r="BJ85" s="62"/>
      <c r="BK85" s="62"/>
      <c r="BL85" s="62"/>
      <c r="BM85" s="62"/>
      <c r="BN85" s="62"/>
      <c r="BO85" s="62"/>
      <c r="BP85" s="62"/>
      <c r="BQ85" s="62"/>
      <c r="BR85" s="62"/>
      <c r="BS85" s="62"/>
      <c r="BT85" s="62"/>
      <c r="BU85" s="62"/>
      <c r="BV85" s="62"/>
      <c r="BW85" s="62"/>
      <c r="BX85" s="62"/>
      <c r="BY85" s="62"/>
      <c r="BZ85" s="62"/>
      <c r="CA85" s="62"/>
      <c r="CB85" s="62"/>
      <c r="CC85" s="62"/>
      <c r="CD85" s="62"/>
      <c r="CE85" s="62"/>
      <c r="CF85" s="62"/>
      <c r="CG85" s="62"/>
      <c r="CH85" s="62"/>
      <c r="CI85" s="62"/>
      <c r="CJ85" s="62"/>
      <c r="CK85" s="62"/>
      <c r="CL85" s="62"/>
      <c r="CM85" s="62"/>
      <c r="CN85" s="62"/>
      <c r="CO85" s="63"/>
    </row>
    <row r="86" spans="1:93" x14ac:dyDescent="0.2">
      <c r="A86" s="64"/>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5"/>
      <c r="BR86" s="65"/>
      <c r="BS86" s="65"/>
      <c r="BT86" s="65"/>
      <c r="BU86" s="65"/>
      <c r="BV86" s="65"/>
      <c r="BW86" s="65"/>
      <c r="BX86" s="65"/>
      <c r="BY86" s="65"/>
      <c r="BZ86" s="65"/>
      <c r="CA86" s="65"/>
      <c r="CB86" s="65"/>
      <c r="CC86" s="65"/>
      <c r="CD86" s="65"/>
      <c r="CE86" s="65"/>
      <c r="CF86" s="65"/>
      <c r="CG86" s="65"/>
      <c r="CH86" s="65"/>
      <c r="CI86" s="65"/>
      <c r="CJ86" s="65"/>
      <c r="CK86" s="65"/>
      <c r="CL86" s="65"/>
      <c r="CM86" s="65"/>
      <c r="CN86" s="65"/>
      <c r="CO86" s="66"/>
    </row>
    <row r="87" spans="1:93" x14ac:dyDescent="0.2">
      <c r="A87" s="61"/>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62"/>
      <c r="AG87" s="62"/>
      <c r="AH87" s="62"/>
      <c r="AI87" s="62"/>
      <c r="AJ87" s="62"/>
      <c r="AK87" s="62"/>
      <c r="AL87" s="62"/>
      <c r="AM87" s="62"/>
      <c r="AN87" s="62"/>
      <c r="AO87" s="62"/>
      <c r="AP87" s="62"/>
      <c r="AQ87" s="62"/>
      <c r="AR87" s="62"/>
      <c r="AS87" s="62"/>
      <c r="AT87" s="62"/>
      <c r="AU87" s="62"/>
      <c r="AV87" s="62"/>
      <c r="AW87" s="62"/>
      <c r="AX87" s="62"/>
      <c r="AY87" s="62"/>
      <c r="AZ87" s="62"/>
      <c r="BA87" s="62"/>
      <c r="BB87" s="62"/>
      <c r="BC87" s="62"/>
      <c r="BD87" s="62"/>
      <c r="BE87" s="62"/>
      <c r="BF87" s="62"/>
      <c r="BG87" s="62"/>
      <c r="BH87" s="62"/>
      <c r="BI87" s="62"/>
      <c r="BJ87" s="62"/>
      <c r="BK87" s="62"/>
      <c r="BL87" s="62"/>
      <c r="BM87" s="62"/>
      <c r="BN87" s="62"/>
      <c r="BO87" s="62"/>
      <c r="BP87" s="62"/>
      <c r="BQ87" s="62"/>
      <c r="BR87" s="62"/>
      <c r="BS87" s="62"/>
      <c r="BT87" s="62"/>
      <c r="BU87" s="62"/>
      <c r="BV87" s="62"/>
      <c r="BW87" s="62"/>
      <c r="BX87" s="62"/>
      <c r="BY87" s="62"/>
      <c r="BZ87" s="62"/>
      <c r="CA87" s="62"/>
      <c r="CB87" s="62"/>
      <c r="CC87" s="62"/>
      <c r="CD87" s="62"/>
      <c r="CE87" s="62"/>
      <c r="CF87" s="62"/>
      <c r="CG87" s="62"/>
      <c r="CH87" s="62"/>
      <c r="CI87" s="62"/>
      <c r="CJ87" s="62"/>
      <c r="CK87" s="62"/>
      <c r="CL87" s="62"/>
      <c r="CM87" s="62"/>
      <c r="CN87" s="62"/>
      <c r="CO87" s="63"/>
    </row>
    <row r="88" spans="1:93" x14ac:dyDescent="0.2">
      <c r="A88" s="64"/>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5"/>
      <c r="BR88" s="65"/>
      <c r="BS88" s="65"/>
      <c r="BT88" s="65"/>
      <c r="BU88" s="65"/>
      <c r="BV88" s="65"/>
      <c r="BW88" s="65"/>
      <c r="BX88" s="65"/>
      <c r="BY88" s="65"/>
      <c r="BZ88" s="65"/>
      <c r="CA88" s="65"/>
      <c r="CB88" s="65"/>
      <c r="CC88" s="65"/>
      <c r="CD88" s="65"/>
      <c r="CE88" s="65"/>
      <c r="CF88" s="65"/>
      <c r="CG88" s="65"/>
      <c r="CH88" s="65"/>
      <c r="CI88" s="65"/>
      <c r="CJ88" s="65"/>
      <c r="CK88" s="65"/>
      <c r="CL88" s="65"/>
      <c r="CM88" s="65"/>
      <c r="CN88" s="65"/>
      <c r="CO88" s="66"/>
    </row>
    <row r="89" spans="1:93" x14ac:dyDescent="0.2">
      <c r="A89" s="61"/>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62"/>
      <c r="BD89" s="62"/>
      <c r="BE89" s="62"/>
      <c r="BF89" s="62"/>
      <c r="BG89" s="62"/>
      <c r="BH89" s="62"/>
      <c r="BI89" s="62"/>
      <c r="BJ89" s="62"/>
      <c r="BK89" s="62"/>
      <c r="BL89" s="62"/>
      <c r="BM89" s="62"/>
      <c r="BN89" s="62"/>
      <c r="BO89" s="62"/>
      <c r="BP89" s="62"/>
      <c r="BQ89" s="62"/>
      <c r="BR89" s="62"/>
      <c r="BS89" s="62"/>
      <c r="BT89" s="62"/>
      <c r="BU89" s="62"/>
      <c r="BV89" s="62"/>
      <c r="BW89" s="62"/>
      <c r="BX89" s="62"/>
      <c r="BY89" s="62"/>
      <c r="BZ89" s="62"/>
      <c r="CA89" s="62"/>
      <c r="CB89" s="62"/>
      <c r="CC89" s="62"/>
      <c r="CD89" s="62"/>
      <c r="CE89" s="62"/>
      <c r="CF89" s="62"/>
      <c r="CG89" s="62"/>
      <c r="CH89" s="62"/>
      <c r="CI89" s="62"/>
      <c r="CJ89" s="62"/>
      <c r="CK89" s="62"/>
      <c r="CL89" s="62"/>
      <c r="CM89" s="62"/>
      <c r="CN89" s="62"/>
      <c r="CO89" s="63"/>
    </row>
    <row r="90" spans="1:93" x14ac:dyDescent="0.2">
      <c r="A90" s="64"/>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6"/>
    </row>
    <row r="91" spans="1:93" x14ac:dyDescent="0.2">
      <c r="A91" s="61"/>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c r="BM91" s="62"/>
      <c r="BN91" s="62"/>
      <c r="BO91" s="62"/>
      <c r="BP91" s="62"/>
      <c r="BQ91" s="62"/>
      <c r="BR91" s="62"/>
      <c r="BS91" s="62"/>
      <c r="BT91" s="62"/>
      <c r="BU91" s="62"/>
      <c r="BV91" s="62"/>
      <c r="BW91" s="62"/>
      <c r="BX91" s="62"/>
      <c r="BY91" s="62"/>
      <c r="BZ91" s="62"/>
      <c r="CA91" s="62"/>
      <c r="CB91" s="62"/>
      <c r="CC91" s="62"/>
      <c r="CD91" s="62"/>
      <c r="CE91" s="62"/>
      <c r="CF91" s="62"/>
      <c r="CG91" s="62"/>
      <c r="CH91" s="62"/>
      <c r="CI91" s="62"/>
      <c r="CJ91" s="62"/>
      <c r="CK91" s="62"/>
      <c r="CL91" s="62"/>
      <c r="CM91" s="62"/>
      <c r="CN91" s="62"/>
      <c r="CO91" s="63"/>
    </row>
    <row r="92" spans="1:93" x14ac:dyDescent="0.2">
      <c r="A92" s="64"/>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5"/>
      <c r="BR92" s="65"/>
      <c r="BS92" s="65"/>
      <c r="BT92" s="65"/>
      <c r="BU92" s="65"/>
      <c r="BV92" s="65"/>
      <c r="BW92" s="65"/>
      <c r="BX92" s="65"/>
      <c r="BY92" s="65"/>
      <c r="BZ92" s="65"/>
      <c r="CA92" s="65"/>
      <c r="CB92" s="65"/>
      <c r="CC92" s="65"/>
      <c r="CD92" s="65"/>
      <c r="CE92" s="65"/>
      <c r="CF92" s="65"/>
      <c r="CG92" s="65"/>
      <c r="CH92" s="65"/>
      <c r="CI92" s="65"/>
      <c r="CJ92" s="65"/>
      <c r="CK92" s="65"/>
      <c r="CL92" s="65"/>
      <c r="CM92" s="65"/>
      <c r="CN92" s="65"/>
      <c r="CO92" s="66"/>
    </row>
    <row r="93" spans="1:93" x14ac:dyDescent="0.2">
      <c r="A93" s="61"/>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c r="AW93" s="62"/>
      <c r="AX93" s="62"/>
      <c r="AY93" s="62"/>
      <c r="AZ93" s="62"/>
      <c r="BA93" s="62"/>
      <c r="BB93" s="62"/>
      <c r="BC93" s="62"/>
      <c r="BD93" s="62"/>
      <c r="BE93" s="62"/>
      <c r="BF93" s="62"/>
      <c r="BG93" s="62"/>
      <c r="BH93" s="62"/>
      <c r="BI93" s="62"/>
      <c r="BJ93" s="62"/>
      <c r="BK93" s="62"/>
      <c r="BL93" s="62"/>
      <c r="BM93" s="62"/>
      <c r="BN93" s="62"/>
      <c r="BO93" s="62"/>
      <c r="BP93" s="62"/>
      <c r="BQ93" s="62"/>
      <c r="BR93" s="62"/>
      <c r="BS93" s="62"/>
      <c r="BT93" s="62"/>
      <c r="BU93" s="62"/>
      <c r="BV93" s="62"/>
      <c r="BW93" s="62"/>
      <c r="BX93" s="62"/>
      <c r="BY93" s="62"/>
      <c r="BZ93" s="62"/>
      <c r="CA93" s="62"/>
      <c r="CB93" s="62"/>
      <c r="CC93" s="62"/>
      <c r="CD93" s="62"/>
      <c r="CE93" s="62"/>
      <c r="CF93" s="62"/>
      <c r="CG93" s="62"/>
      <c r="CH93" s="62"/>
      <c r="CI93" s="62"/>
      <c r="CJ93" s="62"/>
      <c r="CK93" s="62"/>
      <c r="CL93" s="62"/>
      <c r="CM93" s="62"/>
      <c r="CN93" s="62"/>
      <c r="CO93" s="63"/>
    </row>
    <row r="94" spans="1:93" x14ac:dyDescent="0.2">
      <c r="A94" s="64"/>
      <c r="B94" s="65"/>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5"/>
      <c r="BR94" s="65"/>
      <c r="BS94" s="65"/>
      <c r="BT94" s="65"/>
      <c r="BU94" s="65"/>
      <c r="BV94" s="65"/>
      <c r="BW94" s="65"/>
      <c r="BX94" s="65"/>
      <c r="BY94" s="65"/>
      <c r="BZ94" s="65"/>
      <c r="CA94" s="65"/>
      <c r="CB94" s="65"/>
      <c r="CC94" s="65"/>
      <c r="CD94" s="65"/>
      <c r="CE94" s="65"/>
      <c r="CF94" s="65"/>
      <c r="CG94" s="65"/>
      <c r="CH94" s="65"/>
      <c r="CI94" s="65"/>
      <c r="CJ94" s="65"/>
      <c r="CK94" s="65"/>
      <c r="CL94" s="65"/>
      <c r="CM94" s="65"/>
      <c r="CN94" s="65"/>
      <c r="CO94" s="66"/>
    </row>
    <row r="95" spans="1:93" x14ac:dyDescent="0.2">
      <c r="A95" s="61"/>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62"/>
      <c r="AG95" s="62"/>
      <c r="AH95" s="62"/>
      <c r="AI95" s="62"/>
      <c r="AJ95" s="62"/>
      <c r="AK95" s="62"/>
      <c r="AL95" s="62"/>
      <c r="AM95" s="62"/>
      <c r="AN95" s="62"/>
      <c r="AO95" s="62"/>
      <c r="AP95" s="62"/>
      <c r="AQ95" s="62"/>
      <c r="AR95" s="62"/>
      <c r="AS95" s="62"/>
      <c r="AT95" s="62"/>
      <c r="AU95" s="62"/>
      <c r="AV95" s="62"/>
      <c r="AW95" s="62"/>
      <c r="AX95" s="62"/>
      <c r="AY95" s="62"/>
      <c r="AZ95" s="62"/>
      <c r="BA95" s="62"/>
      <c r="BB95" s="62"/>
      <c r="BC95" s="62"/>
      <c r="BD95" s="62"/>
      <c r="BE95" s="62"/>
      <c r="BF95" s="62"/>
      <c r="BG95" s="62"/>
      <c r="BH95" s="62"/>
      <c r="BI95" s="62"/>
      <c r="BJ95" s="62"/>
      <c r="BK95" s="62"/>
      <c r="BL95" s="62"/>
      <c r="BM95" s="62"/>
      <c r="BN95" s="62"/>
      <c r="BO95" s="62"/>
      <c r="BP95" s="62"/>
      <c r="BQ95" s="62"/>
      <c r="BR95" s="62"/>
      <c r="BS95" s="62"/>
      <c r="BT95" s="62"/>
      <c r="BU95" s="62"/>
      <c r="BV95" s="62"/>
      <c r="BW95" s="62"/>
      <c r="BX95" s="62"/>
      <c r="BY95" s="62"/>
      <c r="BZ95" s="62"/>
      <c r="CA95" s="62"/>
      <c r="CB95" s="62"/>
      <c r="CC95" s="62"/>
      <c r="CD95" s="62"/>
      <c r="CE95" s="62"/>
      <c r="CF95" s="62"/>
      <c r="CG95" s="62"/>
      <c r="CH95" s="62"/>
      <c r="CI95" s="62"/>
      <c r="CJ95" s="62"/>
      <c r="CK95" s="62"/>
      <c r="CL95" s="62"/>
      <c r="CM95" s="62"/>
      <c r="CN95" s="62"/>
      <c r="CO95" s="63"/>
    </row>
    <row r="96" spans="1:93" x14ac:dyDescent="0.2">
      <c r="A96" s="64"/>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5"/>
      <c r="BR96" s="65"/>
      <c r="BS96" s="65"/>
      <c r="BT96" s="65"/>
      <c r="BU96" s="65"/>
      <c r="BV96" s="65"/>
      <c r="BW96" s="65"/>
      <c r="BX96" s="65"/>
      <c r="BY96" s="65"/>
      <c r="BZ96" s="65"/>
      <c r="CA96" s="65"/>
      <c r="CB96" s="65"/>
      <c r="CC96" s="65"/>
      <c r="CD96" s="65"/>
      <c r="CE96" s="65"/>
      <c r="CF96" s="65"/>
      <c r="CG96" s="65"/>
      <c r="CH96" s="65"/>
      <c r="CI96" s="65"/>
      <c r="CJ96" s="65"/>
      <c r="CK96" s="65"/>
      <c r="CL96" s="65"/>
      <c r="CM96" s="65"/>
      <c r="CN96" s="65"/>
      <c r="CO96" s="66"/>
    </row>
    <row r="97" spans="1:93" x14ac:dyDescent="0.2">
      <c r="A97" s="61"/>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62"/>
      <c r="AG97" s="62"/>
      <c r="AH97" s="62"/>
      <c r="AI97" s="62"/>
      <c r="AJ97" s="62"/>
      <c r="AK97" s="62"/>
      <c r="AL97" s="62"/>
      <c r="AM97" s="62"/>
      <c r="AN97" s="62"/>
      <c r="AO97" s="62"/>
      <c r="AP97" s="62"/>
      <c r="AQ97" s="62"/>
      <c r="AR97" s="62"/>
      <c r="AS97" s="62"/>
      <c r="AT97" s="62"/>
      <c r="AU97" s="62"/>
      <c r="AV97" s="62"/>
      <c r="AW97" s="62"/>
      <c r="AX97" s="62"/>
      <c r="AY97" s="62"/>
      <c r="AZ97" s="62"/>
      <c r="BA97" s="62"/>
      <c r="BB97" s="62"/>
      <c r="BC97" s="62"/>
      <c r="BD97" s="62"/>
      <c r="BE97" s="62"/>
      <c r="BF97" s="62"/>
      <c r="BG97" s="62"/>
      <c r="BH97" s="62"/>
      <c r="BI97" s="62"/>
      <c r="BJ97" s="62"/>
      <c r="BK97" s="62"/>
      <c r="BL97" s="62"/>
      <c r="BM97" s="62"/>
      <c r="BN97" s="62"/>
      <c r="BO97" s="62"/>
      <c r="BP97" s="62"/>
      <c r="BQ97" s="62"/>
      <c r="BR97" s="62"/>
      <c r="BS97" s="62"/>
      <c r="BT97" s="62"/>
      <c r="BU97" s="62"/>
      <c r="BV97" s="62"/>
      <c r="BW97" s="62"/>
      <c r="BX97" s="62"/>
      <c r="BY97" s="62"/>
      <c r="BZ97" s="62"/>
      <c r="CA97" s="62"/>
      <c r="CB97" s="62"/>
      <c r="CC97" s="62"/>
      <c r="CD97" s="62"/>
      <c r="CE97" s="62"/>
      <c r="CF97" s="62"/>
      <c r="CG97" s="62"/>
      <c r="CH97" s="62"/>
      <c r="CI97" s="62"/>
      <c r="CJ97" s="62"/>
      <c r="CK97" s="62"/>
      <c r="CL97" s="62"/>
      <c r="CM97" s="62"/>
      <c r="CN97" s="62"/>
      <c r="CO97" s="63"/>
    </row>
    <row r="98" spans="1:93" x14ac:dyDescent="0.2">
      <c r="A98" s="64"/>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5"/>
      <c r="BR98" s="65"/>
      <c r="BS98" s="65"/>
      <c r="BT98" s="65"/>
      <c r="BU98" s="65"/>
      <c r="BV98" s="65"/>
      <c r="BW98" s="65"/>
      <c r="BX98" s="65"/>
      <c r="BY98" s="65"/>
      <c r="BZ98" s="65"/>
      <c r="CA98" s="65"/>
      <c r="CB98" s="65"/>
      <c r="CC98" s="65"/>
      <c r="CD98" s="65"/>
      <c r="CE98" s="65"/>
      <c r="CF98" s="65"/>
      <c r="CG98" s="65"/>
      <c r="CH98" s="65"/>
      <c r="CI98" s="65"/>
      <c r="CJ98" s="65"/>
      <c r="CK98" s="65"/>
      <c r="CL98" s="65"/>
      <c r="CM98" s="65"/>
      <c r="CN98" s="65"/>
      <c r="CO98" s="66"/>
    </row>
    <row r="99" spans="1:93" x14ac:dyDescent="0.2">
      <c r="A99" s="61"/>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2"/>
      <c r="AO99" s="62"/>
      <c r="AP99" s="62"/>
      <c r="AQ99" s="62"/>
      <c r="AR99" s="62"/>
      <c r="AS99" s="62"/>
      <c r="AT99" s="62"/>
      <c r="AU99" s="62"/>
      <c r="AV99" s="62"/>
      <c r="AW99" s="62"/>
      <c r="AX99" s="62"/>
      <c r="AY99" s="62"/>
      <c r="AZ99" s="62"/>
      <c r="BA99" s="62"/>
      <c r="BB99" s="62"/>
      <c r="BC99" s="62"/>
      <c r="BD99" s="62"/>
      <c r="BE99" s="62"/>
      <c r="BF99" s="62"/>
      <c r="BG99" s="62"/>
      <c r="BH99" s="62"/>
      <c r="BI99" s="62"/>
      <c r="BJ99" s="62"/>
      <c r="BK99" s="62"/>
      <c r="BL99" s="62"/>
      <c r="BM99" s="62"/>
      <c r="BN99" s="62"/>
      <c r="BO99" s="62"/>
      <c r="BP99" s="62"/>
      <c r="BQ99" s="62"/>
      <c r="BR99" s="62"/>
      <c r="BS99" s="62"/>
      <c r="BT99" s="62"/>
      <c r="BU99" s="62"/>
      <c r="BV99" s="62"/>
      <c r="BW99" s="62"/>
      <c r="BX99" s="62"/>
      <c r="BY99" s="62"/>
      <c r="BZ99" s="62"/>
      <c r="CA99" s="62"/>
      <c r="CB99" s="62"/>
      <c r="CC99" s="62"/>
      <c r="CD99" s="62"/>
      <c r="CE99" s="62"/>
      <c r="CF99" s="62"/>
      <c r="CG99" s="62"/>
      <c r="CH99" s="62"/>
      <c r="CI99" s="62"/>
      <c r="CJ99" s="62"/>
      <c r="CK99" s="62"/>
      <c r="CL99" s="62"/>
      <c r="CM99" s="62"/>
      <c r="CN99" s="62"/>
      <c r="CO99" s="63"/>
    </row>
    <row r="100" spans="1:93" x14ac:dyDescent="0.2">
      <c r="A100" s="64"/>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c r="BO100" s="65"/>
      <c r="BP100" s="65"/>
      <c r="BQ100" s="65"/>
      <c r="BR100" s="65"/>
      <c r="BS100" s="65"/>
      <c r="BT100" s="65"/>
      <c r="BU100" s="65"/>
      <c r="BV100" s="65"/>
      <c r="BW100" s="65"/>
      <c r="BX100" s="65"/>
      <c r="BY100" s="65"/>
      <c r="BZ100" s="65"/>
      <c r="CA100" s="65"/>
      <c r="CB100" s="65"/>
      <c r="CC100" s="65"/>
      <c r="CD100" s="65"/>
      <c r="CE100" s="65"/>
      <c r="CF100" s="65"/>
      <c r="CG100" s="65"/>
      <c r="CH100" s="65"/>
      <c r="CI100" s="65"/>
      <c r="CJ100" s="65"/>
      <c r="CK100" s="65"/>
      <c r="CL100" s="65"/>
      <c r="CM100" s="65"/>
      <c r="CN100" s="65"/>
      <c r="CO100" s="66"/>
    </row>
    <row r="101" spans="1:93" x14ac:dyDescent="0.2">
      <c r="A101" s="61"/>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2"/>
      <c r="AO101" s="62"/>
      <c r="AP101" s="62"/>
      <c r="AQ101" s="62"/>
      <c r="AR101" s="62"/>
      <c r="AS101" s="62"/>
      <c r="AT101" s="62"/>
      <c r="AU101" s="62"/>
      <c r="AV101" s="62"/>
      <c r="AW101" s="62"/>
      <c r="AX101" s="62"/>
      <c r="AY101" s="62"/>
      <c r="AZ101" s="62"/>
      <c r="BA101" s="62"/>
      <c r="BB101" s="62"/>
      <c r="BC101" s="62"/>
      <c r="BD101" s="62"/>
      <c r="BE101" s="62"/>
      <c r="BF101" s="62"/>
      <c r="BG101" s="62"/>
      <c r="BH101" s="62"/>
      <c r="BI101" s="62"/>
      <c r="BJ101" s="62"/>
      <c r="BK101" s="62"/>
      <c r="BL101" s="62"/>
      <c r="BM101" s="62"/>
      <c r="BN101" s="62"/>
      <c r="BO101" s="62"/>
      <c r="BP101" s="62"/>
      <c r="BQ101" s="62"/>
      <c r="BR101" s="62"/>
      <c r="BS101" s="62"/>
      <c r="BT101" s="62"/>
      <c r="BU101" s="62"/>
      <c r="BV101" s="62"/>
      <c r="BW101" s="62"/>
      <c r="BX101" s="62"/>
      <c r="BY101" s="62"/>
      <c r="BZ101" s="62"/>
      <c r="CA101" s="62"/>
      <c r="CB101" s="62"/>
      <c r="CC101" s="62"/>
      <c r="CD101" s="62"/>
      <c r="CE101" s="62"/>
      <c r="CF101" s="62"/>
      <c r="CG101" s="62"/>
      <c r="CH101" s="62"/>
      <c r="CI101" s="62"/>
      <c r="CJ101" s="62"/>
      <c r="CK101" s="62"/>
      <c r="CL101" s="62"/>
      <c r="CM101" s="62"/>
      <c r="CN101" s="62"/>
      <c r="CO101" s="63"/>
    </row>
    <row r="102" spans="1:93" x14ac:dyDescent="0.2">
      <c r="A102" s="64"/>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c r="BO102" s="65"/>
      <c r="BP102" s="65"/>
      <c r="BQ102" s="65"/>
      <c r="BR102" s="65"/>
      <c r="BS102" s="65"/>
      <c r="BT102" s="65"/>
      <c r="BU102" s="65"/>
      <c r="BV102" s="65"/>
      <c r="BW102" s="65"/>
      <c r="BX102" s="65"/>
      <c r="BY102" s="65"/>
      <c r="BZ102" s="65"/>
      <c r="CA102" s="65"/>
      <c r="CB102" s="65"/>
      <c r="CC102" s="65"/>
      <c r="CD102" s="65"/>
      <c r="CE102" s="65"/>
      <c r="CF102" s="65"/>
      <c r="CG102" s="65"/>
      <c r="CH102" s="65"/>
      <c r="CI102" s="65"/>
      <c r="CJ102" s="65"/>
      <c r="CK102" s="65"/>
      <c r="CL102" s="65"/>
      <c r="CM102" s="65"/>
      <c r="CN102" s="65"/>
      <c r="CO102" s="66"/>
    </row>
    <row r="103" spans="1:93" x14ac:dyDescent="0.2">
      <c r="A103" s="61"/>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c r="AH103" s="62"/>
      <c r="AI103" s="62"/>
      <c r="AJ103" s="62"/>
      <c r="AK103" s="62"/>
      <c r="AL103" s="62"/>
      <c r="AM103" s="62"/>
      <c r="AN103" s="62"/>
      <c r="AO103" s="62"/>
      <c r="AP103" s="62"/>
      <c r="AQ103" s="62"/>
      <c r="AR103" s="62"/>
      <c r="AS103" s="62"/>
      <c r="AT103" s="62"/>
      <c r="AU103" s="62"/>
      <c r="AV103" s="62"/>
      <c r="AW103" s="62"/>
      <c r="AX103" s="62"/>
      <c r="AY103" s="62"/>
      <c r="AZ103" s="62"/>
      <c r="BA103" s="62"/>
      <c r="BB103" s="62"/>
      <c r="BC103" s="62"/>
      <c r="BD103" s="62"/>
      <c r="BE103" s="62"/>
      <c r="BF103" s="62"/>
      <c r="BG103" s="62"/>
      <c r="BH103" s="62"/>
      <c r="BI103" s="62"/>
      <c r="BJ103" s="62"/>
      <c r="BK103" s="62"/>
      <c r="BL103" s="62"/>
      <c r="BM103" s="62"/>
      <c r="BN103" s="62"/>
      <c r="BO103" s="62"/>
      <c r="BP103" s="62"/>
      <c r="BQ103" s="62"/>
      <c r="BR103" s="62"/>
      <c r="BS103" s="62"/>
      <c r="BT103" s="62"/>
      <c r="BU103" s="62"/>
      <c r="BV103" s="62"/>
      <c r="BW103" s="62"/>
      <c r="BX103" s="62"/>
      <c r="BY103" s="62"/>
      <c r="BZ103" s="62"/>
      <c r="CA103" s="62"/>
      <c r="CB103" s="62"/>
      <c r="CC103" s="62"/>
      <c r="CD103" s="62"/>
      <c r="CE103" s="62"/>
      <c r="CF103" s="62"/>
      <c r="CG103" s="62"/>
      <c r="CH103" s="62"/>
      <c r="CI103" s="62"/>
      <c r="CJ103" s="62"/>
      <c r="CK103" s="62"/>
      <c r="CL103" s="62"/>
      <c r="CM103" s="62"/>
      <c r="CN103" s="62"/>
      <c r="CO103" s="63"/>
    </row>
    <row r="104" spans="1:93" x14ac:dyDescent="0.2">
      <c r="A104" s="64"/>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65"/>
      <c r="BB104" s="65"/>
      <c r="BC104" s="65"/>
      <c r="BD104" s="65"/>
      <c r="BE104" s="65"/>
      <c r="BF104" s="65"/>
      <c r="BG104" s="65"/>
      <c r="BH104" s="65"/>
      <c r="BI104" s="65"/>
      <c r="BJ104" s="65"/>
      <c r="BK104" s="65"/>
      <c r="BL104" s="65"/>
      <c r="BM104" s="65"/>
      <c r="BN104" s="65"/>
      <c r="BO104" s="65"/>
      <c r="BP104" s="65"/>
      <c r="BQ104" s="65"/>
      <c r="BR104" s="65"/>
      <c r="BS104" s="65"/>
      <c r="BT104" s="65"/>
      <c r="BU104" s="65"/>
      <c r="BV104" s="65"/>
      <c r="BW104" s="65"/>
      <c r="BX104" s="65"/>
      <c r="BY104" s="65"/>
      <c r="BZ104" s="65"/>
      <c r="CA104" s="65"/>
      <c r="CB104" s="65"/>
      <c r="CC104" s="65"/>
      <c r="CD104" s="65"/>
      <c r="CE104" s="65"/>
      <c r="CF104" s="65"/>
      <c r="CG104" s="65"/>
      <c r="CH104" s="65"/>
      <c r="CI104" s="65"/>
      <c r="CJ104" s="65"/>
      <c r="CK104" s="65"/>
      <c r="CL104" s="65"/>
      <c r="CM104" s="65"/>
      <c r="CN104" s="65"/>
      <c r="CO104" s="66"/>
    </row>
    <row r="105" spans="1:93" x14ac:dyDescent="0.2">
      <c r="A105" s="61"/>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62"/>
      <c r="BD105" s="62"/>
      <c r="BE105" s="62"/>
      <c r="BF105" s="62"/>
      <c r="BG105" s="62"/>
      <c r="BH105" s="62"/>
      <c r="BI105" s="62"/>
      <c r="BJ105" s="62"/>
      <c r="BK105" s="62"/>
      <c r="BL105" s="62"/>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62"/>
      <c r="CM105" s="62"/>
      <c r="CN105" s="62"/>
      <c r="CO105" s="63"/>
    </row>
    <row r="106" spans="1:93" x14ac:dyDescent="0.2">
      <c r="A106" s="64"/>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65"/>
      <c r="BA106" s="65"/>
      <c r="BB106" s="65"/>
      <c r="BC106" s="65"/>
      <c r="BD106" s="65"/>
      <c r="BE106" s="65"/>
      <c r="BF106" s="65"/>
      <c r="BG106" s="65"/>
      <c r="BH106" s="65"/>
      <c r="BI106" s="65"/>
      <c r="BJ106" s="65"/>
      <c r="BK106" s="65"/>
      <c r="BL106" s="65"/>
      <c r="BM106" s="65"/>
      <c r="BN106" s="65"/>
      <c r="BO106" s="65"/>
      <c r="BP106" s="65"/>
      <c r="BQ106" s="65"/>
      <c r="BR106" s="65"/>
      <c r="BS106" s="65"/>
      <c r="BT106" s="65"/>
      <c r="BU106" s="65"/>
      <c r="BV106" s="65"/>
      <c r="BW106" s="65"/>
      <c r="BX106" s="65"/>
      <c r="BY106" s="65"/>
      <c r="BZ106" s="65"/>
      <c r="CA106" s="65"/>
      <c r="CB106" s="65"/>
      <c r="CC106" s="65"/>
      <c r="CD106" s="65"/>
      <c r="CE106" s="65"/>
      <c r="CF106" s="65"/>
      <c r="CG106" s="65"/>
      <c r="CH106" s="65"/>
      <c r="CI106" s="65"/>
      <c r="CJ106" s="65"/>
      <c r="CK106" s="65"/>
      <c r="CL106" s="65"/>
      <c r="CM106" s="65"/>
      <c r="CN106" s="65"/>
      <c r="CO106" s="66"/>
    </row>
    <row r="107" spans="1:93" x14ac:dyDescent="0.2">
      <c r="A107" s="67"/>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c r="AG107" s="68"/>
      <c r="AH107" s="68"/>
      <c r="AI107" s="68"/>
      <c r="AJ107" s="68"/>
      <c r="AK107" s="68"/>
      <c r="AL107" s="68"/>
      <c r="AM107" s="68"/>
      <c r="AN107" s="68"/>
      <c r="AO107" s="68"/>
      <c r="AP107" s="68"/>
      <c r="AQ107" s="68"/>
      <c r="AR107" s="68"/>
      <c r="AS107" s="68"/>
      <c r="AT107" s="68"/>
      <c r="AU107" s="68"/>
      <c r="AV107" s="68"/>
      <c r="AW107" s="68"/>
      <c r="AX107" s="68"/>
      <c r="AY107" s="68"/>
      <c r="AZ107" s="68"/>
      <c r="BA107" s="68"/>
      <c r="BB107" s="68"/>
      <c r="BC107" s="68"/>
      <c r="BD107" s="68"/>
      <c r="BE107" s="68"/>
      <c r="BF107" s="68"/>
      <c r="BG107" s="68"/>
      <c r="BH107" s="68"/>
      <c r="BI107" s="68"/>
      <c r="BJ107" s="68"/>
      <c r="BK107" s="68"/>
      <c r="BL107" s="68"/>
      <c r="BM107" s="68"/>
      <c r="BN107" s="68"/>
      <c r="BO107" s="68"/>
      <c r="BP107" s="68"/>
      <c r="BQ107" s="68"/>
      <c r="BR107" s="68"/>
      <c r="BS107" s="68"/>
      <c r="BT107" s="68"/>
      <c r="BU107" s="68"/>
      <c r="BV107" s="68"/>
      <c r="BW107" s="68"/>
      <c r="BX107" s="68"/>
      <c r="BY107" s="68"/>
      <c r="BZ107" s="68"/>
      <c r="CA107" s="68"/>
      <c r="CB107" s="68"/>
      <c r="CC107" s="68"/>
      <c r="CD107" s="68"/>
      <c r="CE107" s="68"/>
      <c r="CF107" s="68"/>
      <c r="CG107" s="68"/>
      <c r="CH107" s="68"/>
      <c r="CI107" s="68"/>
      <c r="CJ107" s="68"/>
      <c r="CK107" s="68"/>
      <c r="CL107" s="68"/>
      <c r="CM107" s="68"/>
      <c r="CN107" s="68"/>
      <c r="CO107" s="69"/>
    </row>
    <row r="108" spans="1:93" x14ac:dyDescent="0.2">
      <c r="A108" s="64"/>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65"/>
      <c r="BB108" s="65"/>
      <c r="BC108" s="65"/>
      <c r="BD108" s="65"/>
      <c r="BE108" s="65"/>
      <c r="BF108" s="65"/>
      <c r="BG108" s="65"/>
      <c r="BH108" s="65"/>
      <c r="BI108" s="65"/>
      <c r="BJ108" s="65"/>
      <c r="BK108" s="65"/>
      <c r="BL108" s="65"/>
      <c r="BM108" s="65"/>
      <c r="BN108" s="65"/>
      <c r="BO108" s="65"/>
      <c r="BP108" s="65"/>
      <c r="BQ108" s="65"/>
      <c r="BR108" s="65"/>
      <c r="BS108" s="65"/>
      <c r="BT108" s="65"/>
      <c r="BU108" s="65"/>
      <c r="BV108" s="65"/>
      <c r="BW108" s="65"/>
      <c r="BX108" s="65"/>
      <c r="BY108" s="65"/>
      <c r="BZ108" s="65"/>
      <c r="CA108" s="65"/>
      <c r="CB108" s="65"/>
      <c r="CC108" s="65"/>
      <c r="CD108" s="65"/>
      <c r="CE108" s="65"/>
      <c r="CF108" s="65"/>
      <c r="CG108" s="65"/>
      <c r="CH108" s="65"/>
      <c r="CI108" s="65"/>
      <c r="CJ108" s="65"/>
      <c r="CK108" s="65"/>
      <c r="CL108" s="65"/>
      <c r="CM108" s="65"/>
      <c r="CN108" s="65"/>
      <c r="CO108" s="66"/>
    </row>
    <row r="109" spans="1:93" x14ac:dyDescent="0.2">
      <c r="A109" s="61"/>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62"/>
      <c r="AZ109" s="62"/>
      <c r="BA109" s="62"/>
      <c r="BB109" s="62"/>
      <c r="BC109" s="62"/>
      <c r="BD109" s="62"/>
      <c r="BE109" s="62"/>
      <c r="BF109" s="62"/>
      <c r="BG109" s="62"/>
      <c r="BH109" s="62"/>
      <c r="BI109" s="62"/>
      <c r="BJ109" s="62"/>
      <c r="BK109" s="62"/>
      <c r="BL109" s="62"/>
      <c r="BM109" s="62"/>
      <c r="BN109" s="62"/>
      <c r="BO109" s="62"/>
      <c r="BP109" s="62"/>
      <c r="BQ109" s="62"/>
      <c r="BR109" s="62"/>
      <c r="BS109" s="62"/>
      <c r="BT109" s="62"/>
      <c r="BU109" s="62"/>
      <c r="BV109" s="62"/>
      <c r="BW109" s="62"/>
      <c r="BX109" s="62"/>
      <c r="BY109" s="62"/>
      <c r="BZ109" s="62"/>
      <c r="CA109" s="62"/>
      <c r="CB109" s="62"/>
      <c r="CC109" s="62"/>
      <c r="CD109" s="62"/>
      <c r="CE109" s="62"/>
      <c r="CF109" s="62"/>
      <c r="CG109" s="62"/>
      <c r="CH109" s="62"/>
      <c r="CI109" s="62"/>
      <c r="CJ109" s="62"/>
      <c r="CK109" s="62"/>
      <c r="CL109" s="62"/>
      <c r="CM109" s="62"/>
      <c r="CN109" s="62"/>
      <c r="CO109" s="63"/>
    </row>
    <row r="110" spans="1:93" x14ac:dyDescent="0.2">
      <c r="A110" s="64"/>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c r="AD110" s="65"/>
      <c r="AE110" s="65"/>
      <c r="AF110" s="65"/>
      <c r="AG110" s="65"/>
      <c r="AH110" s="65"/>
      <c r="AI110" s="65"/>
      <c r="AJ110" s="65"/>
      <c r="AK110" s="65"/>
      <c r="AL110" s="65"/>
      <c r="AM110" s="65"/>
      <c r="AN110" s="65"/>
      <c r="AO110" s="65"/>
      <c r="AP110" s="65"/>
      <c r="AQ110" s="65"/>
      <c r="AR110" s="65"/>
      <c r="AS110" s="65"/>
      <c r="AT110" s="65"/>
      <c r="AU110" s="65"/>
      <c r="AV110" s="65"/>
      <c r="AW110" s="65"/>
      <c r="AX110" s="65"/>
      <c r="AY110" s="65"/>
      <c r="AZ110" s="65"/>
      <c r="BA110" s="65"/>
      <c r="BB110" s="65"/>
      <c r="BC110" s="65"/>
      <c r="BD110" s="65"/>
      <c r="BE110" s="65"/>
      <c r="BF110" s="65"/>
      <c r="BG110" s="65"/>
      <c r="BH110" s="65"/>
      <c r="BI110" s="65"/>
      <c r="BJ110" s="65"/>
      <c r="BK110" s="65"/>
      <c r="BL110" s="65"/>
      <c r="BM110" s="65"/>
      <c r="BN110" s="65"/>
      <c r="BO110" s="65"/>
      <c r="BP110" s="65"/>
      <c r="BQ110" s="65"/>
      <c r="BR110" s="65"/>
      <c r="BS110" s="65"/>
      <c r="BT110" s="65"/>
      <c r="BU110" s="65"/>
      <c r="BV110" s="65"/>
      <c r="BW110" s="65"/>
      <c r="BX110" s="65"/>
      <c r="BY110" s="65"/>
      <c r="BZ110" s="65"/>
      <c r="CA110" s="65"/>
      <c r="CB110" s="65"/>
      <c r="CC110" s="65"/>
      <c r="CD110" s="65"/>
      <c r="CE110" s="65"/>
      <c r="CF110" s="65"/>
      <c r="CG110" s="65"/>
      <c r="CH110" s="65"/>
      <c r="CI110" s="65"/>
      <c r="CJ110" s="65"/>
      <c r="CK110" s="65"/>
      <c r="CL110" s="65"/>
      <c r="CM110" s="65"/>
      <c r="CN110" s="65"/>
      <c r="CO110" s="66"/>
    </row>
    <row r="111" spans="1:93" x14ac:dyDescent="0.2">
      <c r="A111" s="61"/>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62"/>
      <c r="AG111" s="62"/>
      <c r="AH111" s="62"/>
      <c r="AI111" s="62"/>
      <c r="AJ111" s="62"/>
      <c r="AK111" s="62"/>
      <c r="AL111" s="62"/>
      <c r="AM111" s="62"/>
      <c r="AN111" s="62"/>
      <c r="AO111" s="62"/>
      <c r="AP111" s="62"/>
      <c r="AQ111" s="62"/>
      <c r="AR111" s="62"/>
      <c r="AS111" s="62"/>
      <c r="AT111" s="62"/>
      <c r="AU111" s="62"/>
      <c r="AV111" s="62"/>
      <c r="AW111" s="62"/>
      <c r="AX111" s="62"/>
      <c r="AY111" s="62"/>
      <c r="AZ111" s="62"/>
      <c r="BA111" s="62"/>
      <c r="BB111" s="62"/>
      <c r="BC111" s="62"/>
      <c r="BD111" s="62"/>
      <c r="BE111" s="62"/>
      <c r="BF111" s="62"/>
      <c r="BG111" s="62"/>
      <c r="BH111" s="62"/>
      <c r="BI111" s="62"/>
      <c r="BJ111" s="62"/>
      <c r="BK111" s="62"/>
      <c r="BL111" s="62"/>
      <c r="BM111" s="62"/>
      <c r="BN111" s="62"/>
      <c r="BO111" s="62"/>
      <c r="BP111" s="62"/>
      <c r="BQ111" s="62"/>
      <c r="BR111" s="62"/>
      <c r="BS111" s="62"/>
      <c r="BT111" s="62"/>
      <c r="BU111" s="62"/>
      <c r="BV111" s="62"/>
      <c r="BW111" s="62"/>
      <c r="BX111" s="62"/>
      <c r="BY111" s="62"/>
      <c r="BZ111" s="62"/>
      <c r="CA111" s="62"/>
      <c r="CB111" s="62"/>
      <c r="CC111" s="62"/>
      <c r="CD111" s="62"/>
      <c r="CE111" s="62"/>
      <c r="CF111" s="62"/>
      <c r="CG111" s="62"/>
      <c r="CH111" s="62"/>
      <c r="CI111" s="62"/>
      <c r="CJ111" s="62"/>
      <c r="CK111" s="62"/>
      <c r="CL111" s="62"/>
      <c r="CM111" s="62"/>
      <c r="CN111" s="62"/>
      <c r="CO111" s="63"/>
    </row>
    <row r="112" spans="1:93" x14ac:dyDescent="0.2">
      <c r="A112" s="64"/>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6"/>
    </row>
    <row r="113" spans="1:93" x14ac:dyDescent="0.2">
      <c r="A113" s="61"/>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2"/>
      <c r="AV113" s="62"/>
      <c r="AW113" s="62"/>
      <c r="AX113" s="62"/>
      <c r="AY113" s="62"/>
      <c r="AZ113" s="62"/>
      <c r="BA113" s="62"/>
      <c r="BB113" s="62"/>
      <c r="BC113" s="62"/>
      <c r="BD113" s="62"/>
      <c r="BE113" s="62"/>
      <c r="BF113" s="62"/>
      <c r="BG113" s="62"/>
      <c r="BH113" s="62"/>
      <c r="BI113" s="62"/>
      <c r="BJ113" s="62"/>
      <c r="BK113" s="62"/>
      <c r="BL113" s="62"/>
      <c r="BM113" s="62"/>
      <c r="BN113" s="62"/>
      <c r="BO113" s="62"/>
      <c r="BP113" s="62"/>
      <c r="BQ113" s="62"/>
      <c r="BR113" s="62"/>
      <c r="BS113" s="62"/>
      <c r="BT113" s="62"/>
      <c r="BU113" s="62"/>
      <c r="BV113" s="62"/>
      <c r="BW113" s="62"/>
      <c r="BX113" s="62"/>
      <c r="BY113" s="62"/>
      <c r="BZ113" s="62"/>
      <c r="CA113" s="62"/>
      <c r="CB113" s="62"/>
      <c r="CC113" s="62"/>
      <c r="CD113" s="62"/>
      <c r="CE113" s="62"/>
      <c r="CF113" s="62"/>
      <c r="CG113" s="62"/>
      <c r="CH113" s="62"/>
      <c r="CI113" s="62"/>
      <c r="CJ113" s="62"/>
      <c r="CK113" s="62"/>
      <c r="CL113" s="62"/>
      <c r="CM113" s="62"/>
      <c r="CN113" s="62"/>
      <c r="CO113" s="63"/>
    </row>
    <row r="114" spans="1:93" x14ac:dyDescent="0.2">
      <c r="A114" s="64"/>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c r="BO114" s="65"/>
      <c r="BP114" s="65"/>
      <c r="BQ114" s="65"/>
      <c r="BR114" s="65"/>
      <c r="BS114" s="65"/>
      <c r="BT114" s="65"/>
      <c r="BU114" s="65"/>
      <c r="BV114" s="65"/>
      <c r="BW114" s="65"/>
      <c r="BX114" s="65"/>
      <c r="BY114" s="65"/>
      <c r="BZ114" s="65"/>
      <c r="CA114" s="65"/>
      <c r="CB114" s="65"/>
      <c r="CC114" s="65"/>
      <c r="CD114" s="65"/>
      <c r="CE114" s="65"/>
      <c r="CF114" s="65"/>
      <c r="CG114" s="65"/>
      <c r="CH114" s="65"/>
      <c r="CI114" s="65"/>
      <c r="CJ114" s="65"/>
      <c r="CK114" s="65"/>
      <c r="CL114" s="65"/>
      <c r="CM114" s="65"/>
      <c r="CN114" s="65"/>
      <c r="CO114" s="66"/>
    </row>
    <row r="115" spans="1:93" x14ac:dyDescent="0.2">
      <c r="A115" s="61"/>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62"/>
      <c r="AZ115" s="62"/>
      <c r="BA115" s="62"/>
      <c r="BB115" s="62"/>
      <c r="BC115" s="62"/>
      <c r="BD115" s="62"/>
      <c r="BE115" s="62"/>
      <c r="BF115" s="62"/>
      <c r="BG115" s="62"/>
      <c r="BH115" s="62"/>
      <c r="BI115" s="62"/>
      <c r="BJ115" s="62"/>
      <c r="BK115" s="62"/>
      <c r="BL115" s="62"/>
      <c r="BM115" s="62"/>
      <c r="BN115" s="62"/>
      <c r="BO115" s="62"/>
      <c r="BP115" s="62"/>
      <c r="BQ115" s="62"/>
      <c r="BR115" s="62"/>
      <c r="BS115" s="62"/>
      <c r="BT115" s="62"/>
      <c r="BU115" s="62"/>
      <c r="BV115" s="62"/>
      <c r="BW115" s="62"/>
      <c r="BX115" s="62"/>
      <c r="BY115" s="62"/>
      <c r="BZ115" s="62"/>
      <c r="CA115" s="62"/>
      <c r="CB115" s="62"/>
      <c r="CC115" s="62"/>
      <c r="CD115" s="62"/>
      <c r="CE115" s="62"/>
      <c r="CF115" s="62"/>
      <c r="CG115" s="62"/>
      <c r="CH115" s="62"/>
      <c r="CI115" s="62"/>
      <c r="CJ115" s="62"/>
      <c r="CK115" s="62"/>
      <c r="CL115" s="62"/>
      <c r="CM115" s="62"/>
      <c r="CN115" s="62"/>
      <c r="CO115" s="63"/>
    </row>
    <row r="116" spans="1:93" x14ac:dyDescent="0.2">
      <c r="A116" s="64"/>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5"/>
      <c r="AF116" s="65"/>
      <c r="AG116" s="65"/>
      <c r="AH116" s="65"/>
      <c r="AI116" s="65"/>
      <c r="AJ116" s="65"/>
      <c r="AK116" s="65"/>
      <c r="AL116" s="65"/>
      <c r="AM116" s="65"/>
      <c r="AN116" s="65"/>
      <c r="AO116" s="65"/>
      <c r="AP116" s="65"/>
      <c r="AQ116" s="65"/>
      <c r="AR116" s="65"/>
      <c r="AS116" s="65"/>
      <c r="AT116" s="65"/>
      <c r="AU116" s="65"/>
      <c r="AV116" s="65"/>
      <c r="AW116" s="65"/>
      <c r="AX116" s="65"/>
      <c r="AY116" s="65"/>
      <c r="AZ116" s="65"/>
      <c r="BA116" s="65"/>
      <c r="BB116" s="65"/>
      <c r="BC116" s="65"/>
      <c r="BD116" s="65"/>
      <c r="BE116" s="65"/>
      <c r="BF116" s="65"/>
      <c r="BG116" s="65"/>
      <c r="BH116" s="65"/>
      <c r="BI116" s="65"/>
      <c r="BJ116" s="65"/>
      <c r="BK116" s="65"/>
      <c r="BL116" s="65"/>
      <c r="BM116" s="65"/>
      <c r="BN116" s="65"/>
      <c r="BO116" s="65"/>
      <c r="BP116" s="65"/>
      <c r="BQ116" s="65"/>
      <c r="BR116" s="65"/>
      <c r="BS116" s="65"/>
      <c r="BT116" s="65"/>
      <c r="BU116" s="65"/>
      <c r="BV116" s="65"/>
      <c r="BW116" s="65"/>
      <c r="BX116" s="65"/>
      <c r="BY116" s="65"/>
      <c r="BZ116" s="65"/>
      <c r="CA116" s="65"/>
      <c r="CB116" s="65"/>
      <c r="CC116" s="65"/>
      <c r="CD116" s="65"/>
      <c r="CE116" s="65"/>
      <c r="CF116" s="65"/>
      <c r="CG116" s="65"/>
      <c r="CH116" s="65"/>
      <c r="CI116" s="65"/>
      <c r="CJ116" s="65"/>
      <c r="CK116" s="65"/>
      <c r="CL116" s="65"/>
      <c r="CM116" s="65"/>
      <c r="CN116" s="65"/>
      <c r="CO116" s="66"/>
    </row>
    <row r="117" spans="1:93" x14ac:dyDescent="0.2">
      <c r="A117" s="61"/>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2"/>
      <c r="BK117" s="62"/>
      <c r="BL117" s="62"/>
      <c r="BM117" s="62"/>
      <c r="BN117" s="62"/>
      <c r="BO117" s="62"/>
      <c r="BP117" s="62"/>
      <c r="BQ117" s="62"/>
      <c r="BR117" s="62"/>
      <c r="BS117" s="62"/>
      <c r="BT117" s="62"/>
      <c r="BU117" s="62"/>
      <c r="BV117" s="62"/>
      <c r="BW117" s="62"/>
      <c r="BX117" s="62"/>
      <c r="BY117" s="62"/>
      <c r="BZ117" s="62"/>
      <c r="CA117" s="62"/>
      <c r="CB117" s="62"/>
      <c r="CC117" s="62"/>
      <c r="CD117" s="62"/>
      <c r="CE117" s="62"/>
      <c r="CF117" s="62"/>
      <c r="CG117" s="62"/>
      <c r="CH117" s="62"/>
      <c r="CI117" s="62"/>
      <c r="CJ117" s="62"/>
      <c r="CK117" s="62"/>
      <c r="CL117" s="62"/>
      <c r="CM117" s="62"/>
      <c r="CN117" s="62"/>
      <c r="CO117" s="63"/>
    </row>
    <row r="118" spans="1:93" x14ac:dyDescent="0.2">
      <c r="A118" s="64"/>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65"/>
      <c r="BB118" s="65"/>
      <c r="BC118" s="65"/>
      <c r="BD118" s="65"/>
      <c r="BE118" s="65"/>
      <c r="BF118" s="65"/>
      <c r="BG118" s="65"/>
      <c r="BH118" s="65"/>
      <c r="BI118" s="65"/>
      <c r="BJ118" s="65"/>
      <c r="BK118" s="65"/>
      <c r="BL118" s="65"/>
      <c r="BM118" s="65"/>
      <c r="BN118" s="65"/>
      <c r="BO118" s="65"/>
      <c r="BP118" s="65"/>
      <c r="BQ118" s="65"/>
      <c r="BR118" s="65"/>
      <c r="BS118" s="65"/>
      <c r="BT118" s="65"/>
      <c r="BU118" s="65"/>
      <c r="BV118" s="65"/>
      <c r="BW118" s="65"/>
      <c r="BX118" s="65"/>
      <c r="BY118" s="65"/>
      <c r="BZ118" s="65"/>
      <c r="CA118" s="65"/>
      <c r="CB118" s="65"/>
      <c r="CC118" s="65"/>
      <c r="CD118" s="65"/>
      <c r="CE118" s="65"/>
      <c r="CF118" s="65"/>
      <c r="CG118" s="65"/>
      <c r="CH118" s="65"/>
      <c r="CI118" s="65"/>
      <c r="CJ118" s="65"/>
      <c r="CK118" s="65"/>
      <c r="CL118" s="65"/>
      <c r="CM118" s="65"/>
      <c r="CN118" s="65"/>
      <c r="CO118" s="66"/>
    </row>
    <row r="119" spans="1:93" x14ac:dyDescent="0.2">
      <c r="A119" s="61"/>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62"/>
      <c r="AV119" s="62"/>
      <c r="AW119" s="62"/>
      <c r="AX119" s="62"/>
      <c r="AY119" s="62"/>
      <c r="AZ119" s="62"/>
      <c r="BA119" s="62"/>
      <c r="BB119" s="62"/>
      <c r="BC119" s="62"/>
      <c r="BD119" s="62"/>
      <c r="BE119" s="62"/>
      <c r="BF119" s="62"/>
      <c r="BG119" s="62"/>
      <c r="BH119" s="62"/>
      <c r="BI119" s="62"/>
      <c r="BJ119" s="62"/>
      <c r="BK119" s="62"/>
      <c r="BL119" s="62"/>
      <c r="BM119" s="62"/>
      <c r="BN119" s="62"/>
      <c r="BO119" s="62"/>
      <c r="BP119" s="62"/>
      <c r="BQ119" s="62"/>
      <c r="BR119" s="62"/>
      <c r="BS119" s="62"/>
      <c r="BT119" s="62"/>
      <c r="BU119" s="62"/>
      <c r="BV119" s="62"/>
      <c r="BW119" s="62"/>
      <c r="BX119" s="62"/>
      <c r="BY119" s="62"/>
      <c r="BZ119" s="62"/>
      <c r="CA119" s="62"/>
      <c r="CB119" s="62"/>
      <c r="CC119" s="62"/>
      <c r="CD119" s="62"/>
      <c r="CE119" s="62"/>
      <c r="CF119" s="62"/>
      <c r="CG119" s="62"/>
      <c r="CH119" s="62"/>
      <c r="CI119" s="62"/>
      <c r="CJ119" s="62"/>
      <c r="CK119" s="62"/>
      <c r="CL119" s="62"/>
      <c r="CM119" s="62"/>
      <c r="CN119" s="62"/>
      <c r="CO119" s="63"/>
    </row>
    <row r="120" spans="1:93" x14ac:dyDescent="0.2">
      <c r="A120" s="64"/>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c r="AC120" s="65"/>
      <c r="AD120" s="65"/>
      <c r="AE120" s="65"/>
      <c r="AF120" s="65"/>
      <c r="AG120" s="65"/>
      <c r="AH120" s="65"/>
      <c r="AI120" s="65"/>
      <c r="AJ120" s="65"/>
      <c r="AK120" s="65"/>
      <c r="AL120" s="65"/>
      <c r="AM120" s="65"/>
      <c r="AN120" s="65"/>
      <c r="AO120" s="65"/>
      <c r="AP120" s="65"/>
      <c r="AQ120" s="65"/>
      <c r="AR120" s="65"/>
      <c r="AS120" s="65"/>
      <c r="AT120" s="65"/>
      <c r="AU120" s="65"/>
      <c r="AV120" s="65"/>
      <c r="AW120" s="65"/>
      <c r="AX120" s="65"/>
      <c r="AY120" s="65"/>
      <c r="AZ120" s="65"/>
      <c r="BA120" s="65"/>
      <c r="BB120" s="65"/>
      <c r="BC120" s="65"/>
      <c r="BD120" s="65"/>
      <c r="BE120" s="65"/>
      <c r="BF120" s="65"/>
      <c r="BG120" s="65"/>
      <c r="BH120" s="65"/>
      <c r="BI120" s="65"/>
      <c r="BJ120" s="65"/>
      <c r="BK120" s="65"/>
      <c r="BL120" s="65"/>
      <c r="BM120" s="65"/>
      <c r="BN120" s="65"/>
      <c r="BO120" s="65"/>
      <c r="BP120" s="65"/>
      <c r="BQ120" s="65"/>
      <c r="BR120" s="65"/>
      <c r="BS120" s="65"/>
      <c r="BT120" s="65"/>
      <c r="BU120" s="65"/>
      <c r="BV120" s="65"/>
      <c r="BW120" s="65"/>
      <c r="BX120" s="65"/>
      <c r="BY120" s="65"/>
      <c r="BZ120" s="65"/>
      <c r="CA120" s="65"/>
      <c r="CB120" s="65"/>
      <c r="CC120" s="65"/>
      <c r="CD120" s="65"/>
      <c r="CE120" s="65"/>
      <c r="CF120" s="65"/>
      <c r="CG120" s="65"/>
      <c r="CH120" s="65"/>
      <c r="CI120" s="65"/>
      <c r="CJ120" s="65"/>
      <c r="CK120" s="65"/>
      <c r="CL120" s="65"/>
      <c r="CM120" s="65"/>
      <c r="CN120" s="65"/>
      <c r="CO120" s="66"/>
    </row>
    <row r="121" spans="1:93" x14ac:dyDescent="0.2">
      <c r="A121" s="61"/>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c r="AY121" s="62"/>
      <c r="AZ121" s="62"/>
      <c r="BA121" s="62"/>
      <c r="BB121" s="62"/>
      <c r="BC121" s="62"/>
      <c r="BD121" s="62"/>
      <c r="BE121" s="62"/>
      <c r="BF121" s="62"/>
      <c r="BG121" s="62"/>
      <c r="BH121" s="62"/>
      <c r="BI121" s="62"/>
      <c r="BJ121" s="62"/>
      <c r="BK121" s="62"/>
      <c r="BL121" s="62"/>
      <c r="BM121" s="62"/>
      <c r="BN121" s="62"/>
      <c r="BO121" s="62"/>
      <c r="BP121" s="62"/>
      <c r="BQ121" s="62"/>
      <c r="BR121" s="62"/>
      <c r="BS121" s="62"/>
      <c r="BT121" s="62"/>
      <c r="BU121" s="62"/>
      <c r="BV121" s="62"/>
      <c r="BW121" s="62"/>
      <c r="BX121" s="62"/>
      <c r="BY121" s="62"/>
      <c r="BZ121" s="62"/>
      <c r="CA121" s="62"/>
      <c r="CB121" s="62"/>
      <c r="CC121" s="62"/>
      <c r="CD121" s="62"/>
      <c r="CE121" s="62"/>
      <c r="CF121" s="62"/>
      <c r="CG121" s="62"/>
      <c r="CH121" s="62"/>
      <c r="CI121" s="62"/>
      <c r="CJ121" s="62"/>
      <c r="CK121" s="62"/>
      <c r="CL121" s="62"/>
      <c r="CM121" s="62"/>
      <c r="CN121" s="62"/>
      <c r="CO121" s="63"/>
    </row>
    <row r="122" spans="1:93" x14ac:dyDescent="0.2">
      <c r="A122" s="64"/>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c r="AX122" s="65"/>
      <c r="AY122" s="65"/>
      <c r="AZ122" s="65"/>
      <c r="BA122" s="65"/>
      <c r="BB122" s="65"/>
      <c r="BC122" s="65"/>
      <c r="BD122" s="65"/>
      <c r="BE122" s="65"/>
      <c r="BF122" s="65"/>
      <c r="BG122" s="65"/>
      <c r="BH122" s="65"/>
      <c r="BI122" s="65"/>
      <c r="BJ122" s="65"/>
      <c r="BK122" s="65"/>
      <c r="BL122" s="65"/>
      <c r="BM122" s="65"/>
      <c r="BN122" s="65"/>
      <c r="BO122" s="65"/>
      <c r="BP122" s="65"/>
      <c r="BQ122" s="65"/>
      <c r="BR122" s="65"/>
      <c r="BS122" s="65"/>
      <c r="BT122" s="65"/>
      <c r="BU122" s="65"/>
      <c r="BV122" s="65"/>
      <c r="BW122" s="65"/>
      <c r="BX122" s="65"/>
      <c r="BY122" s="65"/>
      <c r="BZ122" s="65"/>
      <c r="CA122" s="65"/>
      <c r="CB122" s="65"/>
      <c r="CC122" s="65"/>
      <c r="CD122" s="65"/>
      <c r="CE122" s="65"/>
      <c r="CF122" s="65"/>
      <c r="CG122" s="65"/>
      <c r="CH122" s="65"/>
      <c r="CI122" s="65"/>
      <c r="CJ122" s="65"/>
      <c r="CK122" s="65"/>
      <c r="CL122" s="65"/>
      <c r="CM122" s="65"/>
      <c r="CN122" s="65"/>
      <c r="CO122" s="66"/>
    </row>
    <row r="123" spans="1:93" x14ac:dyDescent="0.2">
      <c r="A123" s="61"/>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2"/>
      <c r="AI123" s="62"/>
      <c r="AJ123" s="62"/>
      <c r="AK123" s="62"/>
      <c r="AL123" s="62"/>
      <c r="AM123" s="62"/>
      <c r="AN123" s="62"/>
      <c r="AO123" s="62"/>
      <c r="AP123" s="62"/>
      <c r="AQ123" s="62"/>
      <c r="AR123" s="62"/>
      <c r="AS123" s="62"/>
      <c r="AT123" s="62"/>
      <c r="AU123" s="62"/>
      <c r="AV123" s="62"/>
      <c r="AW123" s="62"/>
      <c r="AX123" s="62"/>
      <c r="AY123" s="62"/>
      <c r="AZ123" s="62"/>
      <c r="BA123" s="62"/>
      <c r="BB123" s="62"/>
      <c r="BC123" s="62"/>
      <c r="BD123" s="62"/>
      <c r="BE123" s="62"/>
      <c r="BF123" s="62"/>
      <c r="BG123" s="62"/>
      <c r="BH123" s="62"/>
      <c r="BI123" s="62"/>
      <c r="BJ123" s="62"/>
      <c r="BK123" s="62"/>
      <c r="BL123" s="62"/>
      <c r="BM123" s="62"/>
      <c r="BN123" s="62"/>
      <c r="BO123" s="62"/>
      <c r="BP123" s="62"/>
      <c r="BQ123" s="62"/>
      <c r="BR123" s="62"/>
      <c r="BS123" s="62"/>
      <c r="BT123" s="62"/>
      <c r="BU123" s="62"/>
      <c r="BV123" s="62"/>
      <c r="BW123" s="62"/>
      <c r="BX123" s="62"/>
      <c r="BY123" s="62"/>
      <c r="BZ123" s="62"/>
      <c r="CA123" s="62"/>
      <c r="CB123" s="62"/>
      <c r="CC123" s="62"/>
      <c r="CD123" s="62"/>
      <c r="CE123" s="62"/>
      <c r="CF123" s="62"/>
      <c r="CG123" s="62"/>
      <c r="CH123" s="62"/>
      <c r="CI123" s="62"/>
      <c r="CJ123" s="62"/>
      <c r="CK123" s="62"/>
      <c r="CL123" s="62"/>
      <c r="CM123" s="62"/>
      <c r="CN123" s="62"/>
      <c r="CO123" s="63"/>
    </row>
    <row r="124" spans="1:93" x14ac:dyDescent="0.2">
      <c r="A124" s="64"/>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c r="AC124" s="65"/>
      <c r="AD124" s="65"/>
      <c r="AE124" s="65"/>
      <c r="AF124" s="65"/>
      <c r="AG124" s="65"/>
      <c r="AH124" s="65"/>
      <c r="AI124" s="65"/>
      <c r="AJ124" s="65"/>
      <c r="AK124" s="65"/>
      <c r="AL124" s="65"/>
      <c r="AM124" s="65"/>
      <c r="AN124" s="65"/>
      <c r="AO124" s="65"/>
      <c r="AP124" s="65"/>
      <c r="AQ124" s="65"/>
      <c r="AR124" s="65"/>
      <c r="AS124" s="65"/>
      <c r="AT124" s="65"/>
      <c r="AU124" s="65"/>
      <c r="AV124" s="65"/>
      <c r="AW124" s="65"/>
      <c r="AX124" s="65"/>
      <c r="AY124" s="65"/>
      <c r="AZ124" s="65"/>
      <c r="BA124" s="65"/>
      <c r="BB124" s="65"/>
      <c r="BC124" s="65"/>
      <c r="BD124" s="65"/>
      <c r="BE124" s="65"/>
      <c r="BF124" s="65"/>
      <c r="BG124" s="65"/>
      <c r="BH124" s="65"/>
      <c r="BI124" s="65"/>
      <c r="BJ124" s="65"/>
      <c r="BK124" s="65"/>
      <c r="BL124" s="65"/>
      <c r="BM124" s="65"/>
      <c r="BN124" s="65"/>
      <c r="BO124" s="65"/>
      <c r="BP124" s="65"/>
      <c r="BQ124" s="65"/>
      <c r="BR124" s="65"/>
      <c r="BS124" s="65"/>
      <c r="BT124" s="65"/>
      <c r="BU124" s="65"/>
      <c r="BV124" s="65"/>
      <c r="BW124" s="65"/>
      <c r="BX124" s="65"/>
      <c r="BY124" s="65"/>
      <c r="BZ124" s="65"/>
      <c r="CA124" s="65"/>
      <c r="CB124" s="65"/>
      <c r="CC124" s="65"/>
      <c r="CD124" s="65"/>
      <c r="CE124" s="65"/>
      <c r="CF124" s="65"/>
      <c r="CG124" s="65"/>
      <c r="CH124" s="65"/>
      <c r="CI124" s="65"/>
      <c r="CJ124" s="65"/>
      <c r="CK124" s="65"/>
      <c r="CL124" s="65"/>
      <c r="CM124" s="65"/>
      <c r="CN124" s="65"/>
      <c r="CO124" s="66"/>
    </row>
    <row r="125" spans="1:93" x14ac:dyDescent="0.2">
      <c r="A125" s="61"/>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62"/>
      <c r="AL125" s="62"/>
      <c r="AM125" s="62"/>
      <c r="AN125" s="62"/>
      <c r="AO125" s="62"/>
      <c r="AP125" s="62"/>
      <c r="AQ125" s="62"/>
      <c r="AR125" s="62"/>
      <c r="AS125" s="62"/>
      <c r="AT125" s="62"/>
      <c r="AU125" s="62"/>
      <c r="AV125" s="62"/>
      <c r="AW125" s="62"/>
      <c r="AX125" s="62"/>
      <c r="AY125" s="62"/>
      <c r="AZ125" s="62"/>
      <c r="BA125" s="62"/>
      <c r="BB125" s="62"/>
      <c r="BC125" s="62"/>
      <c r="BD125" s="62"/>
      <c r="BE125" s="62"/>
      <c r="BF125" s="62"/>
      <c r="BG125" s="62"/>
      <c r="BH125" s="62"/>
      <c r="BI125" s="62"/>
      <c r="BJ125" s="62"/>
      <c r="BK125" s="62"/>
      <c r="BL125" s="62"/>
      <c r="BM125" s="62"/>
      <c r="BN125" s="62"/>
      <c r="BO125" s="62"/>
      <c r="BP125" s="62"/>
      <c r="BQ125" s="62"/>
      <c r="BR125" s="62"/>
      <c r="BS125" s="62"/>
      <c r="BT125" s="62"/>
      <c r="BU125" s="62"/>
      <c r="BV125" s="62"/>
      <c r="BW125" s="62"/>
      <c r="BX125" s="62"/>
      <c r="BY125" s="62"/>
      <c r="BZ125" s="62"/>
      <c r="CA125" s="62"/>
      <c r="CB125" s="62"/>
      <c r="CC125" s="62"/>
      <c r="CD125" s="62"/>
      <c r="CE125" s="62"/>
      <c r="CF125" s="62"/>
      <c r="CG125" s="62"/>
      <c r="CH125" s="62"/>
      <c r="CI125" s="62"/>
      <c r="CJ125" s="62"/>
      <c r="CK125" s="62"/>
      <c r="CL125" s="62"/>
      <c r="CM125" s="62"/>
      <c r="CN125" s="62"/>
      <c r="CO125" s="63"/>
    </row>
    <row r="126" spans="1:93" x14ac:dyDescent="0.2">
      <c r="A126" s="64"/>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c r="AF126" s="65"/>
      <c r="AG126" s="65"/>
      <c r="AH126" s="65"/>
      <c r="AI126" s="65"/>
      <c r="AJ126" s="65"/>
      <c r="AK126" s="65"/>
      <c r="AL126" s="65"/>
      <c r="AM126" s="65"/>
      <c r="AN126" s="65"/>
      <c r="AO126" s="65"/>
      <c r="AP126" s="65"/>
      <c r="AQ126" s="65"/>
      <c r="AR126" s="65"/>
      <c r="AS126" s="65"/>
      <c r="AT126" s="65"/>
      <c r="AU126" s="65"/>
      <c r="AV126" s="65"/>
      <c r="AW126" s="65"/>
      <c r="AX126" s="65"/>
      <c r="AY126" s="65"/>
      <c r="AZ126" s="65"/>
      <c r="BA126" s="65"/>
      <c r="BB126" s="65"/>
      <c r="BC126" s="65"/>
      <c r="BD126" s="65"/>
      <c r="BE126" s="65"/>
      <c r="BF126" s="65"/>
      <c r="BG126" s="65"/>
      <c r="BH126" s="65"/>
      <c r="BI126" s="65"/>
      <c r="BJ126" s="65"/>
      <c r="BK126" s="65"/>
      <c r="BL126" s="65"/>
      <c r="BM126" s="65"/>
      <c r="BN126" s="65"/>
      <c r="BO126" s="65"/>
      <c r="BP126" s="65"/>
      <c r="BQ126" s="65"/>
      <c r="BR126" s="65"/>
      <c r="BS126" s="65"/>
      <c r="BT126" s="65"/>
      <c r="BU126" s="65"/>
      <c r="BV126" s="65"/>
      <c r="BW126" s="65"/>
      <c r="BX126" s="65"/>
      <c r="BY126" s="65"/>
      <c r="BZ126" s="65"/>
      <c r="CA126" s="65"/>
      <c r="CB126" s="65"/>
      <c r="CC126" s="65"/>
      <c r="CD126" s="65"/>
      <c r="CE126" s="65"/>
      <c r="CF126" s="65"/>
      <c r="CG126" s="65"/>
      <c r="CH126" s="65"/>
      <c r="CI126" s="65"/>
      <c r="CJ126" s="65"/>
      <c r="CK126" s="65"/>
      <c r="CL126" s="65"/>
      <c r="CM126" s="65"/>
      <c r="CN126" s="65"/>
      <c r="CO126" s="66"/>
    </row>
    <row r="127" spans="1:93" x14ac:dyDescent="0.2">
      <c r="A127" s="61"/>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c r="AU127" s="62"/>
      <c r="AV127" s="62"/>
      <c r="AW127" s="62"/>
      <c r="AX127" s="62"/>
      <c r="AY127" s="62"/>
      <c r="AZ127" s="62"/>
      <c r="BA127" s="62"/>
      <c r="BB127" s="62"/>
      <c r="BC127" s="62"/>
      <c r="BD127" s="62"/>
      <c r="BE127" s="62"/>
      <c r="BF127" s="62"/>
      <c r="BG127" s="62"/>
      <c r="BH127" s="62"/>
      <c r="BI127" s="62"/>
      <c r="BJ127" s="62"/>
      <c r="BK127" s="62"/>
      <c r="BL127" s="62"/>
      <c r="BM127" s="62"/>
      <c r="BN127" s="62"/>
      <c r="BO127" s="62"/>
      <c r="BP127" s="62"/>
      <c r="BQ127" s="62"/>
      <c r="BR127" s="62"/>
      <c r="BS127" s="62"/>
      <c r="BT127" s="62"/>
      <c r="BU127" s="62"/>
      <c r="BV127" s="62"/>
      <c r="BW127" s="62"/>
      <c r="BX127" s="62"/>
      <c r="BY127" s="62"/>
      <c r="BZ127" s="62"/>
      <c r="CA127" s="62"/>
      <c r="CB127" s="62"/>
      <c r="CC127" s="62"/>
      <c r="CD127" s="62"/>
      <c r="CE127" s="62"/>
      <c r="CF127" s="62"/>
      <c r="CG127" s="62"/>
      <c r="CH127" s="62"/>
      <c r="CI127" s="62"/>
      <c r="CJ127" s="62"/>
      <c r="CK127" s="62"/>
      <c r="CL127" s="62"/>
      <c r="CM127" s="62"/>
      <c r="CN127" s="62"/>
      <c r="CO127" s="63"/>
    </row>
    <row r="128" spans="1:93" x14ac:dyDescent="0.2">
      <c r="A128" s="64"/>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c r="AF128" s="65"/>
      <c r="AG128" s="65"/>
      <c r="AH128" s="65"/>
      <c r="AI128" s="65"/>
      <c r="AJ128" s="65"/>
      <c r="AK128" s="65"/>
      <c r="AL128" s="65"/>
      <c r="AM128" s="65"/>
      <c r="AN128" s="65"/>
      <c r="AO128" s="65"/>
      <c r="AP128" s="65"/>
      <c r="AQ128" s="65"/>
      <c r="AR128" s="65"/>
      <c r="AS128" s="65"/>
      <c r="AT128" s="65"/>
      <c r="AU128" s="65"/>
      <c r="AV128" s="65"/>
      <c r="AW128" s="65"/>
      <c r="AX128" s="65"/>
      <c r="AY128" s="65"/>
      <c r="AZ128" s="65"/>
      <c r="BA128" s="65"/>
      <c r="BB128" s="65"/>
      <c r="BC128" s="65"/>
      <c r="BD128" s="65"/>
      <c r="BE128" s="65"/>
      <c r="BF128" s="65"/>
      <c r="BG128" s="65"/>
      <c r="BH128" s="65"/>
      <c r="BI128" s="65"/>
      <c r="BJ128" s="65"/>
      <c r="BK128" s="65"/>
      <c r="BL128" s="65"/>
      <c r="BM128" s="65"/>
      <c r="BN128" s="65"/>
      <c r="BO128" s="65"/>
      <c r="BP128" s="65"/>
      <c r="BQ128" s="65"/>
      <c r="BR128" s="65"/>
      <c r="BS128" s="65"/>
      <c r="BT128" s="65"/>
      <c r="BU128" s="65"/>
      <c r="BV128" s="65"/>
      <c r="BW128" s="65"/>
      <c r="BX128" s="65"/>
      <c r="BY128" s="65"/>
      <c r="BZ128" s="65"/>
      <c r="CA128" s="65"/>
      <c r="CB128" s="65"/>
      <c r="CC128" s="65"/>
      <c r="CD128" s="65"/>
      <c r="CE128" s="65"/>
      <c r="CF128" s="65"/>
      <c r="CG128" s="65"/>
      <c r="CH128" s="65"/>
      <c r="CI128" s="65"/>
      <c r="CJ128" s="65"/>
      <c r="CK128" s="65"/>
      <c r="CL128" s="65"/>
      <c r="CM128" s="65"/>
      <c r="CN128" s="65"/>
      <c r="CO128" s="66"/>
    </row>
    <row r="129" spans="1:93" x14ac:dyDescent="0.2">
      <c r="A129" s="61"/>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62"/>
      <c r="AF129" s="62"/>
      <c r="AG129" s="62"/>
      <c r="AH129" s="62"/>
      <c r="AI129" s="62"/>
      <c r="AJ129" s="62"/>
      <c r="AK129" s="62"/>
      <c r="AL129" s="62"/>
      <c r="AM129" s="62"/>
      <c r="AN129" s="62"/>
      <c r="AO129" s="62"/>
      <c r="AP129" s="62"/>
      <c r="AQ129" s="62"/>
      <c r="AR129" s="62"/>
      <c r="AS129" s="62"/>
      <c r="AT129" s="62"/>
      <c r="AU129" s="62"/>
      <c r="AV129" s="62"/>
      <c r="AW129" s="62"/>
      <c r="AX129" s="62"/>
      <c r="AY129" s="62"/>
      <c r="AZ129" s="62"/>
      <c r="BA129" s="62"/>
      <c r="BB129" s="62"/>
      <c r="BC129" s="62"/>
      <c r="BD129" s="62"/>
      <c r="BE129" s="62"/>
      <c r="BF129" s="62"/>
      <c r="BG129" s="62"/>
      <c r="BH129" s="62"/>
      <c r="BI129" s="62"/>
      <c r="BJ129" s="62"/>
      <c r="BK129" s="62"/>
      <c r="BL129" s="62"/>
      <c r="BM129" s="62"/>
      <c r="BN129" s="62"/>
      <c r="BO129" s="62"/>
      <c r="BP129" s="62"/>
      <c r="BQ129" s="62"/>
      <c r="BR129" s="62"/>
      <c r="BS129" s="62"/>
      <c r="BT129" s="62"/>
      <c r="BU129" s="62"/>
      <c r="BV129" s="62"/>
      <c r="BW129" s="62"/>
      <c r="BX129" s="62"/>
      <c r="BY129" s="62"/>
      <c r="BZ129" s="62"/>
      <c r="CA129" s="62"/>
      <c r="CB129" s="62"/>
      <c r="CC129" s="62"/>
      <c r="CD129" s="62"/>
      <c r="CE129" s="62"/>
      <c r="CF129" s="62"/>
      <c r="CG129" s="62"/>
      <c r="CH129" s="62"/>
      <c r="CI129" s="62"/>
      <c r="CJ129" s="62"/>
      <c r="CK129" s="62"/>
      <c r="CL129" s="62"/>
      <c r="CM129" s="62"/>
      <c r="CN129" s="62"/>
      <c r="CO129" s="63"/>
    </row>
    <row r="130" spans="1:93" x14ac:dyDescent="0.2">
      <c r="A130" s="64"/>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c r="AX130" s="65"/>
      <c r="AY130" s="65"/>
      <c r="AZ130" s="65"/>
      <c r="BA130" s="65"/>
      <c r="BB130" s="65"/>
      <c r="BC130" s="65"/>
      <c r="BD130" s="65"/>
      <c r="BE130" s="65"/>
      <c r="BF130" s="65"/>
      <c r="BG130" s="65"/>
      <c r="BH130" s="65"/>
      <c r="BI130" s="65"/>
      <c r="BJ130" s="65"/>
      <c r="BK130" s="65"/>
      <c r="BL130" s="65"/>
      <c r="BM130" s="65"/>
      <c r="BN130" s="65"/>
      <c r="BO130" s="65"/>
      <c r="BP130" s="65"/>
      <c r="BQ130" s="65"/>
      <c r="BR130" s="65"/>
      <c r="BS130" s="65"/>
      <c r="BT130" s="65"/>
      <c r="BU130" s="65"/>
      <c r="BV130" s="65"/>
      <c r="BW130" s="65"/>
      <c r="BX130" s="65"/>
      <c r="BY130" s="65"/>
      <c r="BZ130" s="65"/>
      <c r="CA130" s="65"/>
      <c r="CB130" s="65"/>
      <c r="CC130" s="65"/>
      <c r="CD130" s="65"/>
      <c r="CE130" s="65"/>
      <c r="CF130" s="65"/>
      <c r="CG130" s="65"/>
      <c r="CH130" s="65"/>
      <c r="CI130" s="65"/>
      <c r="CJ130" s="65"/>
      <c r="CK130" s="65"/>
      <c r="CL130" s="65"/>
      <c r="CM130" s="65"/>
      <c r="CN130" s="65"/>
      <c r="CO130" s="66"/>
    </row>
    <row r="131" spans="1:93" x14ac:dyDescent="0.2">
      <c r="A131" s="61"/>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62"/>
      <c r="AF131" s="62"/>
      <c r="AG131" s="62"/>
      <c r="AH131" s="62"/>
      <c r="AI131" s="62"/>
      <c r="AJ131" s="62"/>
      <c r="AK131" s="62"/>
      <c r="AL131" s="62"/>
      <c r="AM131" s="62"/>
      <c r="AN131" s="62"/>
      <c r="AO131" s="62"/>
      <c r="AP131" s="62"/>
      <c r="AQ131" s="62"/>
      <c r="AR131" s="62"/>
      <c r="AS131" s="62"/>
      <c r="AT131" s="62"/>
      <c r="AU131" s="62"/>
      <c r="AV131" s="62"/>
      <c r="AW131" s="62"/>
      <c r="AX131" s="62"/>
      <c r="AY131" s="62"/>
      <c r="AZ131" s="62"/>
      <c r="BA131" s="62"/>
      <c r="BB131" s="62"/>
      <c r="BC131" s="62"/>
      <c r="BD131" s="62"/>
      <c r="BE131" s="62"/>
      <c r="BF131" s="62"/>
      <c r="BG131" s="62"/>
      <c r="BH131" s="62"/>
      <c r="BI131" s="62"/>
      <c r="BJ131" s="62"/>
      <c r="BK131" s="62"/>
      <c r="BL131" s="62"/>
      <c r="BM131" s="62"/>
      <c r="BN131" s="62"/>
      <c r="BO131" s="62"/>
      <c r="BP131" s="62"/>
      <c r="BQ131" s="62"/>
      <c r="BR131" s="62"/>
      <c r="BS131" s="62"/>
      <c r="BT131" s="62"/>
      <c r="BU131" s="62"/>
      <c r="BV131" s="62"/>
      <c r="BW131" s="62"/>
      <c r="BX131" s="62"/>
      <c r="BY131" s="62"/>
      <c r="BZ131" s="62"/>
      <c r="CA131" s="62"/>
      <c r="CB131" s="62"/>
      <c r="CC131" s="62"/>
      <c r="CD131" s="62"/>
      <c r="CE131" s="62"/>
      <c r="CF131" s="62"/>
      <c r="CG131" s="62"/>
      <c r="CH131" s="62"/>
      <c r="CI131" s="62"/>
      <c r="CJ131" s="62"/>
      <c r="CK131" s="62"/>
      <c r="CL131" s="62"/>
      <c r="CM131" s="62"/>
      <c r="CN131" s="62"/>
      <c r="CO131" s="63"/>
    </row>
    <row r="132" spans="1:93" x14ac:dyDescent="0.2">
      <c r="A132" s="64"/>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c r="AC132" s="65"/>
      <c r="AD132" s="65"/>
      <c r="AE132" s="65"/>
      <c r="AF132" s="65"/>
      <c r="AG132" s="65"/>
      <c r="AH132" s="65"/>
      <c r="AI132" s="65"/>
      <c r="AJ132" s="65"/>
      <c r="AK132" s="65"/>
      <c r="AL132" s="65"/>
      <c r="AM132" s="65"/>
      <c r="AN132" s="65"/>
      <c r="AO132" s="65"/>
      <c r="AP132" s="65"/>
      <c r="AQ132" s="65"/>
      <c r="AR132" s="65"/>
      <c r="AS132" s="65"/>
      <c r="AT132" s="65"/>
      <c r="AU132" s="65"/>
      <c r="AV132" s="65"/>
      <c r="AW132" s="65"/>
      <c r="AX132" s="65"/>
      <c r="AY132" s="65"/>
      <c r="AZ132" s="65"/>
      <c r="BA132" s="65"/>
      <c r="BB132" s="65"/>
      <c r="BC132" s="65"/>
      <c r="BD132" s="65"/>
      <c r="BE132" s="65"/>
      <c r="BF132" s="65"/>
      <c r="BG132" s="65"/>
      <c r="BH132" s="65"/>
      <c r="BI132" s="65"/>
      <c r="BJ132" s="65"/>
      <c r="BK132" s="65"/>
      <c r="BL132" s="65"/>
      <c r="BM132" s="65"/>
      <c r="BN132" s="65"/>
      <c r="BO132" s="65"/>
      <c r="BP132" s="65"/>
      <c r="BQ132" s="65"/>
      <c r="BR132" s="65"/>
      <c r="BS132" s="65"/>
      <c r="BT132" s="65"/>
      <c r="BU132" s="65"/>
      <c r="BV132" s="65"/>
      <c r="BW132" s="65"/>
      <c r="BX132" s="65"/>
      <c r="BY132" s="65"/>
      <c r="BZ132" s="65"/>
      <c r="CA132" s="65"/>
      <c r="CB132" s="65"/>
      <c r="CC132" s="65"/>
      <c r="CD132" s="65"/>
      <c r="CE132" s="65"/>
      <c r="CF132" s="65"/>
      <c r="CG132" s="65"/>
      <c r="CH132" s="65"/>
      <c r="CI132" s="65"/>
      <c r="CJ132" s="65"/>
      <c r="CK132" s="65"/>
      <c r="CL132" s="65"/>
      <c r="CM132" s="65"/>
      <c r="CN132" s="65"/>
      <c r="CO132" s="66"/>
    </row>
    <row r="133" spans="1:93" x14ac:dyDescent="0.2">
      <c r="A133" s="61"/>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2"/>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62"/>
      <c r="CM133" s="62"/>
      <c r="CN133" s="62"/>
      <c r="CO133" s="63"/>
    </row>
    <row r="134" spans="1:93" x14ac:dyDescent="0.2">
      <c r="A134" s="64"/>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c r="AC134" s="65"/>
      <c r="AD134" s="65"/>
      <c r="AE134" s="65"/>
      <c r="AF134" s="65"/>
      <c r="AG134" s="65"/>
      <c r="AH134" s="65"/>
      <c r="AI134" s="65"/>
      <c r="AJ134" s="65"/>
      <c r="AK134" s="65"/>
      <c r="AL134" s="65"/>
      <c r="AM134" s="65"/>
      <c r="AN134" s="65"/>
      <c r="AO134" s="65"/>
      <c r="AP134" s="65"/>
      <c r="AQ134" s="65"/>
      <c r="AR134" s="65"/>
      <c r="AS134" s="65"/>
      <c r="AT134" s="65"/>
      <c r="AU134" s="65"/>
      <c r="AV134" s="65"/>
      <c r="AW134" s="65"/>
      <c r="AX134" s="65"/>
      <c r="AY134" s="65"/>
      <c r="AZ134" s="65"/>
      <c r="BA134" s="65"/>
      <c r="BB134" s="65"/>
      <c r="BC134" s="65"/>
      <c r="BD134" s="65"/>
      <c r="BE134" s="65"/>
      <c r="BF134" s="65"/>
      <c r="BG134" s="65"/>
      <c r="BH134" s="65"/>
      <c r="BI134" s="65"/>
      <c r="BJ134" s="65"/>
      <c r="BK134" s="65"/>
      <c r="BL134" s="65"/>
      <c r="BM134" s="65"/>
      <c r="BN134" s="65"/>
      <c r="BO134" s="65"/>
      <c r="BP134" s="65"/>
      <c r="BQ134" s="65"/>
      <c r="BR134" s="65"/>
      <c r="BS134" s="65"/>
      <c r="BT134" s="65"/>
      <c r="BU134" s="65"/>
      <c r="BV134" s="65"/>
      <c r="BW134" s="65"/>
      <c r="BX134" s="65"/>
      <c r="BY134" s="65"/>
      <c r="BZ134" s="65"/>
      <c r="CA134" s="65"/>
      <c r="CB134" s="65"/>
      <c r="CC134" s="65"/>
      <c r="CD134" s="65"/>
      <c r="CE134" s="65"/>
      <c r="CF134" s="65"/>
      <c r="CG134" s="65"/>
      <c r="CH134" s="65"/>
      <c r="CI134" s="65"/>
      <c r="CJ134" s="65"/>
      <c r="CK134" s="65"/>
      <c r="CL134" s="65"/>
      <c r="CM134" s="65"/>
      <c r="CN134" s="65"/>
      <c r="CO134" s="66"/>
    </row>
    <row r="135" spans="1:93" x14ac:dyDescent="0.2">
      <c r="A135" s="61"/>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2"/>
      <c r="AK135" s="62"/>
      <c r="AL135" s="62"/>
      <c r="AM135" s="62"/>
      <c r="AN135" s="62"/>
      <c r="AO135" s="62"/>
      <c r="AP135" s="62"/>
      <c r="AQ135" s="62"/>
      <c r="AR135" s="62"/>
      <c r="AS135" s="62"/>
      <c r="AT135" s="62"/>
      <c r="AU135" s="62"/>
      <c r="AV135" s="62"/>
      <c r="AW135" s="62"/>
      <c r="AX135" s="62"/>
      <c r="AY135" s="62"/>
      <c r="AZ135" s="62"/>
      <c r="BA135" s="62"/>
      <c r="BB135" s="62"/>
      <c r="BC135" s="62"/>
      <c r="BD135" s="62"/>
      <c r="BE135" s="62"/>
      <c r="BF135" s="62"/>
      <c r="BG135" s="62"/>
      <c r="BH135" s="62"/>
      <c r="BI135" s="62"/>
      <c r="BJ135" s="62"/>
      <c r="BK135" s="62"/>
      <c r="BL135" s="62"/>
      <c r="BM135" s="62"/>
      <c r="BN135" s="62"/>
      <c r="BO135" s="62"/>
      <c r="BP135" s="62"/>
      <c r="BQ135" s="62"/>
      <c r="BR135" s="62"/>
      <c r="BS135" s="62"/>
      <c r="BT135" s="62"/>
      <c r="BU135" s="62"/>
      <c r="BV135" s="62"/>
      <c r="BW135" s="62"/>
      <c r="BX135" s="62"/>
      <c r="BY135" s="62"/>
      <c r="BZ135" s="62"/>
      <c r="CA135" s="62"/>
      <c r="CB135" s="62"/>
      <c r="CC135" s="62"/>
      <c r="CD135" s="62"/>
      <c r="CE135" s="62"/>
      <c r="CF135" s="62"/>
      <c r="CG135" s="62"/>
      <c r="CH135" s="62"/>
      <c r="CI135" s="62"/>
      <c r="CJ135" s="62"/>
      <c r="CK135" s="62"/>
      <c r="CL135" s="62"/>
      <c r="CM135" s="62"/>
      <c r="CN135" s="62"/>
      <c r="CO135" s="63"/>
    </row>
    <row r="136" spans="1:93" x14ac:dyDescent="0.2">
      <c r="A136" s="64"/>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c r="AB136" s="65"/>
      <c r="AC136" s="65"/>
      <c r="AD136" s="65"/>
      <c r="AE136" s="65"/>
      <c r="AF136" s="65"/>
      <c r="AG136" s="65"/>
      <c r="AH136" s="65"/>
      <c r="AI136" s="65"/>
      <c r="AJ136" s="65"/>
      <c r="AK136" s="65"/>
      <c r="AL136" s="65"/>
      <c r="AM136" s="65"/>
      <c r="AN136" s="65"/>
      <c r="AO136" s="65"/>
      <c r="AP136" s="65"/>
      <c r="AQ136" s="65"/>
      <c r="AR136" s="65"/>
      <c r="AS136" s="65"/>
      <c r="AT136" s="65"/>
      <c r="AU136" s="65"/>
      <c r="AV136" s="65"/>
      <c r="AW136" s="65"/>
      <c r="AX136" s="65"/>
      <c r="AY136" s="65"/>
      <c r="AZ136" s="65"/>
      <c r="BA136" s="65"/>
      <c r="BB136" s="65"/>
      <c r="BC136" s="65"/>
      <c r="BD136" s="65"/>
      <c r="BE136" s="65"/>
      <c r="BF136" s="65"/>
      <c r="BG136" s="65"/>
      <c r="BH136" s="65"/>
      <c r="BI136" s="65"/>
      <c r="BJ136" s="65"/>
      <c r="BK136" s="65"/>
      <c r="BL136" s="65"/>
      <c r="BM136" s="65"/>
      <c r="BN136" s="65"/>
      <c r="BO136" s="65"/>
      <c r="BP136" s="65"/>
      <c r="BQ136" s="65"/>
      <c r="BR136" s="65"/>
      <c r="BS136" s="65"/>
      <c r="BT136" s="65"/>
      <c r="BU136" s="65"/>
      <c r="BV136" s="65"/>
      <c r="BW136" s="65"/>
      <c r="BX136" s="65"/>
      <c r="BY136" s="65"/>
      <c r="BZ136" s="65"/>
      <c r="CA136" s="65"/>
      <c r="CB136" s="65"/>
      <c r="CC136" s="65"/>
      <c r="CD136" s="65"/>
      <c r="CE136" s="65"/>
      <c r="CF136" s="65"/>
      <c r="CG136" s="65"/>
      <c r="CH136" s="65"/>
      <c r="CI136" s="65"/>
      <c r="CJ136" s="65"/>
      <c r="CK136" s="65"/>
      <c r="CL136" s="65"/>
      <c r="CM136" s="65"/>
      <c r="CN136" s="65"/>
      <c r="CO136" s="66"/>
    </row>
    <row r="137" spans="1:93" x14ac:dyDescent="0.2">
      <c r="A137" s="61"/>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c r="AE137" s="62"/>
      <c r="AF137" s="62"/>
      <c r="AG137" s="62"/>
      <c r="AH137" s="62"/>
      <c r="AI137" s="62"/>
      <c r="AJ137" s="62"/>
      <c r="AK137" s="62"/>
      <c r="AL137" s="62"/>
      <c r="AM137" s="62"/>
      <c r="AN137" s="62"/>
      <c r="AO137" s="62"/>
      <c r="AP137" s="62"/>
      <c r="AQ137" s="62"/>
      <c r="AR137" s="62"/>
      <c r="AS137" s="62"/>
      <c r="AT137" s="62"/>
      <c r="AU137" s="62"/>
      <c r="AV137" s="62"/>
      <c r="AW137" s="62"/>
      <c r="AX137" s="62"/>
      <c r="AY137" s="62"/>
      <c r="AZ137" s="62"/>
      <c r="BA137" s="62"/>
      <c r="BB137" s="62"/>
      <c r="BC137" s="62"/>
      <c r="BD137" s="62"/>
      <c r="BE137" s="62"/>
      <c r="BF137" s="62"/>
      <c r="BG137" s="62"/>
      <c r="BH137" s="62"/>
      <c r="BI137" s="62"/>
      <c r="BJ137" s="62"/>
      <c r="BK137" s="62"/>
      <c r="BL137" s="62"/>
      <c r="BM137" s="62"/>
      <c r="BN137" s="62"/>
      <c r="BO137" s="62"/>
      <c r="BP137" s="62"/>
      <c r="BQ137" s="62"/>
      <c r="BR137" s="62"/>
      <c r="BS137" s="62"/>
      <c r="BT137" s="62"/>
      <c r="BU137" s="62"/>
      <c r="BV137" s="62"/>
      <c r="BW137" s="62"/>
      <c r="BX137" s="62"/>
      <c r="BY137" s="62"/>
      <c r="BZ137" s="62"/>
      <c r="CA137" s="62"/>
      <c r="CB137" s="62"/>
      <c r="CC137" s="62"/>
      <c r="CD137" s="62"/>
      <c r="CE137" s="62"/>
      <c r="CF137" s="62"/>
      <c r="CG137" s="62"/>
      <c r="CH137" s="62"/>
      <c r="CI137" s="62"/>
      <c r="CJ137" s="62"/>
      <c r="CK137" s="62"/>
      <c r="CL137" s="62"/>
      <c r="CM137" s="62"/>
      <c r="CN137" s="62"/>
      <c r="CO137" s="63"/>
    </row>
    <row r="138" spans="1:93" x14ac:dyDescent="0.2">
      <c r="A138" s="64"/>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c r="AC138" s="65"/>
      <c r="AD138" s="65"/>
      <c r="AE138" s="65"/>
      <c r="AF138" s="65"/>
      <c r="AG138" s="65"/>
      <c r="AH138" s="65"/>
      <c r="AI138" s="65"/>
      <c r="AJ138" s="65"/>
      <c r="AK138" s="65"/>
      <c r="AL138" s="65"/>
      <c r="AM138" s="65"/>
      <c r="AN138" s="65"/>
      <c r="AO138" s="65"/>
      <c r="AP138" s="65"/>
      <c r="AQ138" s="65"/>
      <c r="AR138" s="65"/>
      <c r="AS138" s="65"/>
      <c r="AT138" s="65"/>
      <c r="AU138" s="65"/>
      <c r="AV138" s="65"/>
      <c r="AW138" s="65"/>
      <c r="AX138" s="65"/>
      <c r="AY138" s="65"/>
      <c r="AZ138" s="65"/>
      <c r="BA138" s="65"/>
      <c r="BB138" s="65"/>
      <c r="BC138" s="65"/>
      <c r="BD138" s="65"/>
      <c r="BE138" s="65"/>
      <c r="BF138" s="65"/>
      <c r="BG138" s="65"/>
      <c r="BH138" s="65"/>
      <c r="BI138" s="65"/>
      <c r="BJ138" s="65"/>
      <c r="BK138" s="65"/>
      <c r="BL138" s="65"/>
      <c r="BM138" s="65"/>
      <c r="BN138" s="65"/>
      <c r="BO138" s="65"/>
      <c r="BP138" s="65"/>
      <c r="BQ138" s="65"/>
      <c r="BR138" s="65"/>
      <c r="BS138" s="65"/>
      <c r="BT138" s="65"/>
      <c r="BU138" s="65"/>
      <c r="BV138" s="65"/>
      <c r="BW138" s="65"/>
      <c r="BX138" s="65"/>
      <c r="BY138" s="65"/>
      <c r="BZ138" s="65"/>
      <c r="CA138" s="65"/>
      <c r="CB138" s="65"/>
      <c r="CC138" s="65"/>
      <c r="CD138" s="65"/>
      <c r="CE138" s="65"/>
      <c r="CF138" s="65"/>
      <c r="CG138" s="65"/>
      <c r="CH138" s="65"/>
      <c r="CI138" s="65"/>
      <c r="CJ138" s="65"/>
      <c r="CK138" s="65"/>
      <c r="CL138" s="65"/>
      <c r="CM138" s="65"/>
      <c r="CN138" s="65"/>
      <c r="CO138" s="66"/>
    </row>
    <row r="139" spans="1:93" x14ac:dyDescent="0.2">
      <c r="A139" s="61"/>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c r="AE139" s="62"/>
      <c r="AF139" s="62"/>
      <c r="AG139" s="62"/>
      <c r="AH139" s="62"/>
      <c r="AI139" s="62"/>
      <c r="AJ139" s="62"/>
      <c r="AK139" s="62"/>
      <c r="AL139" s="62"/>
      <c r="AM139" s="62"/>
      <c r="AN139" s="62"/>
      <c r="AO139" s="62"/>
      <c r="AP139" s="62"/>
      <c r="AQ139" s="62"/>
      <c r="AR139" s="62"/>
      <c r="AS139" s="62"/>
      <c r="AT139" s="62"/>
      <c r="AU139" s="62"/>
      <c r="AV139" s="62"/>
      <c r="AW139" s="62"/>
      <c r="AX139" s="62"/>
      <c r="AY139" s="62"/>
      <c r="AZ139" s="62"/>
      <c r="BA139" s="62"/>
      <c r="BB139" s="62"/>
      <c r="BC139" s="62"/>
      <c r="BD139" s="62"/>
      <c r="BE139" s="62"/>
      <c r="BF139" s="62"/>
      <c r="BG139" s="62"/>
      <c r="BH139" s="62"/>
      <c r="BI139" s="62"/>
      <c r="BJ139" s="62"/>
      <c r="BK139" s="62"/>
      <c r="BL139" s="62"/>
      <c r="BM139" s="62"/>
      <c r="BN139" s="62"/>
      <c r="BO139" s="62"/>
      <c r="BP139" s="62"/>
      <c r="BQ139" s="62"/>
      <c r="BR139" s="62"/>
      <c r="BS139" s="62"/>
      <c r="BT139" s="62"/>
      <c r="BU139" s="62"/>
      <c r="BV139" s="62"/>
      <c r="BW139" s="62"/>
      <c r="BX139" s="62"/>
      <c r="BY139" s="62"/>
      <c r="BZ139" s="62"/>
      <c r="CA139" s="62"/>
      <c r="CB139" s="62"/>
      <c r="CC139" s="62"/>
      <c r="CD139" s="62"/>
      <c r="CE139" s="62"/>
      <c r="CF139" s="62"/>
      <c r="CG139" s="62"/>
      <c r="CH139" s="62"/>
      <c r="CI139" s="62"/>
      <c r="CJ139" s="62"/>
      <c r="CK139" s="62"/>
      <c r="CL139" s="62"/>
      <c r="CM139" s="62"/>
      <c r="CN139" s="62"/>
      <c r="CO139" s="63"/>
    </row>
    <row r="140" spans="1:93" x14ac:dyDescent="0.2">
      <c r="A140" s="64"/>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c r="AC140" s="65"/>
      <c r="AD140" s="65"/>
      <c r="AE140" s="65"/>
      <c r="AF140" s="65"/>
      <c r="AG140" s="65"/>
      <c r="AH140" s="65"/>
      <c r="AI140" s="65"/>
      <c r="AJ140" s="65"/>
      <c r="AK140" s="65"/>
      <c r="AL140" s="65"/>
      <c r="AM140" s="65"/>
      <c r="AN140" s="65"/>
      <c r="AO140" s="65"/>
      <c r="AP140" s="65"/>
      <c r="AQ140" s="65"/>
      <c r="AR140" s="65"/>
      <c r="AS140" s="65"/>
      <c r="AT140" s="65"/>
      <c r="AU140" s="65"/>
      <c r="AV140" s="65"/>
      <c r="AW140" s="65"/>
      <c r="AX140" s="65"/>
      <c r="AY140" s="65"/>
      <c r="AZ140" s="65"/>
      <c r="BA140" s="65"/>
      <c r="BB140" s="65"/>
      <c r="BC140" s="65"/>
      <c r="BD140" s="65"/>
      <c r="BE140" s="65"/>
      <c r="BF140" s="65"/>
      <c r="BG140" s="65"/>
      <c r="BH140" s="65"/>
      <c r="BI140" s="65"/>
      <c r="BJ140" s="65"/>
      <c r="BK140" s="65"/>
      <c r="BL140" s="65"/>
      <c r="BM140" s="65"/>
      <c r="BN140" s="65"/>
      <c r="BO140" s="65"/>
      <c r="BP140" s="65"/>
      <c r="BQ140" s="65"/>
      <c r="BR140" s="65"/>
      <c r="BS140" s="65"/>
      <c r="BT140" s="65"/>
      <c r="BU140" s="65"/>
      <c r="BV140" s="65"/>
      <c r="BW140" s="65"/>
      <c r="BX140" s="65"/>
      <c r="BY140" s="65"/>
      <c r="BZ140" s="65"/>
      <c r="CA140" s="65"/>
      <c r="CB140" s="65"/>
      <c r="CC140" s="65"/>
      <c r="CD140" s="65"/>
      <c r="CE140" s="65"/>
      <c r="CF140" s="65"/>
      <c r="CG140" s="65"/>
      <c r="CH140" s="65"/>
      <c r="CI140" s="65"/>
      <c r="CJ140" s="65"/>
      <c r="CK140" s="65"/>
      <c r="CL140" s="65"/>
      <c r="CM140" s="65"/>
      <c r="CN140" s="65"/>
      <c r="CO140" s="66"/>
    </row>
    <row r="141" spans="1:93" x14ac:dyDescent="0.2">
      <c r="A141" s="61"/>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62"/>
      <c r="AK141" s="62"/>
      <c r="AL141" s="62"/>
      <c r="AM141" s="62"/>
      <c r="AN141" s="62"/>
      <c r="AO141" s="62"/>
      <c r="AP141" s="62"/>
      <c r="AQ141" s="62"/>
      <c r="AR141" s="62"/>
      <c r="AS141" s="62"/>
      <c r="AT141" s="62"/>
      <c r="AU141" s="62"/>
      <c r="AV141" s="62"/>
      <c r="AW141" s="62"/>
      <c r="AX141" s="62"/>
      <c r="AY141" s="62"/>
      <c r="AZ141" s="62"/>
      <c r="BA141" s="62"/>
      <c r="BB141" s="62"/>
      <c r="BC141" s="62"/>
      <c r="BD141" s="62"/>
      <c r="BE141" s="62"/>
      <c r="BF141" s="62"/>
      <c r="BG141" s="62"/>
      <c r="BH141" s="62"/>
      <c r="BI141" s="62"/>
      <c r="BJ141" s="62"/>
      <c r="BK141" s="62"/>
      <c r="BL141" s="62"/>
      <c r="BM141" s="62"/>
      <c r="BN141" s="62"/>
      <c r="BO141" s="62"/>
      <c r="BP141" s="62"/>
      <c r="BQ141" s="62"/>
      <c r="BR141" s="62"/>
      <c r="BS141" s="62"/>
      <c r="BT141" s="62"/>
      <c r="BU141" s="62"/>
      <c r="BV141" s="62"/>
      <c r="BW141" s="62"/>
      <c r="BX141" s="62"/>
      <c r="BY141" s="62"/>
      <c r="BZ141" s="62"/>
      <c r="CA141" s="62"/>
      <c r="CB141" s="62"/>
      <c r="CC141" s="62"/>
      <c r="CD141" s="62"/>
      <c r="CE141" s="62"/>
      <c r="CF141" s="62"/>
      <c r="CG141" s="62"/>
      <c r="CH141" s="62"/>
      <c r="CI141" s="62"/>
      <c r="CJ141" s="62"/>
      <c r="CK141" s="62"/>
      <c r="CL141" s="62"/>
      <c r="CM141" s="62"/>
      <c r="CN141" s="62"/>
      <c r="CO141" s="63"/>
    </row>
    <row r="142" spans="1:93" x14ac:dyDescent="0.2">
      <c r="A142" s="64"/>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c r="AC142" s="65"/>
      <c r="AD142" s="65"/>
      <c r="AE142" s="65"/>
      <c r="AF142" s="65"/>
      <c r="AG142" s="65"/>
      <c r="AH142" s="65"/>
      <c r="AI142" s="65"/>
      <c r="AJ142" s="65"/>
      <c r="AK142" s="65"/>
      <c r="AL142" s="65"/>
      <c r="AM142" s="65"/>
      <c r="AN142" s="65"/>
      <c r="AO142" s="65"/>
      <c r="AP142" s="65"/>
      <c r="AQ142" s="65"/>
      <c r="AR142" s="65"/>
      <c r="AS142" s="65"/>
      <c r="AT142" s="65"/>
      <c r="AU142" s="65"/>
      <c r="AV142" s="65"/>
      <c r="AW142" s="65"/>
      <c r="AX142" s="65"/>
      <c r="AY142" s="65"/>
      <c r="AZ142" s="65"/>
      <c r="BA142" s="65"/>
      <c r="BB142" s="65"/>
      <c r="BC142" s="65"/>
      <c r="BD142" s="65"/>
      <c r="BE142" s="65"/>
      <c r="BF142" s="65"/>
      <c r="BG142" s="65"/>
      <c r="BH142" s="65"/>
      <c r="BI142" s="65"/>
      <c r="BJ142" s="65"/>
      <c r="BK142" s="65"/>
      <c r="BL142" s="65"/>
      <c r="BM142" s="65"/>
      <c r="BN142" s="65"/>
      <c r="BO142" s="65"/>
      <c r="BP142" s="65"/>
      <c r="BQ142" s="65"/>
      <c r="BR142" s="65"/>
      <c r="BS142" s="65"/>
      <c r="BT142" s="65"/>
      <c r="BU142" s="65"/>
      <c r="BV142" s="65"/>
      <c r="BW142" s="65"/>
      <c r="BX142" s="65"/>
      <c r="BY142" s="65"/>
      <c r="BZ142" s="65"/>
      <c r="CA142" s="65"/>
      <c r="CB142" s="65"/>
      <c r="CC142" s="65"/>
      <c r="CD142" s="65"/>
      <c r="CE142" s="65"/>
      <c r="CF142" s="65"/>
      <c r="CG142" s="65"/>
      <c r="CH142" s="65"/>
      <c r="CI142" s="65"/>
      <c r="CJ142" s="65"/>
      <c r="CK142" s="65"/>
      <c r="CL142" s="65"/>
      <c r="CM142" s="65"/>
      <c r="CN142" s="65"/>
      <c r="CO142" s="66"/>
    </row>
    <row r="143" spans="1:93" x14ac:dyDescent="0.2">
      <c r="A143" s="61"/>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c r="AE143" s="62"/>
      <c r="AF143" s="62"/>
      <c r="AG143" s="62"/>
      <c r="AH143" s="62"/>
      <c r="AI143" s="62"/>
      <c r="AJ143" s="62"/>
      <c r="AK143" s="62"/>
      <c r="AL143" s="62"/>
      <c r="AM143" s="62"/>
      <c r="AN143" s="62"/>
      <c r="AO143" s="62"/>
      <c r="AP143" s="62"/>
      <c r="AQ143" s="62"/>
      <c r="AR143" s="62"/>
      <c r="AS143" s="62"/>
      <c r="AT143" s="62"/>
      <c r="AU143" s="62"/>
      <c r="AV143" s="62"/>
      <c r="AW143" s="62"/>
      <c r="AX143" s="62"/>
      <c r="AY143" s="62"/>
      <c r="AZ143" s="62"/>
      <c r="BA143" s="62"/>
      <c r="BB143" s="62"/>
      <c r="BC143" s="62"/>
      <c r="BD143" s="62"/>
      <c r="BE143" s="62"/>
      <c r="BF143" s="62"/>
      <c r="BG143" s="62"/>
      <c r="BH143" s="62"/>
      <c r="BI143" s="62"/>
      <c r="BJ143" s="62"/>
      <c r="BK143" s="62"/>
      <c r="BL143" s="62"/>
      <c r="BM143" s="62"/>
      <c r="BN143" s="62"/>
      <c r="BO143" s="62"/>
      <c r="BP143" s="62"/>
      <c r="BQ143" s="62"/>
      <c r="BR143" s="62"/>
      <c r="BS143" s="62"/>
      <c r="BT143" s="62"/>
      <c r="BU143" s="62"/>
      <c r="BV143" s="62"/>
      <c r="BW143" s="62"/>
      <c r="BX143" s="62"/>
      <c r="BY143" s="62"/>
      <c r="BZ143" s="62"/>
      <c r="CA143" s="62"/>
      <c r="CB143" s="62"/>
      <c r="CC143" s="62"/>
      <c r="CD143" s="62"/>
      <c r="CE143" s="62"/>
      <c r="CF143" s="62"/>
      <c r="CG143" s="62"/>
      <c r="CH143" s="62"/>
      <c r="CI143" s="62"/>
      <c r="CJ143" s="62"/>
      <c r="CK143" s="62"/>
      <c r="CL143" s="62"/>
      <c r="CM143" s="62"/>
      <c r="CN143" s="62"/>
      <c r="CO143" s="63"/>
    </row>
    <row r="144" spans="1:93" x14ac:dyDescent="0.2">
      <c r="A144" s="64"/>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c r="AC144" s="65"/>
      <c r="AD144" s="65"/>
      <c r="AE144" s="65"/>
      <c r="AF144" s="65"/>
      <c r="AG144" s="65"/>
      <c r="AH144" s="65"/>
      <c r="AI144" s="65"/>
      <c r="AJ144" s="65"/>
      <c r="AK144" s="65"/>
      <c r="AL144" s="65"/>
      <c r="AM144" s="65"/>
      <c r="AN144" s="65"/>
      <c r="AO144" s="65"/>
      <c r="AP144" s="65"/>
      <c r="AQ144" s="65"/>
      <c r="AR144" s="65"/>
      <c r="AS144" s="65"/>
      <c r="AT144" s="65"/>
      <c r="AU144" s="65"/>
      <c r="AV144" s="65"/>
      <c r="AW144" s="65"/>
      <c r="AX144" s="65"/>
      <c r="AY144" s="65"/>
      <c r="AZ144" s="65"/>
      <c r="BA144" s="65"/>
      <c r="BB144" s="65"/>
      <c r="BC144" s="65"/>
      <c r="BD144" s="65"/>
      <c r="BE144" s="65"/>
      <c r="BF144" s="65"/>
      <c r="BG144" s="65"/>
      <c r="BH144" s="65"/>
      <c r="BI144" s="65"/>
      <c r="BJ144" s="65"/>
      <c r="BK144" s="65"/>
      <c r="BL144" s="65"/>
      <c r="BM144" s="65"/>
      <c r="BN144" s="65"/>
      <c r="BO144" s="65"/>
      <c r="BP144" s="65"/>
      <c r="BQ144" s="65"/>
      <c r="BR144" s="65"/>
      <c r="BS144" s="65"/>
      <c r="BT144" s="65"/>
      <c r="BU144" s="65"/>
      <c r="BV144" s="65"/>
      <c r="BW144" s="65"/>
      <c r="BX144" s="65"/>
      <c r="BY144" s="65"/>
      <c r="BZ144" s="65"/>
      <c r="CA144" s="65"/>
      <c r="CB144" s="65"/>
      <c r="CC144" s="65"/>
      <c r="CD144" s="65"/>
      <c r="CE144" s="65"/>
      <c r="CF144" s="65"/>
      <c r="CG144" s="65"/>
      <c r="CH144" s="65"/>
      <c r="CI144" s="65"/>
      <c r="CJ144" s="65"/>
      <c r="CK144" s="65"/>
      <c r="CL144" s="65"/>
      <c r="CM144" s="65"/>
      <c r="CN144" s="65"/>
      <c r="CO144" s="66"/>
    </row>
    <row r="145" spans="1:93" x14ac:dyDescent="0.2">
      <c r="A145" s="61"/>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c r="AE145" s="62"/>
      <c r="AF145" s="62"/>
      <c r="AG145" s="62"/>
      <c r="AH145" s="62"/>
      <c r="AI145" s="62"/>
      <c r="AJ145" s="62"/>
      <c r="AK145" s="62"/>
      <c r="AL145" s="62"/>
      <c r="AM145" s="62"/>
      <c r="AN145" s="62"/>
      <c r="AO145" s="62"/>
      <c r="AP145" s="62"/>
      <c r="AQ145" s="62"/>
      <c r="AR145" s="62"/>
      <c r="AS145" s="62"/>
      <c r="AT145" s="62"/>
      <c r="AU145" s="62"/>
      <c r="AV145" s="62"/>
      <c r="AW145" s="62"/>
      <c r="AX145" s="62"/>
      <c r="AY145" s="62"/>
      <c r="AZ145" s="62"/>
      <c r="BA145" s="62"/>
      <c r="BB145" s="62"/>
      <c r="BC145" s="62"/>
      <c r="BD145" s="62"/>
      <c r="BE145" s="62"/>
      <c r="BF145" s="62"/>
      <c r="BG145" s="62"/>
      <c r="BH145" s="62"/>
      <c r="BI145" s="62"/>
      <c r="BJ145" s="62"/>
      <c r="BK145" s="62"/>
      <c r="BL145" s="62"/>
      <c r="BM145" s="62"/>
      <c r="BN145" s="62"/>
      <c r="BO145" s="62"/>
      <c r="BP145" s="62"/>
      <c r="BQ145" s="62"/>
      <c r="BR145" s="62"/>
      <c r="BS145" s="62"/>
      <c r="BT145" s="62"/>
      <c r="BU145" s="62"/>
      <c r="BV145" s="62"/>
      <c r="BW145" s="62"/>
      <c r="BX145" s="62"/>
      <c r="BY145" s="62"/>
      <c r="BZ145" s="62"/>
      <c r="CA145" s="62"/>
      <c r="CB145" s="62"/>
      <c r="CC145" s="62"/>
      <c r="CD145" s="62"/>
      <c r="CE145" s="62"/>
      <c r="CF145" s="62"/>
      <c r="CG145" s="62"/>
      <c r="CH145" s="62"/>
      <c r="CI145" s="62"/>
      <c r="CJ145" s="62"/>
      <c r="CK145" s="62"/>
      <c r="CL145" s="62"/>
      <c r="CM145" s="62"/>
      <c r="CN145" s="62"/>
      <c r="CO145" s="63"/>
    </row>
    <row r="146" spans="1:93" x14ac:dyDescent="0.2">
      <c r="A146" s="64"/>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c r="AC146" s="65"/>
      <c r="AD146" s="65"/>
      <c r="AE146" s="65"/>
      <c r="AF146" s="65"/>
      <c r="AG146" s="65"/>
      <c r="AH146" s="65"/>
      <c r="AI146" s="65"/>
      <c r="AJ146" s="65"/>
      <c r="AK146" s="65"/>
      <c r="AL146" s="65"/>
      <c r="AM146" s="65"/>
      <c r="AN146" s="65"/>
      <c r="AO146" s="65"/>
      <c r="AP146" s="65"/>
      <c r="AQ146" s="65"/>
      <c r="AR146" s="65"/>
      <c r="AS146" s="65"/>
      <c r="AT146" s="65"/>
      <c r="AU146" s="65"/>
      <c r="AV146" s="65"/>
      <c r="AW146" s="65"/>
      <c r="AX146" s="65"/>
      <c r="AY146" s="65"/>
      <c r="AZ146" s="65"/>
      <c r="BA146" s="65"/>
      <c r="BB146" s="65"/>
      <c r="BC146" s="65"/>
      <c r="BD146" s="65"/>
      <c r="BE146" s="65"/>
      <c r="BF146" s="65"/>
      <c r="BG146" s="65"/>
      <c r="BH146" s="65"/>
      <c r="BI146" s="65"/>
      <c r="BJ146" s="65"/>
      <c r="BK146" s="65"/>
      <c r="BL146" s="65"/>
      <c r="BM146" s="65"/>
      <c r="BN146" s="65"/>
      <c r="BO146" s="65"/>
      <c r="BP146" s="65"/>
      <c r="BQ146" s="65"/>
      <c r="BR146" s="65"/>
      <c r="BS146" s="65"/>
      <c r="BT146" s="65"/>
      <c r="BU146" s="65"/>
      <c r="BV146" s="65"/>
      <c r="BW146" s="65"/>
      <c r="BX146" s="65"/>
      <c r="BY146" s="65"/>
      <c r="BZ146" s="65"/>
      <c r="CA146" s="65"/>
      <c r="CB146" s="65"/>
      <c r="CC146" s="65"/>
      <c r="CD146" s="65"/>
      <c r="CE146" s="65"/>
      <c r="CF146" s="65"/>
      <c r="CG146" s="65"/>
      <c r="CH146" s="65"/>
      <c r="CI146" s="65"/>
      <c r="CJ146" s="65"/>
      <c r="CK146" s="65"/>
      <c r="CL146" s="65"/>
      <c r="CM146" s="65"/>
      <c r="CN146" s="65"/>
      <c r="CO146" s="66"/>
    </row>
    <row r="147" spans="1:93" x14ac:dyDescent="0.2">
      <c r="A147" s="61"/>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62"/>
      <c r="AF147" s="62"/>
      <c r="AG147" s="62"/>
      <c r="AH147" s="62"/>
      <c r="AI147" s="62"/>
      <c r="AJ147" s="62"/>
      <c r="AK147" s="62"/>
      <c r="AL147" s="62"/>
      <c r="AM147" s="62"/>
      <c r="AN147" s="62"/>
      <c r="AO147" s="62"/>
      <c r="AP147" s="62"/>
      <c r="AQ147" s="62"/>
      <c r="AR147" s="62"/>
      <c r="AS147" s="62"/>
      <c r="AT147" s="62"/>
      <c r="AU147" s="62"/>
      <c r="AV147" s="62"/>
      <c r="AW147" s="62"/>
      <c r="AX147" s="62"/>
      <c r="AY147" s="62"/>
      <c r="AZ147" s="62"/>
      <c r="BA147" s="62"/>
      <c r="BB147" s="62"/>
      <c r="BC147" s="62"/>
      <c r="BD147" s="62"/>
      <c r="BE147" s="62"/>
      <c r="BF147" s="62"/>
      <c r="BG147" s="62"/>
      <c r="BH147" s="62"/>
      <c r="BI147" s="62"/>
      <c r="BJ147" s="62"/>
      <c r="BK147" s="62"/>
      <c r="BL147" s="62"/>
      <c r="BM147" s="62"/>
      <c r="BN147" s="62"/>
      <c r="BO147" s="62"/>
      <c r="BP147" s="62"/>
      <c r="BQ147" s="62"/>
      <c r="BR147" s="62"/>
      <c r="BS147" s="62"/>
      <c r="BT147" s="62"/>
      <c r="BU147" s="62"/>
      <c r="BV147" s="62"/>
      <c r="BW147" s="62"/>
      <c r="BX147" s="62"/>
      <c r="BY147" s="62"/>
      <c r="BZ147" s="62"/>
      <c r="CA147" s="62"/>
      <c r="CB147" s="62"/>
      <c r="CC147" s="62"/>
      <c r="CD147" s="62"/>
      <c r="CE147" s="62"/>
      <c r="CF147" s="62"/>
      <c r="CG147" s="62"/>
      <c r="CH147" s="62"/>
      <c r="CI147" s="62"/>
      <c r="CJ147" s="62"/>
      <c r="CK147" s="62"/>
      <c r="CL147" s="62"/>
      <c r="CM147" s="62"/>
      <c r="CN147" s="62"/>
      <c r="CO147" s="63"/>
    </row>
    <row r="148" spans="1:93" x14ac:dyDescent="0.2">
      <c r="A148" s="64"/>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c r="AD148" s="65"/>
      <c r="AE148" s="65"/>
      <c r="AF148" s="65"/>
      <c r="AG148" s="65"/>
      <c r="AH148" s="65"/>
      <c r="AI148" s="65"/>
      <c r="AJ148" s="65"/>
      <c r="AK148" s="65"/>
      <c r="AL148" s="65"/>
      <c r="AM148" s="65"/>
      <c r="AN148" s="65"/>
      <c r="AO148" s="65"/>
      <c r="AP148" s="65"/>
      <c r="AQ148" s="65"/>
      <c r="AR148" s="65"/>
      <c r="AS148" s="65"/>
      <c r="AT148" s="65"/>
      <c r="AU148" s="65"/>
      <c r="AV148" s="65"/>
      <c r="AW148" s="65"/>
      <c r="AX148" s="65"/>
      <c r="AY148" s="65"/>
      <c r="AZ148" s="65"/>
      <c r="BA148" s="65"/>
      <c r="BB148" s="65"/>
      <c r="BC148" s="65"/>
      <c r="BD148" s="65"/>
      <c r="BE148" s="65"/>
      <c r="BF148" s="65"/>
      <c r="BG148" s="65"/>
      <c r="BH148" s="65"/>
      <c r="BI148" s="65"/>
      <c r="BJ148" s="65"/>
      <c r="BK148" s="65"/>
      <c r="BL148" s="65"/>
      <c r="BM148" s="65"/>
      <c r="BN148" s="65"/>
      <c r="BO148" s="65"/>
      <c r="BP148" s="65"/>
      <c r="BQ148" s="65"/>
      <c r="BR148" s="65"/>
      <c r="BS148" s="65"/>
      <c r="BT148" s="65"/>
      <c r="BU148" s="65"/>
      <c r="BV148" s="65"/>
      <c r="BW148" s="65"/>
      <c r="BX148" s="65"/>
      <c r="BY148" s="65"/>
      <c r="BZ148" s="65"/>
      <c r="CA148" s="65"/>
      <c r="CB148" s="65"/>
      <c r="CC148" s="65"/>
      <c r="CD148" s="65"/>
      <c r="CE148" s="65"/>
      <c r="CF148" s="65"/>
      <c r="CG148" s="65"/>
      <c r="CH148" s="65"/>
      <c r="CI148" s="65"/>
      <c r="CJ148" s="65"/>
      <c r="CK148" s="65"/>
      <c r="CL148" s="65"/>
      <c r="CM148" s="65"/>
      <c r="CN148" s="65"/>
      <c r="CO148" s="66"/>
    </row>
    <row r="149" spans="1:93" x14ac:dyDescent="0.2">
      <c r="A149" s="61"/>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2"/>
      <c r="AI149" s="62"/>
      <c r="AJ149" s="62"/>
      <c r="AK149" s="62"/>
      <c r="AL149" s="62"/>
      <c r="AM149" s="62"/>
      <c r="AN149" s="62"/>
      <c r="AO149" s="62"/>
      <c r="AP149" s="62"/>
      <c r="AQ149" s="62"/>
      <c r="AR149" s="62"/>
      <c r="AS149" s="62"/>
      <c r="AT149" s="62"/>
      <c r="AU149" s="62"/>
      <c r="AV149" s="62"/>
      <c r="AW149" s="62"/>
      <c r="AX149" s="62"/>
      <c r="AY149" s="62"/>
      <c r="AZ149" s="62"/>
      <c r="BA149" s="62"/>
      <c r="BB149" s="62"/>
      <c r="BC149" s="62"/>
      <c r="BD149" s="62"/>
      <c r="BE149" s="62"/>
      <c r="BF149" s="62"/>
      <c r="BG149" s="62"/>
      <c r="BH149" s="62"/>
      <c r="BI149" s="62"/>
      <c r="BJ149" s="62"/>
      <c r="BK149" s="62"/>
      <c r="BL149" s="62"/>
      <c r="BM149" s="62"/>
      <c r="BN149" s="62"/>
      <c r="BO149" s="62"/>
      <c r="BP149" s="62"/>
      <c r="BQ149" s="62"/>
      <c r="BR149" s="62"/>
      <c r="BS149" s="62"/>
      <c r="BT149" s="62"/>
      <c r="BU149" s="62"/>
      <c r="BV149" s="62"/>
      <c r="BW149" s="62"/>
      <c r="BX149" s="62"/>
      <c r="BY149" s="62"/>
      <c r="BZ149" s="62"/>
      <c r="CA149" s="62"/>
      <c r="CB149" s="62"/>
      <c r="CC149" s="62"/>
      <c r="CD149" s="62"/>
      <c r="CE149" s="62"/>
      <c r="CF149" s="62"/>
      <c r="CG149" s="62"/>
      <c r="CH149" s="62"/>
      <c r="CI149" s="62"/>
      <c r="CJ149" s="62"/>
      <c r="CK149" s="62"/>
      <c r="CL149" s="62"/>
      <c r="CM149" s="62"/>
      <c r="CN149" s="62"/>
      <c r="CO149" s="63"/>
    </row>
    <row r="150" spans="1:93" x14ac:dyDescent="0.2">
      <c r="A150" s="64"/>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c r="AC150" s="65"/>
      <c r="AD150" s="65"/>
      <c r="AE150" s="65"/>
      <c r="AF150" s="65"/>
      <c r="AG150" s="65"/>
      <c r="AH150" s="65"/>
      <c r="AI150" s="65"/>
      <c r="AJ150" s="65"/>
      <c r="AK150" s="65"/>
      <c r="AL150" s="65"/>
      <c r="AM150" s="65"/>
      <c r="AN150" s="65"/>
      <c r="AO150" s="65"/>
      <c r="AP150" s="65"/>
      <c r="AQ150" s="65"/>
      <c r="AR150" s="65"/>
      <c r="AS150" s="65"/>
      <c r="AT150" s="65"/>
      <c r="AU150" s="65"/>
      <c r="AV150" s="65"/>
      <c r="AW150" s="65"/>
      <c r="AX150" s="65"/>
      <c r="AY150" s="65"/>
      <c r="AZ150" s="65"/>
      <c r="BA150" s="65"/>
      <c r="BB150" s="65"/>
      <c r="BC150" s="65"/>
      <c r="BD150" s="65"/>
      <c r="BE150" s="65"/>
      <c r="BF150" s="65"/>
      <c r="BG150" s="65"/>
      <c r="BH150" s="65"/>
      <c r="BI150" s="65"/>
      <c r="BJ150" s="65"/>
      <c r="BK150" s="65"/>
      <c r="BL150" s="65"/>
      <c r="BM150" s="65"/>
      <c r="BN150" s="65"/>
      <c r="BO150" s="65"/>
      <c r="BP150" s="65"/>
      <c r="BQ150" s="65"/>
      <c r="BR150" s="65"/>
      <c r="BS150" s="65"/>
      <c r="BT150" s="65"/>
      <c r="BU150" s="65"/>
      <c r="BV150" s="65"/>
      <c r="BW150" s="65"/>
      <c r="BX150" s="65"/>
      <c r="BY150" s="65"/>
      <c r="BZ150" s="65"/>
      <c r="CA150" s="65"/>
      <c r="CB150" s="65"/>
      <c r="CC150" s="65"/>
      <c r="CD150" s="65"/>
      <c r="CE150" s="65"/>
      <c r="CF150" s="65"/>
      <c r="CG150" s="65"/>
      <c r="CH150" s="65"/>
      <c r="CI150" s="65"/>
      <c r="CJ150" s="65"/>
      <c r="CK150" s="65"/>
      <c r="CL150" s="65"/>
      <c r="CM150" s="65"/>
      <c r="CN150" s="65"/>
      <c r="CO150" s="66"/>
    </row>
    <row r="151" spans="1:93" x14ac:dyDescent="0.2">
      <c r="A151" s="61"/>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c r="AJ151" s="62"/>
      <c r="AK151" s="62"/>
      <c r="AL151" s="62"/>
      <c r="AM151" s="62"/>
      <c r="AN151" s="62"/>
      <c r="AO151" s="62"/>
      <c r="AP151" s="62"/>
      <c r="AQ151" s="62"/>
      <c r="AR151" s="62"/>
      <c r="AS151" s="62"/>
      <c r="AT151" s="62"/>
      <c r="AU151" s="62"/>
      <c r="AV151" s="62"/>
      <c r="AW151" s="62"/>
      <c r="AX151" s="62"/>
      <c r="AY151" s="62"/>
      <c r="AZ151" s="62"/>
      <c r="BA151" s="62"/>
      <c r="BB151" s="62"/>
      <c r="BC151" s="62"/>
      <c r="BD151" s="62"/>
      <c r="BE151" s="62"/>
      <c r="BF151" s="62"/>
      <c r="BG151" s="62"/>
      <c r="BH151" s="62"/>
      <c r="BI151" s="62"/>
      <c r="BJ151" s="62"/>
      <c r="BK151" s="62"/>
      <c r="BL151" s="62"/>
      <c r="BM151" s="62"/>
      <c r="BN151" s="62"/>
      <c r="BO151" s="62"/>
      <c r="BP151" s="62"/>
      <c r="BQ151" s="62"/>
      <c r="BR151" s="62"/>
      <c r="BS151" s="62"/>
      <c r="BT151" s="62"/>
      <c r="BU151" s="62"/>
      <c r="BV151" s="62"/>
      <c r="BW151" s="62"/>
      <c r="BX151" s="62"/>
      <c r="BY151" s="62"/>
      <c r="BZ151" s="62"/>
      <c r="CA151" s="62"/>
      <c r="CB151" s="62"/>
      <c r="CC151" s="62"/>
      <c r="CD151" s="62"/>
      <c r="CE151" s="62"/>
      <c r="CF151" s="62"/>
      <c r="CG151" s="62"/>
      <c r="CH151" s="62"/>
      <c r="CI151" s="62"/>
      <c r="CJ151" s="62"/>
      <c r="CK151" s="62"/>
      <c r="CL151" s="62"/>
      <c r="CM151" s="62"/>
      <c r="CN151" s="62"/>
      <c r="CO151" s="63"/>
    </row>
    <row r="152" spans="1:93" x14ac:dyDescent="0.2">
      <c r="A152" s="64"/>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c r="AB152" s="65"/>
      <c r="AC152" s="65"/>
      <c r="AD152" s="65"/>
      <c r="AE152" s="65"/>
      <c r="AF152" s="65"/>
      <c r="AG152" s="65"/>
      <c r="AH152" s="65"/>
      <c r="AI152" s="65"/>
      <c r="AJ152" s="65"/>
      <c r="AK152" s="65"/>
      <c r="AL152" s="65"/>
      <c r="AM152" s="65"/>
      <c r="AN152" s="65"/>
      <c r="AO152" s="65"/>
      <c r="AP152" s="65"/>
      <c r="AQ152" s="65"/>
      <c r="AR152" s="65"/>
      <c r="AS152" s="65"/>
      <c r="AT152" s="65"/>
      <c r="AU152" s="65"/>
      <c r="AV152" s="65"/>
      <c r="AW152" s="65"/>
      <c r="AX152" s="65"/>
      <c r="AY152" s="65"/>
      <c r="AZ152" s="65"/>
      <c r="BA152" s="65"/>
      <c r="BB152" s="65"/>
      <c r="BC152" s="65"/>
      <c r="BD152" s="65"/>
      <c r="BE152" s="65"/>
      <c r="BF152" s="65"/>
      <c r="BG152" s="65"/>
      <c r="BH152" s="65"/>
      <c r="BI152" s="65"/>
      <c r="BJ152" s="65"/>
      <c r="BK152" s="65"/>
      <c r="BL152" s="65"/>
      <c r="BM152" s="65"/>
      <c r="BN152" s="65"/>
      <c r="BO152" s="65"/>
      <c r="BP152" s="65"/>
      <c r="BQ152" s="65"/>
      <c r="BR152" s="65"/>
      <c r="BS152" s="65"/>
      <c r="BT152" s="65"/>
      <c r="BU152" s="65"/>
      <c r="BV152" s="65"/>
      <c r="BW152" s="65"/>
      <c r="BX152" s="65"/>
      <c r="BY152" s="65"/>
      <c r="BZ152" s="65"/>
      <c r="CA152" s="65"/>
      <c r="CB152" s="65"/>
      <c r="CC152" s="65"/>
      <c r="CD152" s="65"/>
      <c r="CE152" s="65"/>
      <c r="CF152" s="65"/>
      <c r="CG152" s="65"/>
      <c r="CH152" s="65"/>
      <c r="CI152" s="65"/>
      <c r="CJ152" s="65"/>
      <c r="CK152" s="65"/>
      <c r="CL152" s="65"/>
      <c r="CM152" s="65"/>
      <c r="CN152" s="65"/>
      <c r="CO152" s="66"/>
    </row>
    <row r="153" spans="1:93" x14ac:dyDescent="0.2">
      <c r="A153" s="61"/>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c r="AJ153" s="62"/>
      <c r="AK153" s="62"/>
      <c r="AL153" s="62"/>
      <c r="AM153" s="62"/>
      <c r="AN153" s="62"/>
      <c r="AO153" s="62"/>
      <c r="AP153" s="62"/>
      <c r="AQ153" s="62"/>
      <c r="AR153" s="62"/>
      <c r="AS153" s="62"/>
      <c r="AT153" s="62"/>
      <c r="AU153" s="62"/>
      <c r="AV153" s="62"/>
      <c r="AW153" s="62"/>
      <c r="AX153" s="62"/>
      <c r="AY153" s="62"/>
      <c r="AZ153" s="62"/>
      <c r="BA153" s="62"/>
      <c r="BB153" s="62"/>
      <c r="BC153" s="62"/>
      <c r="BD153" s="62"/>
      <c r="BE153" s="62"/>
      <c r="BF153" s="62"/>
      <c r="BG153" s="62"/>
      <c r="BH153" s="62"/>
      <c r="BI153" s="62"/>
      <c r="BJ153" s="62"/>
      <c r="BK153" s="62"/>
      <c r="BL153" s="62"/>
      <c r="BM153" s="62"/>
      <c r="BN153" s="62"/>
      <c r="BO153" s="62"/>
      <c r="BP153" s="62"/>
      <c r="BQ153" s="62"/>
      <c r="BR153" s="62"/>
      <c r="BS153" s="62"/>
      <c r="BT153" s="62"/>
      <c r="BU153" s="62"/>
      <c r="BV153" s="62"/>
      <c r="BW153" s="62"/>
      <c r="BX153" s="62"/>
      <c r="BY153" s="62"/>
      <c r="BZ153" s="62"/>
      <c r="CA153" s="62"/>
      <c r="CB153" s="62"/>
      <c r="CC153" s="62"/>
      <c r="CD153" s="62"/>
      <c r="CE153" s="62"/>
      <c r="CF153" s="62"/>
      <c r="CG153" s="62"/>
      <c r="CH153" s="62"/>
      <c r="CI153" s="62"/>
      <c r="CJ153" s="62"/>
      <c r="CK153" s="62"/>
      <c r="CL153" s="62"/>
      <c r="CM153" s="62"/>
      <c r="CN153" s="62"/>
      <c r="CO153" s="63"/>
    </row>
    <row r="154" spans="1:93" x14ac:dyDescent="0.2">
      <c r="A154" s="64"/>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c r="AC154" s="65"/>
      <c r="AD154" s="65"/>
      <c r="AE154" s="65"/>
      <c r="AF154" s="65"/>
      <c r="AG154" s="65"/>
      <c r="AH154" s="65"/>
      <c r="AI154" s="65"/>
      <c r="AJ154" s="65"/>
      <c r="AK154" s="65"/>
      <c r="AL154" s="65"/>
      <c r="AM154" s="65"/>
      <c r="AN154" s="65"/>
      <c r="AO154" s="65"/>
      <c r="AP154" s="65"/>
      <c r="AQ154" s="65"/>
      <c r="AR154" s="65"/>
      <c r="AS154" s="65"/>
      <c r="AT154" s="65"/>
      <c r="AU154" s="65"/>
      <c r="AV154" s="65"/>
      <c r="AW154" s="65"/>
      <c r="AX154" s="65"/>
      <c r="AY154" s="65"/>
      <c r="AZ154" s="65"/>
      <c r="BA154" s="65"/>
      <c r="BB154" s="65"/>
      <c r="BC154" s="65"/>
      <c r="BD154" s="65"/>
      <c r="BE154" s="65"/>
      <c r="BF154" s="65"/>
      <c r="BG154" s="65"/>
      <c r="BH154" s="65"/>
      <c r="BI154" s="65"/>
      <c r="BJ154" s="65"/>
      <c r="BK154" s="65"/>
      <c r="BL154" s="65"/>
      <c r="BM154" s="65"/>
      <c r="BN154" s="65"/>
      <c r="BO154" s="65"/>
      <c r="BP154" s="65"/>
      <c r="BQ154" s="65"/>
      <c r="BR154" s="65"/>
      <c r="BS154" s="65"/>
      <c r="BT154" s="65"/>
      <c r="BU154" s="65"/>
      <c r="BV154" s="65"/>
      <c r="BW154" s="65"/>
      <c r="BX154" s="65"/>
      <c r="BY154" s="65"/>
      <c r="BZ154" s="65"/>
      <c r="CA154" s="65"/>
      <c r="CB154" s="65"/>
      <c r="CC154" s="65"/>
      <c r="CD154" s="65"/>
      <c r="CE154" s="65"/>
      <c r="CF154" s="65"/>
      <c r="CG154" s="65"/>
      <c r="CH154" s="65"/>
      <c r="CI154" s="65"/>
      <c r="CJ154" s="65"/>
      <c r="CK154" s="65"/>
      <c r="CL154" s="65"/>
      <c r="CM154" s="65"/>
      <c r="CN154" s="65"/>
      <c r="CO154" s="66"/>
    </row>
    <row r="155" spans="1:93" x14ac:dyDescent="0.2">
      <c r="A155" s="61"/>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2"/>
      <c r="AI155" s="62"/>
      <c r="AJ155" s="62"/>
      <c r="AK155" s="62"/>
      <c r="AL155" s="62"/>
      <c r="AM155" s="62"/>
      <c r="AN155" s="62"/>
      <c r="AO155" s="62"/>
      <c r="AP155" s="62"/>
      <c r="AQ155" s="62"/>
      <c r="AR155" s="62"/>
      <c r="AS155" s="62"/>
      <c r="AT155" s="62"/>
      <c r="AU155" s="62"/>
      <c r="AV155" s="62"/>
      <c r="AW155" s="62"/>
      <c r="AX155" s="62"/>
      <c r="AY155" s="62"/>
      <c r="AZ155" s="62"/>
      <c r="BA155" s="62"/>
      <c r="BB155" s="62"/>
      <c r="BC155" s="62"/>
      <c r="BD155" s="62"/>
      <c r="BE155" s="62"/>
      <c r="BF155" s="62"/>
      <c r="BG155" s="62"/>
      <c r="BH155" s="62"/>
      <c r="BI155" s="62"/>
      <c r="BJ155" s="62"/>
      <c r="BK155" s="62"/>
      <c r="BL155" s="62"/>
      <c r="BM155" s="62"/>
      <c r="BN155" s="62"/>
      <c r="BO155" s="62"/>
      <c r="BP155" s="62"/>
      <c r="BQ155" s="62"/>
      <c r="BR155" s="62"/>
      <c r="BS155" s="62"/>
      <c r="BT155" s="62"/>
      <c r="BU155" s="62"/>
      <c r="BV155" s="62"/>
      <c r="BW155" s="62"/>
      <c r="BX155" s="62"/>
      <c r="BY155" s="62"/>
      <c r="BZ155" s="62"/>
      <c r="CA155" s="62"/>
      <c r="CB155" s="62"/>
      <c r="CC155" s="62"/>
      <c r="CD155" s="62"/>
      <c r="CE155" s="62"/>
      <c r="CF155" s="62"/>
      <c r="CG155" s="62"/>
      <c r="CH155" s="62"/>
      <c r="CI155" s="62"/>
      <c r="CJ155" s="62"/>
      <c r="CK155" s="62"/>
      <c r="CL155" s="62"/>
      <c r="CM155" s="62"/>
      <c r="CN155" s="62"/>
      <c r="CO155" s="63"/>
    </row>
    <row r="156" spans="1:93" x14ac:dyDescent="0.2">
      <c r="A156" s="64"/>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c r="AC156" s="65"/>
      <c r="AD156" s="65"/>
      <c r="AE156" s="65"/>
      <c r="AF156" s="65"/>
      <c r="AG156" s="65"/>
      <c r="AH156" s="65"/>
      <c r="AI156" s="65"/>
      <c r="AJ156" s="65"/>
      <c r="AK156" s="65"/>
      <c r="AL156" s="65"/>
      <c r="AM156" s="65"/>
      <c r="AN156" s="65"/>
      <c r="AO156" s="65"/>
      <c r="AP156" s="65"/>
      <c r="AQ156" s="65"/>
      <c r="AR156" s="65"/>
      <c r="AS156" s="65"/>
      <c r="AT156" s="65"/>
      <c r="AU156" s="65"/>
      <c r="AV156" s="65"/>
      <c r="AW156" s="65"/>
      <c r="AX156" s="65"/>
      <c r="AY156" s="65"/>
      <c r="AZ156" s="65"/>
      <c r="BA156" s="65"/>
      <c r="BB156" s="65"/>
      <c r="BC156" s="65"/>
      <c r="BD156" s="65"/>
      <c r="BE156" s="65"/>
      <c r="BF156" s="65"/>
      <c r="BG156" s="65"/>
      <c r="BH156" s="65"/>
      <c r="BI156" s="65"/>
      <c r="BJ156" s="65"/>
      <c r="BK156" s="65"/>
      <c r="BL156" s="65"/>
      <c r="BM156" s="65"/>
      <c r="BN156" s="65"/>
      <c r="BO156" s="65"/>
      <c r="BP156" s="65"/>
      <c r="BQ156" s="65"/>
      <c r="BR156" s="65"/>
      <c r="BS156" s="65"/>
      <c r="BT156" s="65"/>
      <c r="BU156" s="65"/>
      <c r="BV156" s="65"/>
      <c r="BW156" s="65"/>
      <c r="BX156" s="65"/>
      <c r="BY156" s="65"/>
      <c r="BZ156" s="65"/>
      <c r="CA156" s="65"/>
      <c r="CB156" s="65"/>
      <c r="CC156" s="65"/>
      <c r="CD156" s="65"/>
      <c r="CE156" s="65"/>
      <c r="CF156" s="65"/>
      <c r="CG156" s="65"/>
      <c r="CH156" s="65"/>
      <c r="CI156" s="65"/>
      <c r="CJ156" s="65"/>
      <c r="CK156" s="65"/>
      <c r="CL156" s="65"/>
      <c r="CM156" s="65"/>
      <c r="CN156" s="65"/>
      <c r="CO156" s="66"/>
    </row>
    <row r="157" spans="1:93" x14ac:dyDescent="0.2">
      <c r="A157" s="61"/>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c r="AH157" s="62"/>
      <c r="AI157" s="62"/>
      <c r="AJ157" s="62"/>
      <c r="AK157" s="62"/>
      <c r="AL157" s="62"/>
      <c r="AM157" s="62"/>
      <c r="AN157" s="62"/>
      <c r="AO157" s="62"/>
      <c r="AP157" s="62"/>
      <c r="AQ157" s="62"/>
      <c r="AR157" s="62"/>
      <c r="AS157" s="62"/>
      <c r="AT157" s="62"/>
      <c r="AU157" s="62"/>
      <c r="AV157" s="62"/>
      <c r="AW157" s="62"/>
      <c r="AX157" s="62"/>
      <c r="AY157" s="62"/>
      <c r="AZ157" s="62"/>
      <c r="BA157" s="62"/>
      <c r="BB157" s="62"/>
      <c r="BC157" s="62"/>
      <c r="BD157" s="62"/>
      <c r="BE157" s="62"/>
      <c r="BF157" s="62"/>
      <c r="BG157" s="62"/>
      <c r="BH157" s="62"/>
      <c r="BI157" s="62"/>
      <c r="BJ157" s="62"/>
      <c r="BK157" s="62"/>
      <c r="BL157" s="62"/>
      <c r="BM157" s="62"/>
      <c r="BN157" s="62"/>
      <c r="BO157" s="62"/>
      <c r="BP157" s="62"/>
      <c r="BQ157" s="62"/>
      <c r="BR157" s="62"/>
      <c r="BS157" s="62"/>
      <c r="BT157" s="62"/>
      <c r="BU157" s="62"/>
      <c r="BV157" s="62"/>
      <c r="BW157" s="62"/>
      <c r="BX157" s="62"/>
      <c r="BY157" s="62"/>
      <c r="BZ157" s="62"/>
      <c r="CA157" s="62"/>
      <c r="CB157" s="62"/>
      <c r="CC157" s="62"/>
      <c r="CD157" s="62"/>
      <c r="CE157" s="62"/>
      <c r="CF157" s="62"/>
      <c r="CG157" s="62"/>
      <c r="CH157" s="62"/>
      <c r="CI157" s="62"/>
      <c r="CJ157" s="62"/>
      <c r="CK157" s="62"/>
      <c r="CL157" s="62"/>
      <c r="CM157" s="62"/>
      <c r="CN157" s="62"/>
      <c r="CO157" s="63"/>
    </row>
    <row r="158" spans="1:93" x14ac:dyDescent="0.2">
      <c r="A158" s="64"/>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c r="AB158" s="65"/>
      <c r="AC158" s="65"/>
      <c r="AD158" s="65"/>
      <c r="AE158" s="65"/>
      <c r="AF158" s="65"/>
      <c r="AG158" s="65"/>
      <c r="AH158" s="65"/>
      <c r="AI158" s="65"/>
      <c r="AJ158" s="65"/>
      <c r="AK158" s="65"/>
      <c r="AL158" s="65"/>
      <c r="AM158" s="65"/>
      <c r="AN158" s="65"/>
      <c r="AO158" s="65"/>
      <c r="AP158" s="65"/>
      <c r="AQ158" s="65"/>
      <c r="AR158" s="65"/>
      <c r="AS158" s="65"/>
      <c r="AT158" s="65"/>
      <c r="AU158" s="65"/>
      <c r="AV158" s="65"/>
      <c r="AW158" s="65"/>
      <c r="AX158" s="65"/>
      <c r="AY158" s="65"/>
      <c r="AZ158" s="65"/>
      <c r="BA158" s="65"/>
      <c r="BB158" s="65"/>
      <c r="BC158" s="65"/>
      <c r="BD158" s="65"/>
      <c r="BE158" s="65"/>
      <c r="BF158" s="65"/>
      <c r="BG158" s="65"/>
      <c r="BH158" s="65"/>
      <c r="BI158" s="65"/>
      <c r="BJ158" s="65"/>
      <c r="BK158" s="65"/>
      <c r="BL158" s="65"/>
      <c r="BM158" s="65"/>
      <c r="BN158" s="65"/>
      <c r="BO158" s="65"/>
      <c r="BP158" s="65"/>
      <c r="BQ158" s="65"/>
      <c r="BR158" s="65"/>
      <c r="BS158" s="65"/>
      <c r="BT158" s="65"/>
      <c r="BU158" s="65"/>
      <c r="BV158" s="65"/>
      <c r="BW158" s="65"/>
      <c r="BX158" s="65"/>
      <c r="BY158" s="65"/>
      <c r="BZ158" s="65"/>
      <c r="CA158" s="65"/>
      <c r="CB158" s="65"/>
      <c r="CC158" s="65"/>
      <c r="CD158" s="65"/>
      <c r="CE158" s="65"/>
      <c r="CF158" s="65"/>
      <c r="CG158" s="65"/>
      <c r="CH158" s="65"/>
      <c r="CI158" s="65"/>
      <c r="CJ158" s="65"/>
      <c r="CK158" s="65"/>
      <c r="CL158" s="65"/>
      <c r="CM158" s="65"/>
      <c r="CN158" s="65"/>
      <c r="CO158" s="66"/>
    </row>
    <row r="159" spans="1:93" x14ac:dyDescent="0.2">
      <c r="A159" s="61"/>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c r="AB159" s="62"/>
      <c r="AC159" s="62"/>
      <c r="AD159" s="62"/>
      <c r="AE159" s="62"/>
      <c r="AF159" s="62"/>
      <c r="AG159" s="62"/>
      <c r="AH159" s="62"/>
      <c r="AI159" s="62"/>
      <c r="AJ159" s="62"/>
      <c r="AK159" s="62"/>
      <c r="AL159" s="62"/>
      <c r="AM159" s="62"/>
      <c r="AN159" s="62"/>
      <c r="AO159" s="62"/>
      <c r="AP159" s="62"/>
      <c r="AQ159" s="62"/>
      <c r="AR159" s="62"/>
      <c r="AS159" s="62"/>
      <c r="AT159" s="62"/>
      <c r="AU159" s="62"/>
      <c r="AV159" s="62"/>
      <c r="AW159" s="62"/>
      <c r="AX159" s="62"/>
      <c r="AY159" s="62"/>
      <c r="AZ159" s="62"/>
      <c r="BA159" s="62"/>
      <c r="BB159" s="62"/>
      <c r="BC159" s="62"/>
      <c r="BD159" s="62"/>
      <c r="BE159" s="62"/>
      <c r="BF159" s="62"/>
      <c r="BG159" s="62"/>
      <c r="BH159" s="62"/>
      <c r="BI159" s="62"/>
      <c r="BJ159" s="62"/>
      <c r="BK159" s="62"/>
      <c r="BL159" s="62"/>
      <c r="BM159" s="62"/>
      <c r="BN159" s="62"/>
      <c r="BO159" s="62"/>
      <c r="BP159" s="62"/>
      <c r="BQ159" s="62"/>
      <c r="BR159" s="62"/>
      <c r="BS159" s="62"/>
      <c r="BT159" s="62"/>
      <c r="BU159" s="62"/>
      <c r="BV159" s="62"/>
      <c r="BW159" s="62"/>
      <c r="BX159" s="62"/>
      <c r="BY159" s="62"/>
      <c r="BZ159" s="62"/>
      <c r="CA159" s="62"/>
      <c r="CB159" s="62"/>
      <c r="CC159" s="62"/>
      <c r="CD159" s="62"/>
      <c r="CE159" s="62"/>
      <c r="CF159" s="62"/>
      <c r="CG159" s="62"/>
      <c r="CH159" s="62"/>
      <c r="CI159" s="62"/>
      <c r="CJ159" s="62"/>
      <c r="CK159" s="62"/>
      <c r="CL159" s="62"/>
      <c r="CM159" s="62"/>
      <c r="CN159" s="62"/>
      <c r="CO159" s="63"/>
    </row>
    <row r="160" spans="1:93" x14ac:dyDescent="0.2">
      <c r="A160" s="64"/>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c r="AB160" s="65"/>
      <c r="AC160" s="65"/>
      <c r="AD160" s="65"/>
      <c r="AE160" s="65"/>
      <c r="AF160" s="65"/>
      <c r="AG160" s="65"/>
      <c r="AH160" s="65"/>
      <c r="AI160" s="65"/>
      <c r="AJ160" s="65"/>
      <c r="AK160" s="65"/>
      <c r="AL160" s="65"/>
      <c r="AM160" s="65"/>
      <c r="AN160" s="65"/>
      <c r="AO160" s="65"/>
      <c r="AP160" s="65"/>
      <c r="AQ160" s="65"/>
      <c r="AR160" s="65"/>
      <c r="AS160" s="65"/>
      <c r="AT160" s="65"/>
      <c r="AU160" s="65"/>
      <c r="AV160" s="65"/>
      <c r="AW160" s="65"/>
      <c r="AX160" s="65"/>
      <c r="AY160" s="65"/>
      <c r="AZ160" s="65"/>
      <c r="BA160" s="65"/>
      <c r="BB160" s="65"/>
      <c r="BC160" s="65"/>
      <c r="BD160" s="65"/>
      <c r="BE160" s="65"/>
      <c r="BF160" s="65"/>
      <c r="BG160" s="65"/>
      <c r="BH160" s="65"/>
      <c r="BI160" s="65"/>
      <c r="BJ160" s="65"/>
      <c r="BK160" s="65"/>
      <c r="BL160" s="65"/>
      <c r="BM160" s="65"/>
      <c r="BN160" s="65"/>
      <c r="BO160" s="65"/>
      <c r="BP160" s="65"/>
      <c r="BQ160" s="65"/>
      <c r="BR160" s="65"/>
      <c r="BS160" s="65"/>
      <c r="BT160" s="65"/>
      <c r="BU160" s="65"/>
      <c r="BV160" s="65"/>
      <c r="BW160" s="65"/>
      <c r="BX160" s="65"/>
      <c r="BY160" s="65"/>
      <c r="BZ160" s="65"/>
      <c r="CA160" s="65"/>
      <c r="CB160" s="65"/>
      <c r="CC160" s="65"/>
      <c r="CD160" s="65"/>
      <c r="CE160" s="65"/>
      <c r="CF160" s="65"/>
      <c r="CG160" s="65"/>
      <c r="CH160" s="65"/>
      <c r="CI160" s="65"/>
      <c r="CJ160" s="65"/>
      <c r="CK160" s="65"/>
      <c r="CL160" s="65"/>
      <c r="CM160" s="65"/>
      <c r="CN160" s="65"/>
      <c r="CO160" s="66"/>
    </row>
    <row r="161" spans="1:93" x14ac:dyDescent="0.2">
      <c r="A161" s="61"/>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2"/>
      <c r="AI161" s="62"/>
      <c r="AJ161" s="62"/>
      <c r="AK161" s="62"/>
      <c r="AL161" s="62"/>
      <c r="AM161" s="62"/>
      <c r="AN161" s="62"/>
      <c r="AO161" s="62"/>
      <c r="AP161" s="62"/>
      <c r="AQ161" s="62"/>
      <c r="AR161" s="62"/>
      <c r="AS161" s="62"/>
      <c r="AT161" s="62"/>
      <c r="AU161" s="62"/>
      <c r="AV161" s="62"/>
      <c r="AW161" s="62"/>
      <c r="AX161" s="62"/>
      <c r="AY161" s="62"/>
      <c r="AZ161" s="62"/>
      <c r="BA161" s="62"/>
      <c r="BB161" s="62"/>
      <c r="BC161" s="62"/>
      <c r="BD161" s="62"/>
      <c r="BE161" s="62"/>
      <c r="BF161" s="62"/>
      <c r="BG161" s="62"/>
      <c r="BH161" s="62"/>
      <c r="BI161" s="62"/>
      <c r="BJ161" s="62"/>
      <c r="BK161" s="62"/>
      <c r="BL161" s="62"/>
      <c r="BM161" s="62"/>
      <c r="BN161" s="62"/>
      <c r="BO161" s="62"/>
      <c r="BP161" s="62"/>
      <c r="BQ161" s="62"/>
      <c r="BR161" s="62"/>
      <c r="BS161" s="62"/>
      <c r="BT161" s="62"/>
      <c r="BU161" s="62"/>
      <c r="BV161" s="62"/>
      <c r="BW161" s="62"/>
      <c r="BX161" s="62"/>
      <c r="BY161" s="62"/>
      <c r="BZ161" s="62"/>
      <c r="CA161" s="62"/>
      <c r="CB161" s="62"/>
      <c r="CC161" s="62"/>
      <c r="CD161" s="62"/>
      <c r="CE161" s="62"/>
      <c r="CF161" s="62"/>
      <c r="CG161" s="62"/>
      <c r="CH161" s="62"/>
      <c r="CI161" s="62"/>
      <c r="CJ161" s="62"/>
      <c r="CK161" s="62"/>
      <c r="CL161" s="62"/>
      <c r="CM161" s="62"/>
      <c r="CN161" s="62"/>
      <c r="CO161" s="63"/>
    </row>
    <row r="162" spans="1:93" x14ac:dyDescent="0.2">
      <c r="A162" s="64"/>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c r="AB162" s="65"/>
      <c r="AC162" s="65"/>
      <c r="AD162" s="65"/>
      <c r="AE162" s="65"/>
      <c r="AF162" s="65"/>
      <c r="AG162" s="65"/>
      <c r="AH162" s="65"/>
      <c r="AI162" s="65"/>
      <c r="AJ162" s="65"/>
      <c r="AK162" s="65"/>
      <c r="AL162" s="65"/>
      <c r="AM162" s="65"/>
      <c r="AN162" s="65"/>
      <c r="AO162" s="65"/>
      <c r="AP162" s="65"/>
      <c r="AQ162" s="65"/>
      <c r="AR162" s="65"/>
      <c r="AS162" s="65"/>
      <c r="AT162" s="65"/>
      <c r="AU162" s="65"/>
      <c r="AV162" s="65"/>
      <c r="AW162" s="65"/>
      <c r="AX162" s="65"/>
      <c r="AY162" s="65"/>
      <c r="AZ162" s="65"/>
      <c r="BA162" s="65"/>
      <c r="BB162" s="65"/>
      <c r="BC162" s="65"/>
      <c r="BD162" s="65"/>
      <c r="BE162" s="65"/>
      <c r="BF162" s="65"/>
      <c r="BG162" s="65"/>
      <c r="BH162" s="65"/>
      <c r="BI162" s="65"/>
      <c r="BJ162" s="65"/>
      <c r="BK162" s="65"/>
      <c r="BL162" s="65"/>
      <c r="BM162" s="65"/>
      <c r="BN162" s="65"/>
      <c r="BO162" s="65"/>
      <c r="BP162" s="65"/>
      <c r="BQ162" s="65"/>
      <c r="BR162" s="65"/>
      <c r="BS162" s="65"/>
      <c r="BT162" s="65"/>
      <c r="BU162" s="65"/>
      <c r="BV162" s="65"/>
      <c r="BW162" s="65"/>
      <c r="BX162" s="65"/>
      <c r="BY162" s="65"/>
      <c r="BZ162" s="65"/>
      <c r="CA162" s="65"/>
      <c r="CB162" s="65"/>
      <c r="CC162" s="65"/>
      <c r="CD162" s="65"/>
      <c r="CE162" s="65"/>
      <c r="CF162" s="65"/>
      <c r="CG162" s="65"/>
      <c r="CH162" s="65"/>
      <c r="CI162" s="65"/>
      <c r="CJ162" s="65"/>
      <c r="CK162" s="65"/>
      <c r="CL162" s="65"/>
      <c r="CM162" s="65"/>
      <c r="CN162" s="65"/>
      <c r="CO162" s="66"/>
    </row>
    <row r="163" spans="1:93" x14ac:dyDescent="0.2">
      <c r="A163" s="61"/>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2"/>
      <c r="AI163" s="62"/>
      <c r="AJ163" s="62"/>
      <c r="AK163" s="62"/>
      <c r="AL163" s="62"/>
      <c r="AM163" s="62"/>
      <c r="AN163" s="62"/>
      <c r="AO163" s="62"/>
      <c r="AP163" s="62"/>
      <c r="AQ163" s="62"/>
      <c r="AR163" s="62"/>
      <c r="AS163" s="62"/>
      <c r="AT163" s="62"/>
      <c r="AU163" s="62"/>
      <c r="AV163" s="62"/>
      <c r="AW163" s="62"/>
      <c r="AX163" s="62"/>
      <c r="AY163" s="62"/>
      <c r="AZ163" s="62"/>
      <c r="BA163" s="62"/>
      <c r="BB163" s="62"/>
      <c r="BC163" s="62"/>
      <c r="BD163" s="62"/>
      <c r="BE163" s="62"/>
      <c r="BF163" s="62"/>
      <c r="BG163" s="62"/>
      <c r="BH163" s="62"/>
      <c r="BI163" s="62"/>
      <c r="BJ163" s="62"/>
      <c r="BK163" s="62"/>
      <c r="BL163" s="62"/>
      <c r="BM163" s="62"/>
      <c r="BN163" s="62"/>
      <c r="BO163" s="62"/>
      <c r="BP163" s="62"/>
      <c r="BQ163" s="62"/>
      <c r="BR163" s="62"/>
      <c r="BS163" s="62"/>
      <c r="BT163" s="62"/>
      <c r="BU163" s="62"/>
      <c r="BV163" s="62"/>
      <c r="BW163" s="62"/>
      <c r="BX163" s="62"/>
      <c r="BY163" s="62"/>
      <c r="BZ163" s="62"/>
      <c r="CA163" s="62"/>
      <c r="CB163" s="62"/>
      <c r="CC163" s="62"/>
      <c r="CD163" s="62"/>
      <c r="CE163" s="62"/>
      <c r="CF163" s="62"/>
      <c r="CG163" s="62"/>
      <c r="CH163" s="62"/>
      <c r="CI163" s="62"/>
      <c r="CJ163" s="62"/>
      <c r="CK163" s="62"/>
      <c r="CL163" s="62"/>
      <c r="CM163" s="62"/>
      <c r="CN163" s="62"/>
      <c r="CO163" s="63"/>
    </row>
    <row r="164" spans="1:93" x14ac:dyDescent="0.2">
      <c r="A164" s="64"/>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c r="AB164" s="65"/>
      <c r="AC164" s="65"/>
      <c r="AD164" s="65"/>
      <c r="AE164" s="65"/>
      <c r="AF164" s="65"/>
      <c r="AG164" s="65"/>
      <c r="AH164" s="65"/>
      <c r="AI164" s="65"/>
      <c r="AJ164" s="65"/>
      <c r="AK164" s="65"/>
      <c r="AL164" s="65"/>
      <c r="AM164" s="65"/>
      <c r="AN164" s="65"/>
      <c r="AO164" s="65"/>
      <c r="AP164" s="65"/>
      <c r="AQ164" s="65"/>
      <c r="AR164" s="65"/>
      <c r="AS164" s="65"/>
      <c r="AT164" s="65"/>
      <c r="AU164" s="65"/>
      <c r="AV164" s="65"/>
      <c r="AW164" s="65"/>
      <c r="AX164" s="65"/>
      <c r="AY164" s="65"/>
      <c r="AZ164" s="65"/>
      <c r="BA164" s="65"/>
      <c r="BB164" s="65"/>
      <c r="BC164" s="65"/>
      <c r="BD164" s="65"/>
      <c r="BE164" s="65"/>
      <c r="BF164" s="65"/>
      <c r="BG164" s="65"/>
      <c r="BH164" s="65"/>
      <c r="BI164" s="65"/>
      <c r="BJ164" s="65"/>
      <c r="BK164" s="65"/>
      <c r="BL164" s="65"/>
      <c r="BM164" s="65"/>
      <c r="BN164" s="65"/>
      <c r="BO164" s="65"/>
      <c r="BP164" s="65"/>
      <c r="BQ164" s="65"/>
      <c r="BR164" s="65"/>
      <c r="BS164" s="65"/>
      <c r="BT164" s="65"/>
      <c r="BU164" s="65"/>
      <c r="BV164" s="65"/>
      <c r="BW164" s="65"/>
      <c r="BX164" s="65"/>
      <c r="BY164" s="65"/>
      <c r="BZ164" s="65"/>
      <c r="CA164" s="65"/>
      <c r="CB164" s="65"/>
      <c r="CC164" s="65"/>
      <c r="CD164" s="65"/>
      <c r="CE164" s="65"/>
      <c r="CF164" s="65"/>
      <c r="CG164" s="65"/>
      <c r="CH164" s="65"/>
      <c r="CI164" s="65"/>
      <c r="CJ164" s="65"/>
      <c r="CK164" s="65"/>
      <c r="CL164" s="65"/>
      <c r="CM164" s="65"/>
      <c r="CN164" s="65"/>
      <c r="CO164" s="66"/>
    </row>
    <row r="165" spans="1:93" x14ac:dyDescent="0.2">
      <c r="A165" s="61"/>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c r="AJ165" s="62"/>
      <c r="AK165" s="62"/>
      <c r="AL165" s="62"/>
      <c r="AM165" s="62"/>
      <c r="AN165" s="62"/>
      <c r="AO165" s="62"/>
      <c r="AP165" s="62"/>
      <c r="AQ165" s="62"/>
      <c r="AR165" s="62"/>
      <c r="AS165" s="62"/>
      <c r="AT165" s="62"/>
      <c r="AU165" s="62"/>
      <c r="AV165" s="62"/>
      <c r="AW165" s="62"/>
      <c r="AX165" s="62"/>
      <c r="AY165" s="62"/>
      <c r="AZ165" s="62"/>
      <c r="BA165" s="62"/>
      <c r="BB165" s="62"/>
      <c r="BC165" s="62"/>
      <c r="BD165" s="62"/>
      <c r="BE165" s="62"/>
      <c r="BF165" s="62"/>
      <c r="BG165" s="62"/>
      <c r="BH165" s="62"/>
      <c r="BI165" s="62"/>
      <c r="BJ165" s="62"/>
      <c r="BK165" s="62"/>
      <c r="BL165" s="62"/>
      <c r="BM165" s="62"/>
      <c r="BN165" s="62"/>
      <c r="BO165" s="62"/>
      <c r="BP165" s="62"/>
      <c r="BQ165" s="62"/>
      <c r="BR165" s="62"/>
      <c r="BS165" s="62"/>
      <c r="BT165" s="62"/>
      <c r="BU165" s="62"/>
      <c r="BV165" s="62"/>
      <c r="BW165" s="62"/>
      <c r="BX165" s="62"/>
      <c r="BY165" s="62"/>
      <c r="BZ165" s="62"/>
      <c r="CA165" s="62"/>
      <c r="CB165" s="62"/>
      <c r="CC165" s="62"/>
      <c r="CD165" s="62"/>
      <c r="CE165" s="62"/>
      <c r="CF165" s="62"/>
      <c r="CG165" s="62"/>
      <c r="CH165" s="62"/>
      <c r="CI165" s="62"/>
      <c r="CJ165" s="62"/>
      <c r="CK165" s="62"/>
      <c r="CL165" s="62"/>
      <c r="CM165" s="62"/>
      <c r="CN165" s="62"/>
      <c r="CO165" s="63"/>
    </row>
    <row r="166" spans="1:93" x14ac:dyDescent="0.2">
      <c r="A166" s="64"/>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c r="AA166" s="65"/>
      <c r="AB166" s="65"/>
      <c r="AC166" s="65"/>
      <c r="AD166" s="65"/>
      <c r="AE166" s="65"/>
      <c r="AF166" s="65"/>
      <c r="AG166" s="65"/>
      <c r="AH166" s="65"/>
      <c r="AI166" s="65"/>
      <c r="AJ166" s="65"/>
      <c r="AK166" s="65"/>
      <c r="AL166" s="65"/>
      <c r="AM166" s="65"/>
      <c r="AN166" s="65"/>
      <c r="AO166" s="65"/>
      <c r="AP166" s="65"/>
      <c r="AQ166" s="65"/>
      <c r="AR166" s="65"/>
      <c r="AS166" s="65"/>
      <c r="AT166" s="65"/>
      <c r="AU166" s="65"/>
      <c r="AV166" s="65"/>
      <c r="AW166" s="65"/>
      <c r="AX166" s="65"/>
      <c r="AY166" s="65"/>
      <c r="AZ166" s="65"/>
      <c r="BA166" s="65"/>
      <c r="BB166" s="65"/>
      <c r="BC166" s="65"/>
      <c r="BD166" s="65"/>
      <c r="BE166" s="65"/>
      <c r="BF166" s="65"/>
      <c r="BG166" s="65"/>
      <c r="BH166" s="65"/>
      <c r="BI166" s="65"/>
      <c r="BJ166" s="65"/>
      <c r="BK166" s="65"/>
      <c r="BL166" s="65"/>
      <c r="BM166" s="65"/>
      <c r="BN166" s="65"/>
      <c r="BO166" s="65"/>
      <c r="BP166" s="65"/>
      <c r="BQ166" s="65"/>
      <c r="BR166" s="65"/>
      <c r="BS166" s="65"/>
      <c r="BT166" s="65"/>
      <c r="BU166" s="65"/>
      <c r="BV166" s="65"/>
      <c r="BW166" s="65"/>
      <c r="BX166" s="65"/>
      <c r="BY166" s="65"/>
      <c r="BZ166" s="65"/>
      <c r="CA166" s="65"/>
      <c r="CB166" s="65"/>
      <c r="CC166" s="65"/>
      <c r="CD166" s="65"/>
      <c r="CE166" s="65"/>
      <c r="CF166" s="65"/>
      <c r="CG166" s="65"/>
      <c r="CH166" s="65"/>
      <c r="CI166" s="65"/>
      <c r="CJ166" s="65"/>
      <c r="CK166" s="65"/>
      <c r="CL166" s="65"/>
      <c r="CM166" s="65"/>
      <c r="CN166" s="65"/>
      <c r="CO166" s="66"/>
    </row>
    <row r="167" spans="1:93" x14ac:dyDescent="0.2">
      <c r="A167" s="61"/>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c r="AJ167" s="62"/>
      <c r="AK167" s="62"/>
      <c r="AL167" s="62"/>
      <c r="AM167" s="62"/>
      <c r="AN167" s="62"/>
      <c r="AO167" s="62"/>
      <c r="AP167" s="62"/>
      <c r="AQ167" s="62"/>
      <c r="AR167" s="62"/>
      <c r="AS167" s="62"/>
      <c r="AT167" s="62"/>
      <c r="AU167" s="62"/>
      <c r="AV167" s="62"/>
      <c r="AW167" s="62"/>
      <c r="AX167" s="62"/>
      <c r="AY167" s="62"/>
      <c r="AZ167" s="62"/>
      <c r="BA167" s="62"/>
      <c r="BB167" s="62"/>
      <c r="BC167" s="62"/>
      <c r="BD167" s="62"/>
      <c r="BE167" s="62"/>
      <c r="BF167" s="62"/>
      <c r="BG167" s="62"/>
      <c r="BH167" s="62"/>
      <c r="BI167" s="62"/>
      <c r="BJ167" s="62"/>
      <c r="BK167" s="62"/>
      <c r="BL167" s="62"/>
      <c r="BM167" s="62"/>
      <c r="BN167" s="62"/>
      <c r="BO167" s="62"/>
      <c r="BP167" s="62"/>
      <c r="BQ167" s="62"/>
      <c r="BR167" s="62"/>
      <c r="BS167" s="62"/>
      <c r="BT167" s="62"/>
      <c r="BU167" s="62"/>
      <c r="BV167" s="62"/>
      <c r="BW167" s="62"/>
      <c r="BX167" s="62"/>
      <c r="BY167" s="62"/>
      <c r="BZ167" s="62"/>
      <c r="CA167" s="62"/>
      <c r="CB167" s="62"/>
      <c r="CC167" s="62"/>
      <c r="CD167" s="62"/>
      <c r="CE167" s="62"/>
      <c r="CF167" s="62"/>
      <c r="CG167" s="62"/>
      <c r="CH167" s="62"/>
      <c r="CI167" s="62"/>
      <c r="CJ167" s="62"/>
      <c r="CK167" s="62"/>
      <c r="CL167" s="62"/>
      <c r="CM167" s="62"/>
      <c r="CN167" s="62"/>
      <c r="CO167" s="63"/>
    </row>
    <row r="168" spans="1:93" x14ac:dyDescent="0.2">
      <c r="A168" s="64"/>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c r="AA168" s="65"/>
      <c r="AB168" s="65"/>
      <c r="AC168" s="65"/>
      <c r="AD168" s="65"/>
      <c r="AE168" s="65"/>
      <c r="AF168" s="65"/>
      <c r="AG168" s="65"/>
      <c r="AH168" s="65"/>
      <c r="AI168" s="65"/>
      <c r="AJ168" s="65"/>
      <c r="AK168" s="65"/>
      <c r="AL168" s="65"/>
      <c r="AM168" s="65"/>
      <c r="AN168" s="65"/>
      <c r="AO168" s="65"/>
      <c r="AP168" s="65"/>
      <c r="AQ168" s="65"/>
      <c r="AR168" s="65"/>
      <c r="AS168" s="65"/>
      <c r="AT168" s="65"/>
      <c r="AU168" s="65"/>
      <c r="AV168" s="65"/>
      <c r="AW168" s="65"/>
      <c r="AX168" s="65"/>
      <c r="AY168" s="65"/>
      <c r="AZ168" s="65"/>
      <c r="BA168" s="65"/>
      <c r="BB168" s="65"/>
      <c r="BC168" s="65"/>
      <c r="BD168" s="65"/>
      <c r="BE168" s="65"/>
      <c r="BF168" s="65"/>
      <c r="BG168" s="65"/>
      <c r="BH168" s="65"/>
      <c r="BI168" s="65"/>
      <c r="BJ168" s="65"/>
      <c r="BK168" s="65"/>
      <c r="BL168" s="65"/>
      <c r="BM168" s="65"/>
      <c r="BN168" s="65"/>
      <c r="BO168" s="65"/>
      <c r="BP168" s="65"/>
      <c r="BQ168" s="65"/>
      <c r="BR168" s="65"/>
      <c r="BS168" s="65"/>
      <c r="BT168" s="65"/>
      <c r="BU168" s="65"/>
      <c r="BV168" s="65"/>
      <c r="BW168" s="65"/>
      <c r="BX168" s="65"/>
      <c r="BY168" s="65"/>
      <c r="BZ168" s="65"/>
      <c r="CA168" s="65"/>
      <c r="CB168" s="65"/>
      <c r="CC168" s="65"/>
      <c r="CD168" s="65"/>
      <c r="CE168" s="65"/>
      <c r="CF168" s="65"/>
      <c r="CG168" s="65"/>
      <c r="CH168" s="65"/>
      <c r="CI168" s="65"/>
      <c r="CJ168" s="65"/>
      <c r="CK168" s="65"/>
      <c r="CL168" s="65"/>
      <c r="CM168" s="65"/>
      <c r="CN168" s="65"/>
      <c r="CO168" s="66"/>
    </row>
    <row r="169" spans="1:93" x14ac:dyDescent="0.2">
      <c r="A169" s="61"/>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2"/>
      <c r="AI169" s="62"/>
      <c r="AJ169" s="62"/>
      <c r="AK169" s="62"/>
      <c r="AL169" s="62"/>
      <c r="AM169" s="62"/>
      <c r="AN169" s="62"/>
      <c r="AO169" s="62"/>
      <c r="AP169" s="62"/>
      <c r="AQ169" s="62"/>
      <c r="AR169" s="62"/>
      <c r="AS169" s="62"/>
      <c r="AT169" s="62"/>
      <c r="AU169" s="62"/>
      <c r="AV169" s="62"/>
      <c r="AW169" s="62"/>
      <c r="AX169" s="62"/>
      <c r="AY169" s="62"/>
      <c r="AZ169" s="62"/>
      <c r="BA169" s="62"/>
      <c r="BB169" s="62"/>
      <c r="BC169" s="62"/>
      <c r="BD169" s="62"/>
      <c r="BE169" s="62"/>
      <c r="BF169" s="62"/>
      <c r="BG169" s="62"/>
      <c r="BH169" s="62"/>
      <c r="BI169" s="62"/>
      <c r="BJ169" s="62"/>
      <c r="BK169" s="62"/>
      <c r="BL169" s="62"/>
      <c r="BM169" s="62"/>
      <c r="BN169" s="62"/>
      <c r="BO169" s="62"/>
      <c r="BP169" s="62"/>
      <c r="BQ169" s="62"/>
      <c r="BR169" s="62"/>
      <c r="BS169" s="62"/>
      <c r="BT169" s="62"/>
      <c r="BU169" s="62"/>
      <c r="BV169" s="62"/>
      <c r="BW169" s="62"/>
      <c r="BX169" s="62"/>
      <c r="BY169" s="62"/>
      <c r="BZ169" s="62"/>
      <c r="CA169" s="62"/>
      <c r="CB169" s="62"/>
      <c r="CC169" s="62"/>
      <c r="CD169" s="62"/>
      <c r="CE169" s="62"/>
      <c r="CF169" s="62"/>
      <c r="CG169" s="62"/>
      <c r="CH169" s="62"/>
      <c r="CI169" s="62"/>
      <c r="CJ169" s="62"/>
      <c r="CK169" s="62"/>
      <c r="CL169" s="62"/>
      <c r="CM169" s="62"/>
      <c r="CN169" s="62"/>
      <c r="CO169" s="63"/>
    </row>
    <row r="170" spans="1:93" x14ac:dyDescent="0.2">
      <c r="A170" s="64"/>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c r="AC170" s="65"/>
      <c r="AD170" s="65"/>
      <c r="AE170" s="65"/>
      <c r="AF170" s="65"/>
      <c r="AG170" s="65"/>
      <c r="AH170" s="65"/>
      <c r="AI170" s="65"/>
      <c r="AJ170" s="65"/>
      <c r="AK170" s="65"/>
      <c r="AL170" s="65"/>
      <c r="AM170" s="65"/>
      <c r="AN170" s="65"/>
      <c r="AO170" s="65"/>
      <c r="AP170" s="65"/>
      <c r="AQ170" s="65"/>
      <c r="AR170" s="65"/>
      <c r="AS170" s="65"/>
      <c r="AT170" s="65"/>
      <c r="AU170" s="65"/>
      <c r="AV170" s="65"/>
      <c r="AW170" s="65"/>
      <c r="AX170" s="65"/>
      <c r="AY170" s="65"/>
      <c r="AZ170" s="65"/>
      <c r="BA170" s="65"/>
      <c r="BB170" s="65"/>
      <c r="BC170" s="65"/>
      <c r="BD170" s="65"/>
      <c r="BE170" s="65"/>
      <c r="BF170" s="65"/>
      <c r="BG170" s="65"/>
      <c r="BH170" s="65"/>
      <c r="BI170" s="65"/>
      <c r="BJ170" s="65"/>
      <c r="BK170" s="65"/>
      <c r="BL170" s="65"/>
      <c r="BM170" s="65"/>
      <c r="BN170" s="65"/>
      <c r="BO170" s="65"/>
      <c r="BP170" s="65"/>
      <c r="BQ170" s="65"/>
      <c r="BR170" s="65"/>
      <c r="BS170" s="65"/>
      <c r="BT170" s="65"/>
      <c r="BU170" s="65"/>
      <c r="BV170" s="65"/>
      <c r="BW170" s="65"/>
      <c r="BX170" s="65"/>
      <c r="BY170" s="65"/>
      <c r="BZ170" s="65"/>
      <c r="CA170" s="65"/>
      <c r="CB170" s="65"/>
      <c r="CC170" s="65"/>
      <c r="CD170" s="65"/>
      <c r="CE170" s="65"/>
      <c r="CF170" s="65"/>
      <c r="CG170" s="65"/>
      <c r="CH170" s="65"/>
      <c r="CI170" s="65"/>
      <c r="CJ170" s="65"/>
      <c r="CK170" s="65"/>
      <c r="CL170" s="65"/>
      <c r="CM170" s="65"/>
      <c r="CN170" s="65"/>
      <c r="CO170" s="66"/>
    </row>
    <row r="171" spans="1:93" x14ac:dyDescent="0.2">
      <c r="A171" s="61"/>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c r="AH171" s="62"/>
      <c r="AI171" s="62"/>
      <c r="AJ171" s="62"/>
      <c r="AK171" s="62"/>
      <c r="AL171" s="62"/>
      <c r="AM171" s="62"/>
      <c r="AN171" s="62"/>
      <c r="AO171" s="62"/>
      <c r="AP171" s="62"/>
      <c r="AQ171" s="62"/>
      <c r="AR171" s="62"/>
      <c r="AS171" s="62"/>
      <c r="AT171" s="62"/>
      <c r="AU171" s="62"/>
      <c r="AV171" s="62"/>
      <c r="AW171" s="62"/>
      <c r="AX171" s="62"/>
      <c r="AY171" s="62"/>
      <c r="AZ171" s="62"/>
      <c r="BA171" s="62"/>
      <c r="BB171" s="62"/>
      <c r="BC171" s="62"/>
      <c r="BD171" s="62"/>
      <c r="BE171" s="62"/>
      <c r="BF171" s="62"/>
      <c r="BG171" s="62"/>
      <c r="BH171" s="62"/>
      <c r="BI171" s="62"/>
      <c r="BJ171" s="62"/>
      <c r="BK171" s="62"/>
      <c r="BL171" s="62"/>
      <c r="BM171" s="62"/>
      <c r="BN171" s="62"/>
      <c r="BO171" s="62"/>
      <c r="BP171" s="62"/>
      <c r="BQ171" s="62"/>
      <c r="BR171" s="62"/>
      <c r="BS171" s="62"/>
      <c r="BT171" s="62"/>
      <c r="BU171" s="62"/>
      <c r="BV171" s="62"/>
      <c r="BW171" s="62"/>
      <c r="BX171" s="62"/>
      <c r="BY171" s="62"/>
      <c r="BZ171" s="62"/>
      <c r="CA171" s="62"/>
      <c r="CB171" s="62"/>
      <c r="CC171" s="62"/>
      <c r="CD171" s="62"/>
      <c r="CE171" s="62"/>
      <c r="CF171" s="62"/>
      <c r="CG171" s="62"/>
      <c r="CH171" s="62"/>
      <c r="CI171" s="62"/>
      <c r="CJ171" s="62"/>
      <c r="CK171" s="62"/>
      <c r="CL171" s="62"/>
      <c r="CM171" s="62"/>
      <c r="CN171" s="62"/>
      <c r="CO171" s="63"/>
    </row>
    <row r="172" spans="1:93" x14ac:dyDescent="0.2">
      <c r="A172" s="64"/>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c r="AA172" s="65"/>
      <c r="AB172" s="65"/>
      <c r="AC172" s="65"/>
      <c r="AD172" s="65"/>
      <c r="AE172" s="65"/>
      <c r="AF172" s="65"/>
      <c r="AG172" s="65"/>
      <c r="AH172" s="65"/>
      <c r="AI172" s="65"/>
      <c r="AJ172" s="65"/>
      <c r="AK172" s="65"/>
      <c r="AL172" s="65"/>
      <c r="AM172" s="65"/>
      <c r="AN172" s="65"/>
      <c r="AO172" s="65"/>
      <c r="AP172" s="65"/>
      <c r="AQ172" s="65"/>
      <c r="AR172" s="65"/>
      <c r="AS172" s="65"/>
      <c r="AT172" s="65"/>
      <c r="AU172" s="65"/>
      <c r="AV172" s="65"/>
      <c r="AW172" s="65"/>
      <c r="AX172" s="65"/>
      <c r="AY172" s="65"/>
      <c r="AZ172" s="65"/>
      <c r="BA172" s="65"/>
      <c r="BB172" s="65"/>
      <c r="BC172" s="65"/>
      <c r="BD172" s="65"/>
      <c r="BE172" s="65"/>
      <c r="BF172" s="65"/>
      <c r="BG172" s="65"/>
      <c r="BH172" s="65"/>
      <c r="BI172" s="65"/>
      <c r="BJ172" s="65"/>
      <c r="BK172" s="65"/>
      <c r="BL172" s="65"/>
      <c r="BM172" s="65"/>
      <c r="BN172" s="65"/>
      <c r="BO172" s="65"/>
      <c r="BP172" s="65"/>
      <c r="BQ172" s="65"/>
      <c r="BR172" s="65"/>
      <c r="BS172" s="65"/>
      <c r="BT172" s="65"/>
      <c r="BU172" s="65"/>
      <c r="BV172" s="65"/>
      <c r="BW172" s="65"/>
      <c r="BX172" s="65"/>
      <c r="BY172" s="65"/>
      <c r="BZ172" s="65"/>
      <c r="CA172" s="65"/>
      <c r="CB172" s="65"/>
      <c r="CC172" s="65"/>
      <c r="CD172" s="65"/>
      <c r="CE172" s="65"/>
      <c r="CF172" s="65"/>
      <c r="CG172" s="65"/>
      <c r="CH172" s="65"/>
      <c r="CI172" s="65"/>
      <c r="CJ172" s="65"/>
      <c r="CK172" s="65"/>
      <c r="CL172" s="65"/>
      <c r="CM172" s="65"/>
      <c r="CN172" s="65"/>
      <c r="CO172" s="66"/>
    </row>
    <row r="173" spans="1:93" x14ac:dyDescent="0.2">
      <c r="A173" s="61"/>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2"/>
      <c r="AI173" s="62"/>
      <c r="AJ173" s="62"/>
      <c r="AK173" s="62"/>
      <c r="AL173" s="62"/>
      <c r="AM173" s="62"/>
      <c r="AN173" s="62"/>
      <c r="AO173" s="62"/>
      <c r="AP173" s="62"/>
      <c r="AQ173" s="62"/>
      <c r="AR173" s="62"/>
      <c r="AS173" s="62"/>
      <c r="AT173" s="62"/>
      <c r="AU173" s="62"/>
      <c r="AV173" s="62"/>
      <c r="AW173" s="62"/>
      <c r="AX173" s="62"/>
      <c r="AY173" s="62"/>
      <c r="AZ173" s="62"/>
      <c r="BA173" s="62"/>
      <c r="BB173" s="62"/>
      <c r="BC173" s="62"/>
      <c r="BD173" s="62"/>
      <c r="BE173" s="62"/>
      <c r="BF173" s="62"/>
      <c r="BG173" s="62"/>
      <c r="BH173" s="62"/>
      <c r="BI173" s="62"/>
      <c r="BJ173" s="62"/>
      <c r="BK173" s="62"/>
      <c r="BL173" s="62"/>
      <c r="BM173" s="62"/>
      <c r="BN173" s="62"/>
      <c r="BO173" s="62"/>
      <c r="BP173" s="62"/>
      <c r="BQ173" s="62"/>
      <c r="BR173" s="62"/>
      <c r="BS173" s="62"/>
      <c r="BT173" s="62"/>
      <c r="BU173" s="62"/>
      <c r="BV173" s="62"/>
      <c r="BW173" s="62"/>
      <c r="BX173" s="62"/>
      <c r="BY173" s="62"/>
      <c r="BZ173" s="62"/>
      <c r="CA173" s="62"/>
      <c r="CB173" s="62"/>
      <c r="CC173" s="62"/>
      <c r="CD173" s="62"/>
      <c r="CE173" s="62"/>
      <c r="CF173" s="62"/>
      <c r="CG173" s="62"/>
      <c r="CH173" s="62"/>
      <c r="CI173" s="62"/>
      <c r="CJ173" s="62"/>
      <c r="CK173" s="62"/>
      <c r="CL173" s="62"/>
      <c r="CM173" s="62"/>
      <c r="CN173" s="62"/>
      <c r="CO173" s="63"/>
    </row>
    <row r="174" spans="1:93" x14ac:dyDescent="0.2">
      <c r="A174" s="64"/>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c r="AB174" s="65"/>
      <c r="AC174" s="65"/>
      <c r="AD174" s="65"/>
      <c r="AE174" s="65"/>
      <c r="AF174" s="65"/>
      <c r="AG174" s="65"/>
      <c r="AH174" s="65"/>
      <c r="AI174" s="65"/>
      <c r="AJ174" s="65"/>
      <c r="AK174" s="65"/>
      <c r="AL174" s="65"/>
      <c r="AM174" s="65"/>
      <c r="AN174" s="65"/>
      <c r="AO174" s="65"/>
      <c r="AP174" s="65"/>
      <c r="AQ174" s="65"/>
      <c r="AR174" s="65"/>
      <c r="AS174" s="65"/>
      <c r="AT174" s="65"/>
      <c r="AU174" s="65"/>
      <c r="AV174" s="65"/>
      <c r="AW174" s="65"/>
      <c r="AX174" s="65"/>
      <c r="AY174" s="65"/>
      <c r="AZ174" s="65"/>
      <c r="BA174" s="65"/>
      <c r="BB174" s="65"/>
      <c r="BC174" s="65"/>
      <c r="BD174" s="65"/>
      <c r="BE174" s="65"/>
      <c r="BF174" s="65"/>
      <c r="BG174" s="65"/>
      <c r="BH174" s="65"/>
      <c r="BI174" s="65"/>
      <c r="BJ174" s="65"/>
      <c r="BK174" s="65"/>
      <c r="BL174" s="65"/>
      <c r="BM174" s="65"/>
      <c r="BN174" s="65"/>
      <c r="BO174" s="65"/>
      <c r="BP174" s="65"/>
      <c r="BQ174" s="65"/>
      <c r="BR174" s="65"/>
      <c r="BS174" s="65"/>
      <c r="BT174" s="65"/>
      <c r="BU174" s="65"/>
      <c r="BV174" s="65"/>
      <c r="BW174" s="65"/>
      <c r="BX174" s="65"/>
      <c r="BY174" s="65"/>
      <c r="BZ174" s="65"/>
      <c r="CA174" s="65"/>
      <c r="CB174" s="65"/>
      <c r="CC174" s="65"/>
      <c r="CD174" s="65"/>
      <c r="CE174" s="65"/>
      <c r="CF174" s="65"/>
      <c r="CG174" s="65"/>
      <c r="CH174" s="65"/>
      <c r="CI174" s="65"/>
      <c r="CJ174" s="65"/>
      <c r="CK174" s="65"/>
      <c r="CL174" s="65"/>
      <c r="CM174" s="65"/>
      <c r="CN174" s="65"/>
      <c r="CO174" s="66"/>
    </row>
    <row r="175" spans="1:93" x14ac:dyDescent="0.2">
      <c r="A175" s="61"/>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2"/>
      <c r="AI175" s="62"/>
      <c r="AJ175" s="62"/>
      <c r="AK175" s="62"/>
      <c r="AL175" s="62"/>
      <c r="AM175" s="62"/>
      <c r="AN175" s="62"/>
      <c r="AO175" s="62"/>
      <c r="AP175" s="62"/>
      <c r="AQ175" s="62"/>
      <c r="AR175" s="62"/>
      <c r="AS175" s="62"/>
      <c r="AT175" s="62"/>
      <c r="AU175" s="62"/>
      <c r="AV175" s="62"/>
      <c r="AW175" s="62"/>
      <c r="AX175" s="62"/>
      <c r="AY175" s="62"/>
      <c r="AZ175" s="62"/>
      <c r="BA175" s="62"/>
      <c r="BB175" s="62"/>
      <c r="BC175" s="62"/>
      <c r="BD175" s="62"/>
      <c r="BE175" s="62"/>
      <c r="BF175" s="62"/>
      <c r="BG175" s="62"/>
      <c r="BH175" s="62"/>
      <c r="BI175" s="62"/>
      <c r="BJ175" s="62"/>
      <c r="BK175" s="62"/>
      <c r="BL175" s="62"/>
      <c r="BM175" s="62"/>
      <c r="BN175" s="62"/>
      <c r="BO175" s="62"/>
      <c r="BP175" s="62"/>
      <c r="BQ175" s="62"/>
      <c r="BR175" s="62"/>
      <c r="BS175" s="62"/>
      <c r="BT175" s="62"/>
      <c r="BU175" s="62"/>
      <c r="BV175" s="62"/>
      <c r="BW175" s="62"/>
      <c r="BX175" s="62"/>
      <c r="BY175" s="62"/>
      <c r="BZ175" s="62"/>
      <c r="CA175" s="62"/>
      <c r="CB175" s="62"/>
      <c r="CC175" s="62"/>
      <c r="CD175" s="62"/>
      <c r="CE175" s="62"/>
      <c r="CF175" s="62"/>
      <c r="CG175" s="62"/>
      <c r="CH175" s="62"/>
      <c r="CI175" s="62"/>
      <c r="CJ175" s="62"/>
      <c r="CK175" s="62"/>
      <c r="CL175" s="62"/>
      <c r="CM175" s="62"/>
      <c r="CN175" s="62"/>
      <c r="CO175" s="63"/>
    </row>
    <row r="176" spans="1:93" x14ac:dyDescent="0.2">
      <c r="A176" s="64"/>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c r="AB176" s="65"/>
      <c r="AC176" s="65"/>
      <c r="AD176" s="65"/>
      <c r="AE176" s="65"/>
      <c r="AF176" s="65"/>
      <c r="AG176" s="65"/>
      <c r="AH176" s="65"/>
      <c r="AI176" s="65"/>
      <c r="AJ176" s="65"/>
      <c r="AK176" s="65"/>
      <c r="AL176" s="65"/>
      <c r="AM176" s="65"/>
      <c r="AN176" s="65"/>
      <c r="AO176" s="65"/>
      <c r="AP176" s="65"/>
      <c r="AQ176" s="65"/>
      <c r="AR176" s="65"/>
      <c r="AS176" s="65"/>
      <c r="AT176" s="65"/>
      <c r="AU176" s="65"/>
      <c r="AV176" s="65"/>
      <c r="AW176" s="65"/>
      <c r="AX176" s="65"/>
      <c r="AY176" s="65"/>
      <c r="AZ176" s="65"/>
      <c r="BA176" s="65"/>
      <c r="BB176" s="65"/>
      <c r="BC176" s="65"/>
      <c r="BD176" s="65"/>
      <c r="BE176" s="65"/>
      <c r="BF176" s="65"/>
      <c r="BG176" s="65"/>
      <c r="BH176" s="65"/>
      <c r="BI176" s="65"/>
      <c r="BJ176" s="65"/>
      <c r="BK176" s="65"/>
      <c r="BL176" s="65"/>
      <c r="BM176" s="65"/>
      <c r="BN176" s="65"/>
      <c r="BO176" s="65"/>
      <c r="BP176" s="65"/>
      <c r="BQ176" s="65"/>
      <c r="BR176" s="65"/>
      <c r="BS176" s="65"/>
      <c r="BT176" s="65"/>
      <c r="BU176" s="65"/>
      <c r="BV176" s="65"/>
      <c r="BW176" s="65"/>
      <c r="BX176" s="65"/>
      <c r="BY176" s="65"/>
      <c r="BZ176" s="65"/>
      <c r="CA176" s="65"/>
      <c r="CB176" s="65"/>
      <c r="CC176" s="65"/>
      <c r="CD176" s="65"/>
      <c r="CE176" s="65"/>
      <c r="CF176" s="65"/>
      <c r="CG176" s="65"/>
      <c r="CH176" s="65"/>
      <c r="CI176" s="65"/>
      <c r="CJ176" s="65"/>
      <c r="CK176" s="65"/>
      <c r="CL176" s="65"/>
      <c r="CM176" s="65"/>
      <c r="CN176" s="65"/>
      <c r="CO176" s="66"/>
    </row>
    <row r="177" spans="1:93" x14ac:dyDescent="0.2">
      <c r="A177" s="61"/>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c r="AL177" s="62"/>
      <c r="AM177" s="62"/>
      <c r="AN177" s="62"/>
      <c r="AO177" s="62"/>
      <c r="AP177" s="62"/>
      <c r="AQ177" s="62"/>
      <c r="AR177" s="62"/>
      <c r="AS177" s="62"/>
      <c r="AT177" s="62"/>
      <c r="AU177" s="62"/>
      <c r="AV177" s="62"/>
      <c r="AW177" s="62"/>
      <c r="AX177" s="62"/>
      <c r="AY177" s="62"/>
      <c r="AZ177" s="62"/>
      <c r="BA177" s="62"/>
      <c r="BB177" s="62"/>
      <c r="BC177" s="62"/>
      <c r="BD177" s="62"/>
      <c r="BE177" s="62"/>
      <c r="BF177" s="62"/>
      <c r="BG177" s="62"/>
      <c r="BH177" s="62"/>
      <c r="BI177" s="62"/>
      <c r="BJ177" s="62"/>
      <c r="BK177" s="62"/>
      <c r="BL177" s="62"/>
      <c r="BM177" s="62"/>
      <c r="BN177" s="62"/>
      <c r="BO177" s="62"/>
      <c r="BP177" s="62"/>
      <c r="BQ177" s="62"/>
      <c r="BR177" s="62"/>
      <c r="BS177" s="62"/>
      <c r="BT177" s="62"/>
      <c r="BU177" s="62"/>
      <c r="BV177" s="62"/>
      <c r="BW177" s="62"/>
      <c r="BX177" s="62"/>
      <c r="BY177" s="62"/>
      <c r="BZ177" s="62"/>
      <c r="CA177" s="62"/>
      <c r="CB177" s="62"/>
      <c r="CC177" s="62"/>
      <c r="CD177" s="62"/>
      <c r="CE177" s="62"/>
      <c r="CF177" s="62"/>
      <c r="CG177" s="62"/>
      <c r="CH177" s="62"/>
      <c r="CI177" s="62"/>
      <c r="CJ177" s="62"/>
      <c r="CK177" s="62"/>
      <c r="CL177" s="62"/>
      <c r="CM177" s="62"/>
      <c r="CN177" s="62"/>
      <c r="CO177" s="63"/>
    </row>
    <row r="178" spans="1:93" x14ac:dyDescent="0.2">
      <c r="A178" s="64"/>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c r="AB178" s="65"/>
      <c r="AC178" s="65"/>
      <c r="AD178" s="65"/>
      <c r="AE178" s="65"/>
      <c r="AF178" s="65"/>
      <c r="AG178" s="65"/>
      <c r="AH178" s="65"/>
      <c r="AI178" s="65"/>
      <c r="AJ178" s="65"/>
      <c r="AK178" s="65"/>
      <c r="AL178" s="65"/>
      <c r="AM178" s="65"/>
      <c r="AN178" s="65"/>
      <c r="AO178" s="65"/>
      <c r="AP178" s="65"/>
      <c r="AQ178" s="65"/>
      <c r="AR178" s="65"/>
      <c r="AS178" s="65"/>
      <c r="AT178" s="65"/>
      <c r="AU178" s="65"/>
      <c r="AV178" s="65"/>
      <c r="AW178" s="65"/>
      <c r="AX178" s="65"/>
      <c r="AY178" s="65"/>
      <c r="AZ178" s="65"/>
      <c r="BA178" s="65"/>
      <c r="BB178" s="65"/>
      <c r="BC178" s="65"/>
      <c r="BD178" s="65"/>
      <c r="BE178" s="65"/>
      <c r="BF178" s="65"/>
      <c r="BG178" s="65"/>
      <c r="BH178" s="65"/>
      <c r="BI178" s="65"/>
      <c r="BJ178" s="65"/>
      <c r="BK178" s="65"/>
      <c r="BL178" s="65"/>
      <c r="BM178" s="65"/>
      <c r="BN178" s="65"/>
      <c r="BO178" s="65"/>
      <c r="BP178" s="65"/>
      <c r="BQ178" s="65"/>
      <c r="BR178" s="65"/>
      <c r="BS178" s="65"/>
      <c r="BT178" s="65"/>
      <c r="BU178" s="65"/>
      <c r="BV178" s="65"/>
      <c r="BW178" s="65"/>
      <c r="BX178" s="65"/>
      <c r="BY178" s="65"/>
      <c r="BZ178" s="65"/>
      <c r="CA178" s="65"/>
      <c r="CB178" s="65"/>
      <c r="CC178" s="65"/>
      <c r="CD178" s="65"/>
      <c r="CE178" s="65"/>
      <c r="CF178" s="65"/>
      <c r="CG178" s="65"/>
      <c r="CH178" s="65"/>
      <c r="CI178" s="65"/>
      <c r="CJ178" s="65"/>
      <c r="CK178" s="65"/>
      <c r="CL178" s="65"/>
      <c r="CM178" s="65"/>
      <c r="CN178" s="65"/>
      <c r="CO178" s="66"/>
    </row>
    <row r="179" spans="1:93" x14ac:dyDescent="0.2">
      <c r="A179" s="61"/>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c r="AM179" s="62"/>
      <c r="AN179" s="62"/>
      <c r="AO179" s="62"/>
      <c r="AP179" s="62"/>
      <c r="AQ179" s="62"/>
      <c r="AR179" s="62"/>
      <c r="AS179" s="62"/>
      <c r="AT179" s="62"/>
      <c r="AU179" s="62"/>
      <c r="AV179" s="62"/>
      <c r="AW179" s="62"/>
      <c r="AX179" s="62"/>
      <c r="AY179" s="62"/>
      <c r="AZ179" s="62"/>
      <c r="BA179" s="62"/>
      <c r="BB179" s="62"/>
      <c r="BC179" s="62"/>
      <c r="BD179" s="62"/>
      <c r="BE179" s="62"/>
      <c r="BF179" s="62"/>
      <c r="BG179" s="62"/>
      <c r="BH179" s="62"/>
      <c r="BI179" s="62"/>
      <c r="BJ179" s="62"/>
      <c r="BK179" s="62"/>
      <c r="BL179" s="62"/>
      <c r="BM179" s="62"/>
      <c r="BN179" s="62"/>
      <c r="BO179" s="62"/>
      <c r="BP179" s="62"/>
      <c r="BQ179" s="62"/>
      <c r="BR179" s="62"/>
      <c r="BS179" s="62"/>
      <c r="BT179" s="62"/>
      <c r="BU179" s="62"/>
      <c r="BV179" s="62"/>
      <c r="BW179" s="62"/>
      <c r="BX179" s="62"/>
      <c r="BY179" s="62"/>
      <c r="BZ179" s="62"/>
      <c r="CA179" s="62"/>
      <c r="CB179" s="62"/>
      <c r="CC179" s="62"/>
      <c r="CD179" s="62"/>
      <c r="CE179" s="62"/>
      <c r="CF179" s="62"/>
      <c r="CG179" s="62"/>
      <c r="CH179" s="62"/>
      <c r="CI179" s="62"/>
      <c r="CJ179" s="62"/>
      <c r="CK179" s="62"/>
      <c r="CL179" s="62"/>
      <c r="CM179" s="62"/>
      <c r="CN179" s="62"/>
      <c r="CO179" s="63"/>
    </row>
    <row r="180" spans="1:93" x14ac:dyDescent="0.2">
      <c r="A180" s="64"/>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c r="AM180" s="65"/>
      <c r="AN180" s="65"/>
      <c r="AO180" s="65"/>
      <c r="AP180" s="65"/>
      <c r="AQ180" s="65"/>
      <c r="AR180" s="65"/>
      <c r="AS180" s="65"/>
      <c r="AT180" s="65"/>
      <c r="AU180" s="65"/>
      <c r="AV180" s="65"/>
      <c r="AW180" s="65"/>
      <c r="AX180" s="65"/>
      <c r="AY180" s="65"/>
      <c r="AZ180" s="65"/>
      <c r="BA180" s="65"/>
      <c r="BB180" s="65"/>
      <c r="BC180" s="65"/>
      <c r="BD180" s="65"/>
      <c r="BE180" s="65"/>
      <c r="BF180" s="65"/>
      <c r="BG180" s="65"/>
      <c r="BH180" s="65"/>
      <c r="BI180" s="65"/>
      <c r="BJ180" s="65"/>
      <c r="BK180" s="65"/>
      <c r="BL180" s="65"/>
      <c r="BM180" s="65"/>
      <c r="BN180" s="65"/>
      <c r="BO180" s="65"/>
      <c r="BP180" s="65"/>
      <c r="BQ180" s="65"/>
      <c r="BR180" s="65"/>
      <c r="BS180" s="65"/>
      <c r="BT180" s="65"/>
      <c r="BU180" s="65"/>
      <c r="BV180" s="65"/>
      <c r="BW180" s="65"/>
      <c r="BX180" s="65"/>
      <c r="BY180" s="65"/>
      <c r="BZ180" s="65"/>
      <c r="CA180" s="65"/>
      <c r="CB180" s="65"/>
      <c r="CC180" s="65"/>
      <c r="CD180" s="65"/>
      <c r="CE180" s="65"/>
      <c r="CF180" s="65"/>
      <c r="CG180" s="65"/>
      <c r="CH180" s="65"/>
      <c r="CI180" s="65"/>
      <c r="CJ180" s="65"/>
      <c r="CK180" s="65"/>
      <c r="CL180" s="65"/>
      <c r="CM180" s="65"/>
      <c r="CN180" s="65"/>
      <c r="CO180" s="66"/>
    </row>
    <row r="181" spans="1:93" x14ac:dyDescent="0.2">
      <c r="A181" s="61"/>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c r="AL181" s="62"/>
      <c r="AM181" s="62"/>
      <c r="AN181" s="62"/>
      <c r="AO181" s="62"/>
      <c r="AP181" s="62"/>
      <c r="AQ181" s="62"/>
      <c r="AR181" s="62"/>
      <c r="AS181" s="62"/>
      <c r="AT181" s="62"/>
      <c r="AU181" s="62"/>
      <c r="AV181" s="62"/>
      <c r="AW181" s="62"/>
      <c r="AX181" s="62"/>
      <c r="AY181" s="62"/>
      <c r="AZ181" s="62"/>
      <c r="BA181" s="62"/>
      <c r="BB181" s="62"/>
      <c r="BC181" s="62"/>
      <c r="BD181" s="62"/>
      <c r="BE181" s="62"/>
      <c r="BF181" s="62"/>
      <c r="BG181" s="62"/>
      <c r="BH181" s="62"/>
      <c r="BI181" s="62"/>
      <c r="BJ181" s="62"/>
      <c r="BK181" s="62"/>
      <c r="BL181" s="62"/>
      <c r="BM181" s="62"/>
      <c r="BN181" s="62"/>
      <c r="BO181" s="62"/>
      <c r="BP181" s="62"/>
      <c r="BQ181" s="62"/>
      <c r="BR181" s="62"/>
      <c r="BS181" s="62"/>
      <c r="BT181" s="62"/>
      <c r="BU181" s="62"/>
      <c r="BV181" s="62"/>
      <c r="BW181" s="62"/>
      <c r="BX181" s="62"/>
      <c r="BY181" s="62"/>
      <c r="BZ181" s="62"/>
      <c r="CA181" s="62"/>
      <c r="CB181" s="62"/>
      <c r="CC181" s="62"/>
      <c r="CD181" s="62"/>
      <c r="CE181" s="62"/>
      <c r="CF181" s="62"/>
      <c r="CG181" s="62"/>
      <c r="CH181" s="62"/>
      <c r="CI181" s="62"/>
      <c r="CJ181" s="62"/>
      <c r="CK181" s="62"/>
      <c r="CL181" s="62"/>
      <c r="CM181" s="62"/>
      <c r="CN181" s="62"/>
      <c r="CO181" s="63"/>
    </row>
    <row r="182" spans="1:93" x14ac:dyDescent="0.2">
      <c r="A182" s="64"/>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c r="AC182" s="65"/>
      <c r="AD182" s="65"/>
      <c r="AE182" s="65"/>
      <c r="AF182" s="65"/>
      <c r="AG182" s="65"/>
      <c r="AH182" s="65"/>
      <c r="AI182" s="65"/>
      <c r="AJ182" s="65"/>
      <c r="AK182" s="65"/>
      <c r="AL182" s="65"/>
      <c r="AM182" s="65"/>
      <c r="AN182" s="65"/>
      <c r="AO182" s="65"/>
      <c r="AP182" s="65"/>
      <c r="AQ182" s="65"/>
      <c r="AR182" s="65"/>
      <c r="AS182" s="65"/>
      <c r="AT182" s="65"/>
      <c r="AU182" s="65"/>
      <c r="AV182" s="65"/>
      <c r="AW182" s="65"/>
      <c r="AX182" s="65"/>
      <c r="AY182" s="65"/>
      <c r="AZ182" s="65"/>
      <c r="BA182" s="65"/>
      <c r="BB182" s="65"/>
      <c r="BC182" s="65"/>
      <c r="BD182" s="65"/>
      <c r="BE182" s="65"/>
      <c r="BF182" s="65"/>
      <c r="BG182" s="65"/>
      <c r="BH182" s="65"/>
      <c r="BI182" s="65"/>
      <c r="BJ182" s="65"/>
      <c r="BK182" s="65"/>
      <c r="BL182" s="65"/>
      <c r="BM182" s="65"/>
      <c r="BN182" s="65"/>
      <c r="BO182" s="65"/>
      <c r="BP182" s="65"/>
      <c r="BQ182" s="65"/>
      <c r="BR182" s="65"/>
      <c r="BS182" s="65"/>
      <c r="BT182" s="65"/>
      <c r="BU182" s="65"/>
      <c r="BV182" s="65"/>
      <c r="BW182" s="65"/>
      <c r="BX182" s="65"/>
      <c r="BY182" s="65"/>
      <c r="BZ182" s="65"/>
      <c r="CA182" s="65"/>
      <c r="CB182" s="65"/>
      <c r="CC182" s="65"/>
      <c r="CD182" s="65"/>
      <c r="CE182" s="65"/>
      <c r="CF182" s="65"/>
      <c r="CG182" s="65"/>
      <c r="CH182" s="65"/>
      <c r="CI182" s="65"/>
      <c r="CJ182" s="65"/>
      <c r="CK182" s="65"/>
      <c r="CL182" s="65"/>
      <c r="CM182" s="65"/>
      <c r="CN182" s="65"/>
      <c r="CO182" s="66"/>
    </row>
    <row r="183" spans="1:93" x14ac:dyDescent="0.2">
      <c r="A183" s="61"/>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c r="AL183" s="62"/>
      <c r="AM183" s="62"/>
      <c r="AN183" s="62"/>
      <c r="AO183" s="62"/>
      <c r="AP183" s="62"/>
      <c r="AQ183" s="62"/>
      <c r="AR183" s="62"/>
      <c r="AS183" s="62"/>
      <c r="AT183" s="62"/>
      <c r="AU183" s="62"/>
      <c r="AV183" s="62"/>
      <c r="AW183" s="62"/>
      <c r="AX183" s="62"/>
      <c r="AY183" s="62"/>
      <c r="AZ183" s="62"/>
      <c r="BA183" s="62"/>
      <c r="BB183" s="62"/>
      <c r="BC183" s="62"/>
      <c r="BD183" s="62"/>
      <c r="BE183" s="62"/>
      <c r="BF183" s="62"/>
      <c r="BG183" s="62"/>
      <c r="BH183" s="62"/>
      <c r="BI183" s="62"/>
      <c r="BJ183" s="62"/>
      <c r="BK183" s="62"/>
      <c r="BL183" s="62"/>
      <c r="BM183" s="62"/>
      <c r="BN183" s="62"/>
      <c r="BO183" s="62"/>
      <c r="BP183" s="62"/>
      <c r="BQ183" s="62"/>
      <c r="BR183" s="62"/>
      <c r="BS183" s="62"/>
      <c r="BT183" s="62"/>
      <c r="BU183" s="62"/>
      <c r="BV183" s="62"/>
      <c r="BW183" s="62"/>
      <c r="BX183" s="62"/>
      <c r="BY183" s="62"/>
      <c r="BZ183" s="62"/>
      <c r="CA183" s="62"/>
      <c r="CB183" s="62"/>
      <c r="CC183" s="62"/>
      <c r="CD183" s="62"/>
      <c r="CE183" s="62"/>
      <c r="CF183" s="62"/>
      <c r="CG183" s="62"/>
      <c r="CH183" s="62"/>
      <c r="CI183" s="62"/>
      <c r="CJ183" s="62"/>
      <c r="CK183" s="62"/>
      <c r="CL183" s="62"/>
      <c r="CM183" s="62"/>
      <c r="CN183" s="62"/>
      <c r="CO183" s="63"/>
    </row>
    <row r="184" spans="1:93" x14ac:dyDescent="0.2">
      <c r="A184" s="64"/>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c r="AC184" s="65"/>
      <c r="AD184" s="65"/>
      <c r="AE184" s="65"/>
      <c r="AF184" s="65"/>
      <c r="AG184" s="65"/>
      <c r="AH184" s="65"/>
      <c r="AI184" s="65"/>
      <c r="AJ184" s="65"/>
      <c r="AK184" s="65"/>
      <c r="AL184" s="65"/>
      <c r="AM184" s="65"/>
      <c r="AN184" s="65"/>
      <c r="AO184" s="65"/>
      <c r="AP184" s="65"/>
      <c r="AQ184" s="65"/>
      <c r="AR184" s="65"/>
      <c r="AS184" s="65"/>
      <c r="AT184" s="65"/>
      <c r="AU184" s="65"/>
      <c r="AV184" s="65"/>
      <c r="AW184" s="65"/>
      <c r="AX184" s="65"/>
      <c r="AY184" s="65"/>
      <c r="AZ184" s="65"/>
      <c r="BA184" s="65"/>
      <c r="BB184" s="65"/>
      <c r="BC184" s="65"/>
      <c r="BD184" s="65"/>
      <c r="BE184" s="65"/>
      <c r="BF184" s="65"/>
      <c r="BG184" s="65"/>
      <c r="BH184" s="65"/>
      <c r="BI184" s="65"/>
      <c r="BJ184" s="65"/>
      <c r="BK184" s="65"/>
      <c r="BL184" s="65"/>
      <c r="BM184" s="65"/>
      <c r="BN184" s="65"/>
      <c r="BO184" s="65"/>
      <c r="BP184" s="65"/>
      <c r="BQ184" s="65"/>
      <c r="BR184" s="65"/>
      <c r="BS184" s="65"/>
      <c r="BT184" s="65"/>
      <c r="BU184" s="65"/>
      <c r="BV184" s="65"/>
      <c r="BW184" s="65"/>
      <c r="BX184" s="65"/>
      <c r="BY184" s="65"/>
      <c r="BZ184" s="65"/>
      <c r="CA184" s="65"/>
      <c r="CB184" s="65"/>
      <c r="CC184" s="65"/>
      <c r="CD184" s="65"/>
      <c r="CE184" s="65"/>
      <c r="CF184" s="65"/>
      <c r="CG184" s="65"/>
      <c r="CH184" s="65"/>
      <c r="CI184" s="65"/>
      <c r="CJ184" s="65"/>
      <c r="CK184" s="65"/>
      <c r="CL184" s="65"/>
      <c r="CM184" s="65"/>
      <c r="CN184" s="65"/>
      <c r="CO184" s="66"/>
    </row>
    <row r="185" spans="1:93" x14ac:dyDescent="0.2">
      <c r="A185" s="61"/>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c r="AL185" s="62"/>
      <c r="AM185" s="62"/>
      <c r="AN185" s="62"/>
      <c r="AO185" s="62"/>
      <c r="AP185" s="62"/>
      <c r="AQ185" s="62"/>
      <c r="AR185" s="62"/>
      <c r="AS185" s="62"/>
      <c r="AT185" s="62"/>
      <c r="AU185" s="62"/>
      <c r="AV185" s="62"/>
      <c r="AW185" s="62"/>
      <c r="AX185" s="62"/>
      <c r="AY185" s="62"/>
      <c r="AZ185" s="62"/>
      <c r="BA185" s="62"/>
      <c r="BB185" s="62"/>
      <c r="BC185" s="62"/>
      <c r="BD185" s="62"/>
      <c r="BE185" s="62"/>
      <c r="BF185" s="62"/>
      <c r="BG185" s="62"/>
      <c r="BH185" s="62"/>
      <c r="BI185" s="62"/>
      <c r="BJ185" s="62"/>
      <c r="BK185" s="62"/>
      <c r="BL185" s="62"/>
      <c r="BM185" s="62"/>
      <c r="BN185" s="62"/>
      <c r="BO185" s="62"/>
      <c r="BP185" s="62"/>
      <c r="BQ185" s="62"/>
      <c r="BR185" s="62"/>
      <c r="BS185" s="62"/>
      <c r="BT185" s="62"/>
      <c r="BU185" s="62"/>
      <c r="BV185" s="62"/>
      <c r="BW185" s="62"/>
      <c r="BX185" s="62"/>
      <c r="BY185" s="62"/>
      <c r="BZ185" s="62"/>
      <c r="CA185" s="62"/>
      <c r="CB185" s="62"/>
      <c r="CC185" s="62"/>
      <c r="CD185" s="62"/>
      <c r="CE185" s="62"/>
      <c r="CF185" s="62"/>
      <c r="CG185" s="62"/>
      <c r="CH185" s="62"/>
      <c r="CI185" s="62"/>
      <c r="CJ185" s="62"/>
      <c r="CK185" s="62"/>
      <c r="CL185" s="62"/>
      <c r="CM185" s="62"/>
      <c r="CN185" s="62"/>
      <c r="CO185" s="63"/>
    </row>
    <row r="186" spans="1:93" x14ac:dyDescent="0.2">
      <c r="A186" s="64"/>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c r="AB186" s="65"/>
      <c r="AC186" s="65"/>
      <c r="AD186" s="65"/>
      <c r="AE186" s="65"/>
      <c r="AF186" s="65"/>
      <c r="AG186" s="65"/>
      <c r="AH186" s="65"/>
      <c r="AI186" s="65"/>
      <c r="AJ186" s="65"/>
      <c r="AK186" s="65"/>
      <c r="AL186" s="65"/>
      <c r="AM186" s="65"/>
      <c r="AN186" s="65"/>
      <c r="AO186" s="65"/>
      <c r="AP186" s="65"/>
      <c r="AQ186" s="65"/>
      <c r="AR186" s="65"/>
      <c r="AS186" s="65"/>
      <c r="AT186" s="65"/>
      <c r="AU186" s="65"/>
      <c r="AV186" s="65"/>
      <c r="AW186" s="65"/>
      <c r="AX186" s="65"/>
      <c r="AY186" s="65"/>
      <c r="AZ186" s="65"/>
      <c r="BA186" s="65"/>
      <c r="BB186" s="65"/>
      <c r="BC186" s="65"/>
      <c r="BD186" s="65"/>
      <c r="BE186" s="65"/>
      <c r="BF186" s="65"/>
      <c r="BG186" s="65"/>
      <c r="BH186" s="65"/>
      <c r="BI186" s="65"/>
      <c r="BJ186" s="65"/>
      <c r="BK186" s="65"/>
      <c r="BL186" s="65"/>
      <c r="BM186" s="65"/>
      <c r="BN186" s="65"/>
      <c r="BO186" s="65"/>
      <c r="BP186" s="65"/>
      <c r="BQ186" s="65"/>
      <c r="BR186" s="65"/>
      <c r="BS186" s="65"/>
      <c r="BT186" s="65"/>
      <c r="BU186" s="65"/>
      <c r="BV186" s="65"/>
      <c r="BW186" s="65"/>
      <c r="BX186" s="65"/>
      <c r="BY186" s="65"/>
      <c r="BZ186" s="65"/>
      <c r="CA186" s="65"/>
      <c r="CB186" s="65"/>
      <c r="CC186" s="65"/>
      <c r="CD186" s="65"/>
      <c r="CE186" s="65"/>
      <c r="CF186" s="65"/>
      <c r="CG186" s="65"/>
      <c r="CH186" s="65"/>
      <c r="CI186" s="65"/>
      <c r="CJ186" s="65"/>
      <c r="CK186" s="65"/>
      <c r="CL186" s="65"/>
      <c r="CM186" s="65"/>
      <c r="CN186" s="65"/>
      <c r="CO186" s="66"/>
    </row>
    <row r="187" spans="1:93" x14ac:dyDescent="0.2">
      <c r="A187" s="61"/>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c r="AL187" s="62"/>
      <c r="AM187" s="62"/>
      <c r="AN187" s="62"/>
      <c r="AO187" s="62"/>
      <c r="AP187" s="62"/>
      <c r="AQ187" s="62"/>
      <c r="AR187" s="62"/>
      <c r="AS187" s="62"/>
      <c r="AT187" s="62"/>
      <c r="AU187" s="62"/>
      <c r="AV187" s="62"/>
      <c r="AW187" s="62"/>
      <c r="AX187" s="62"/>
      <c r="AY187" s="62"/>
      <c r="AZ187" s="62"/>
      <c r="BA187" s="62"/>
      <c r="BB187" s="62"/>
      <c r="BC187" s="62"/>
      <c r="BD187" s="62"/>
      <c r="BE187" s="62"/>
      <c r="BF187" s="62"/>
      <c r="BG187" s="62"/>
      <c r="BH187" s="62"/>
      <c r="BI187" s="62"/>
      <c r="BJ187" s="62"/>
      <c r="BK187" s="62"/>
      <c r="BL187" s="62"/>
      <c r="BM187" s="62"/>
      <c r="BN187" s="62"/>
      <c r="BO187" s="62"/>
      <c r="BP187" s="62"/>
      <c r="BQ187" s="62"/>
      <c r="BR187" s="62"/>
      <c r="BS187" s="62"/>
      <c r="BT187" s="62"/>
      <c r="BU187" s="62"/>
      <c r="BV187" s="62"/>
      <c r="BW187" s="62"/>
      <c r="BX187" s="62"/>
      <c r="BY187" s="62"/>
      <c r="BZ187" s="62"/>
      <c r="CA187" s="62"/>
      <c r="CB187" s="62"/>
      <c r="CC187" s="62"/>
      <c r="CD187" s="62"/>
      <c r="CE187" s="62"/>
      <c r="CF187" s="62"/>
      <c r="CG187" s="62"/>
      <c r="CH187" s="62"/>
      <c r="CI187" s="62"/>
      <c r="CJ187" s="62"/>
      <c r="CK187" s="62"/>
      <c r="CL187" s="62"/>
      <c r="CM187" s="62"/>
      <c r="CN187" s="62"/>
      <c r="CO187" s="63"/>
    </row>
    <row r="188" spans="1:93" x14ac:dyDescent="0.2">
      <c r="A188" s="64"/>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c r="AB188" s="65"/>
      <c r="AC188" s="65"/>
      <c r="AD188" s="65"/>
      <c r="AE188" s="65"/>
      <c r="AF188" s="65"/>
      <c r="AG188" s="65"/>
      <c r="AH188" s="65"/>
      <c r="AI188" s="65"/>
      <c r="AJ188" s="65"/>
      <c r="AK188" s="65"/>
      <c r="AL188" s="65"/>
      <c r="AM188" s="65"/>
      <c r="AN188" s="65"/>
      <c r="AO188" s="65"/>
      <c r="AP188" s="65"/>
      <c r="AQ188" s="65"/>
      <c r="AR188" s="65"/>
      <c r="AS188" s="65"/>
      <c r="AT188" s="65"/>
      <c r="AU188" s="65"/>
      <c r="AV188" s="65"/>
      <c r="AW188" s="65"/>
      <c r="AX188" s="65"/>
      <c r="AY188" s="65"/>
      <c r="AZ188" s="65"/>
      <c r="BA188" s="65"/>
      <c r="BB188" s="65"/>
      <c r="BC188" s="65"/>
      <c r="BD188" s="65"/>
      <c r="BE188" s="65"/>
      <c r="BF188" s="65"/>
      <c r="BG188" s="65"/>
      <c r="BH188" s="65"/>
      <c r="BI188" s="65"/>
      <c r="BJ188" s="65"/>
      <c r="BK188" s="65"/>
      <c r="BL188" s="65"/>
      <c r="BM188" s="65"/>
      <c r="BN188" s="65"/>
      <c r="BO188" s="65"/>
      <c r="BP188" s="65"/>
      <c r="BQ188" s="65"/>
      <c r="BR188" s="65"/>
      <c r="BS188" s="65"/>
      <c r="BT188" s="65"/>
      <c r="BU188" s="65"/>
      <c r="BV188" s="65"/>
      <c r="BW188" s="65"/>
      <c r="BX188" s="65"/>
      <c r="BY188" s="65"/>
      <c r="BZ188" s="65"/>
      <c r="CA188" s="65"/>
      <c r="CB188" s="65"/>
      <c r="CC188" s="65"/>
      <c r="CD188" s="65"/>
      <c r="CE188" s="65"/>
      <c r="CF188" s="65"/>
      <c r="CG188" s="65"/>
      <c r="CH188" s="65"/>
      <c r="CI188" s="65"/>
      <c r="CJ188" s="65"/>
      <c r="CK188" s="65"/>
      <c r="CL188" s="65"/>
      <c r="CM188" s="65"/>
      <c r="CN188" s="65"/>
      <c r="CO188" s="66"/>
    </row>
    <row r="189" spans="1:93" x14ac:dyDescent="0.2">
      <c r="A189" s="61"/>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c r="AL189" s="62"/>
      <c r="AM189" s="62"/>
      <c r="AN189" s="62"/>
      <c r="AO189" s="62"/>
      <c r="AP189" s="62"/>
      <c r="AQ189" s="62"/>
      <c r="AR189" s="62"/>
      <c r="AS189" s="62"/>
      <c r="AT189" s="62"/>
      <c r="AU189" s="62"/>
      <c r="AV189" s="62"/>
      <c r="AW189" s="62"/>
      <c r="AX189" s="62"/>
      <c r="AY189" s="62"/>
      <c r="AZ189" s="62"/>
      <c r="BA189" s="62"/>
      <c r="BB189" s="62"/>
      <c r="BC189" s="62"/>
      <c r="BD189" s="62"/>
      <c r="BE189" s="62"/>
      <c r="BF189" s="62"/>
      <c r="BG189" s="62"/>
      <c r="BH189" s="62"/>
      <c r="BI189" s="62"/>
      <c r="BJ189" s="62"/>
      <c r="BK189" s="62"/>
      <c r="BL189" s="62"/>
      <c r="BM189" s="62"/>
      <c r="BN189" s="62"/>
      <c r="BO189" s="62"/>
      <c r="BP189" s="62"/>
      <c r="BQ189" s="62"/>
      <c r="BR189" s="62"/>
      <c r="BS189" s="62"/>
      <c r="BT189" s="62"/>
      <c r="BU189" s="62"/>
      <c r="BV189" s="62"/>
      <c r="BW189" s="62"/>
      <c r="BX189" s="62"/>
      <c r="BY189" s="62"/>
      <c r="BZ189" s="62"/>
      <c r="CA189" s="62"/>
      <c r="CB189" s="62"/>
      <c r="CC189" s="62"/>
      <c r="CD189" s="62"/>
      <c r="CE189" s="62"/>
      <c r="CF189" s="62"/>
      <c r="CG189" s="62"/>
      <c r="CH189" s="62"/>
      <c r="CI189" s="62"/>
      <c r="CJ189" s="62"/>
      <c r="CK189" s="62"/>
      <c r="CL189" s="62"/>
      <c r="CM189" s="62"/>
      <c r="CN189" s="62"/>
      <c r="CO189" s="63"/>
    </row>
    <row r="190" spans="1:93" x14ac:dyDescent="0.2">
      <c r="A190" s="64"/>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c r="AC190" s="65"/>
      <c r="AD190" s="65"/>
      <c r="AE190" s="65"/>
      <c r="AF190" s="65"/>
      <c r="AG190" s="65"/>
      <c r="AH190" s="65"/>
      <c r="AI190" s="65"/>
      <c r="AJ190" s="65"/>
      <c r="AK190" s="65"/>
      <c r="AL190" s="65"/>
      <c r="AM190" s="65"/>
      <c r="AN190" s="65"/>
      <c r="AO190" s="65"/>
      <c r="AP190" s="65"/>
      <c r="AQ190" s="65"/>
      <c r="AR190" s="65"/>
      <c r="AS190" s="65"/>
      <c r="AT190" s="65"/>
      <c r="AU190" s="65"/>
      <c r="AV190" s="65"/>
      <c r="AW190" s="65"/>
      <c r="AX190" s="65"/>
      <c r="AY190" s="65"/>
      <c r="AZ190" s="65"/>
      <c r="BA190" s="65"/>
      <c r="BB190" s="65"/>
      <c r="BC190" s="65"/>
      <c r="BD190" s="65"/>
      <c r="BE190" s="65"/>
      <c r="BF190" s="65"/>
      <c r="BG190" s="65"/>
      <c r="BH190" s="65"/>
      <c r="BI190" s="65"/>
      <c r="BJ190" s="65"/>
      <c r="BK190" s="65"/>
      <c r="BL190" s="65"/>
      <c r="BM190" s="65"/>
      <c r="BN190" s="65"/>
      <c r="BO190" s="65"/>
      <c r="BP190" s="65"/>
      <c r="BQ190" s="65"/>
      <c r="BR190" s="65"/>
      <c r="BS190" s="65"/>
      <c r="BT190" s="65"/>
      <c r="BU190" s="65"/>
      <c r="BV190" s="65"/>
      <c r="BW190" s="65"/>
      <c r="BX190" s="65"/>
      <c r="BY190" s="65"/>
      <c r="BZ190" s="65"/>
      <c r="CA190" s="65"/>
      <c r="CB190" s="65"/>
      <c r="CC190" s="65"/>
      <c r="CD190" s="65"/>
      <c r="CE190" s="65"/>
      <c r="CF190" s="65"/>
      <c r="CG190" s="65"/>
      <c r="CH190" s="65"/>
      <c r="CI190" s="65"/>
      <c r="CJ190" s="65"/>
      <c r="CK190" s="65"/>
      <c r="CL190" s="65"/>
      <c r="CM190" s="65"/>
      <c r="CN190" s="65"/>
      <c r="CO190" s="66"/>
    </row>
    <row r="191" spans="1:93" x14ac:dyDescent="0.2">
      <c r="A191" s="61"/>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c r="AL191" s="62"/>
      <c r="AM191" s="62"/>
      <c r="AN191" s="62"/>
      <c r="AO191" s="62"/>
      <c r="AP191" s="62"/>
      <c r="AQ191" s="62"/>
      <c r="AR191" s="62"/>
      <c r="AS191" s="62"/>
      <c r="AT191" s="62"/>
      <c r="AU191" s="62"/>
      <c r="AV191" s="62"/>
      <c r="AW191" s="62"/>
      <c r="AX191" s="62"/>
      <c r="AY191" s="62"/>
      <c r="AZ191" s="62"/>
      <c r="BA191" s="62"/>
      <c r="BB191" s="62"/>
      <c r="BC191" s="62"/>
      <c r="BD191" s="62"/>
      <c r="BE191" s="62"/>
      <c r="BF191" s="62"/>
      <c r="BG191" s="62"/>
      <c r="BH191" s="62"/>
      <c r="BI191" s="62"/>
      <c r="BJ191" s="62"/>
      <c r="BK191" s="62"/>
      <c r="BL191" s="62"/>
      <c r="BM191" s="62"/>
      <c r="BN191" s="62"/>
      <c r="BO191" s="62"/>
      <c r="BP191" s="62"/>
      <c r="BQ191" s="62"/>
      <c r="BR191" s="62"/>
      <c r="BS191" s="62"/>
      <c r="BT191" s="62"/>
      <c r="BU191" s="62"/>
      <c r="BV191" s="62"/>
      <c r="BW191" s="62"/>
      <c r="BX191" s="62"/>
      <c r="BY191" s="62"/>
      <c r="BZ191" s="62"/>
      <c r="CA191" s="62"/>
      <c r="CB191" s="62"/>
      <c r="CC191" s="62"/>
      <c r="CD191" s="62"/>
      <c r="CE191" s="62"/>
      <c r="CF191" s="62"/>
      <c r="CG191" s="62"/>
      <c r="CH191" s="62"/>
      <c r="CI191" s="62"/>
      <c r="CJ191" s="62"/>
      <c r="CK191" s="62"/>
      <c r="CL191" s="62"/>
      <c r="CM191" s="62"/>
      <c r="CN191" s="62"/>
      <c r="CO191" s="63"/>
    </row>
    <row r="192" spans="1:93" x14ac:dyDescent="0.2">
      <c r="A192" s="64"/>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65"/>
      <c r="AG192" s="65"/>
      <c r="AH192" s="65"/>
      <c r="AI192" s="65"/>
      <c r="AJ192" s="65"/>
      <c r="AK192" s="65"/>
      <c r="AL192" s="65"/>
      <c r="AM192" s="65"/>
      <c r="AN192" s="65"/>
      <c r="AO192" s="65"/>
      <c r="AP192" s="65"/>
      <c r="AQ192" s="65"/>
      <c r="AR192" s="65"/>
      <c r="AS192" s="65"/>
      <c r="AT192" s="65"/>
      <c r="AU192" s="65"/>
      <c r="AV192" s="65"/>
      <c r="AW192" s="65"/>
      <c r="AX192" s="65"/>
      <c r="AY192" s="65"/>
      <c r="AZ192" s="65"/>
      <c r="BA192" s="65"/>
      <c r="BB192" s="65"/>
      <c r="BC192" s="65"/>
      <c r="BD192" s="65"/>
      <c r="BE192" s="65"/>
      <c r="BF192" s="65"/>
      <c r="BG192" s="65"/>
      <c r="BH192" s="65"/>
      <c r="BI192" s="65"/>
      <c r="BJ192" s="65"/>
      <c r="BK192" s="65"/>
      <c r="BL192" s="65"/>
      <c r="BM192" s="65"/>
      <c r="BN192" s="65"/>
      <c r="BO192" s="65"/>
      <c r="BP192" s="65"/>
      <c r="BQ192" s="65"/>
      <c r="BR192" s="65"/>
      <c r="BS192" s="65"/>
      <c r="BT192" s="65"/>
      <c r="BU192" s="65"/>
      <c r="BV192" s="65"/>
      <c r="BW192" s="65"/>
      <c r="BX192" s="65"/>
      <c r="BY192" s="65"/>
      <c r="BZ192" s="65"/>
      <c r="CA192" s="65"/>
      <c r="CB192" s="65"/>
      <c r="CC192" s="65"/>
      <c r="CD192" s="65"/>
      <c r="CE192" s="65"/>
      <c r="CF192" s="65"/>
      <c r="CG192" s="65"/>
      <c r="CH192" s="65"/>
      <c r="CI192" s="65"/>
      <c r="CJ192" s="65"/>
      <c r="CK192" s="65"/>
      <c r="CL192" s="65"/>
      <c r="CM192" s="65"/>
      <c r="CN192" s="65"/>
      <c r="CO192" s="66"/>
    </row>
    <row r="193" spans="1:93" x14ac:dyDescent="0.2">
      <c r="A193" s="61"/>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c r="AP193" s="62"/>
      <c r="AQ193" s="62"/>
      <c r="AR193" s="62"/>
      <c r="AS193" s="62"/>
      <c r="AT193" s="62"/>
      <c r="AU193" s="62"/>
      <c r="AV193" s="62"/>
      <c r="AW193" s="62"/>
      <c r="AX193" s="62"/>
      <c r="AY193" s="62"/>
      <c r="AZ193" s="62"/>
      <c r="BA193" s="62"/>
      <c r="BB193" s="62"/>
      <c r="BC193" s="62"/>
      <c r="BD193" s="62"/>
      <c r="BE193" s="62"/>
      <c r="BF193" s="62"/>
      <c r="BG193" s="62"/>
      <c r="BH193" s="62"/>
      <c r="BI193" s="62"/>
      <c r="BJ193" s="62"/>
      <c r="BK193" s="62"/>
      <c r="BL193" s="62"/>
      <c r="BM193" s="62"/>
      <c r="BN193" s="62"/>
      <c r="BO193" s="62"/>
      <c r="BP193" s="62"/>
      <c r="BQ193" s="62"/>
      <c r="BR193" s="62"/>
      <c r="BS193" s="62"/>
      <c r="BT193" s="62"/>
      <c r="BU193" s="62"/>
      <c r="BV193" s="62"/>
      <c r="BW193" s="62"/>
      <c r="BX193" s="62"/>
      <c r="BY193" s="62"/>
      <c r="BZ193" s="62"/>
      <c r="CA193" s="62"/>
      <c r="CB193" s="62"/>
      <c r="CC193" s="62"/>
      <c r="CD193" s="62"/>
      <c r="CE193" s="62"/>
      <c r="CF193" s="62"/>
      <c r="CG193" s="62"/>
      <c r="CH193" s="62"/>
      <c r="CI193" s="62"/>
      <c r="CJ193" s="62"/>
      <c r="CK193" s="62"/>
      <c r="CL193" s="62"/>
      <c r="CM193" s="62"/>
      <c r="CN193" s="62"/>
      <c r="CO193" s="63"/>
    </row>
    <row r="194" spans="1:93" x14ac:dyDescent="0.2">
      <c r="A194" s="64"/>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c r="AC194" s="65"/>
      <c r="AD194" s="65"/>
      <c r="AE194" s="65"/>
      <c r="AF194" s="65"/>
      <c r="AG194" s="65"/>
      <c r="AH194" s="65"/>
      <c r="AI194" s="65"/>
      <c r="AJ194" s="65"/>
      <c r="AK194" s="65"/>
      <c r="AL194" s="65"/>
      <c r="AM194" s="65"/>
      <c r="AN194" s="65"/>
      <c r="AO194" s="65"/>
      <c r="AP194" s="65"/>
      <c r="AQ194" s="65"/>
      <c r="AR194" s="65"/>
      <c r="AS194" s="65"/>
      <c r="AT194" s="65"/>
      <c r="AU194" s="65"/>
      <c r="AV194" s="65"/>
      <c r="AW194" s="65"/>
      <c r="AX194" s="65"/>
      <c r="AY194" s="65"/>
      <c r="AZ194" s="65"/>
      <c r="BA194" s="65"/>
      <c r="BB194" s="65"/>
      <c r="BC194" s="65"/>
      <c r="BD194" s="65"/>
      <c r="BE194" s="65"/>
      <c r="BF194" s="65"/>
      <c r="BG194" s="65"/>
      <c r="BH194" s="65"/>
      <c r="BI194" s="65"/>
      <c r="BJ194" s="65"/>
      <c r="BK194" s="65"/>
      <c r="BL194" s="65"/>
      <c r="BM194" s="65"/>
      <c r="BN194" s="65"/>
      <c r="BO194" s="65"/>
      <c r="BP194" s="65"/>
      <c r="BQ194" s="65"/>
      <c r="BR194" s="65"/>
      <c r="BS194" s="65"/>
      <c r="BT194" s="65"/>
      <c r="BU194" s="65"/>
      <c r="BV194" s="65"/>
      <c r="BW194" s="65"/>
      <c r="BX194" s="65"/>
      <c r="BY194" s="65"/>
      <c r="BZ194" s="65"/>
      <c r="CA194" s="65"/>
      <c r="CB194" s="65"/>
      <c r="CC194" s="65"/>
      <c r="CD194" s="65"/>
      <c r="CE194" s="65"/>
      <c r="CF194" s="65"/>
      <c r="CG194" s="65"/>
      <c r="CH194" s="65"/>
      <c r="CI194" s="65"/>
      <c r="CJ194" s="65"/>
      <c r="CK194" s="65"/>
      <c r="CL194" s="65"/>
      <c r="CM194" s="65"/>
      <c r="CN194" s="65"/>
      <c r="CO194" s="66"/>
    </row>
    <row r="195" spans="1:93" x14ac:dyDescent="0.2">
      <c r="A195" s="61"/>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c r="AP195" s="62"/>
      <c r="AQ195" s="62"/>
      <c r="AR195" s="62"/>
      <c r="AS195" s="62"/>
      <c r="AT195" s="62"/>
      <c r="AU195" s="62"/>
      <c r="AV195" s="62"/>
      <c r="AW195" s="62"/>
      <c r="AX195" s="62"/>
      <c r="AY195" s="62"/>
      <c r="AZ195" s="62"/>
      <c r="BA195" s="62"/>
      <c r="BB195" s="62"/>
      <c r="BC195" s="62"/>
      <c r="BD195" s="62"/>
      <c r="BE195" s="62"/>
      <c r="BF195" s="62"/>
      <c r="BG195" s="62"/>
      <c r="BH195" s="62"/>
      <c r="BI195" s="62"/>
      <c r="BJ195" s="62"/>
      <c r="BK195" s="62"/>
      <c r="BL195" s="62"/>
      <c r="BM195" s="62"/>
      <c r="BN195" s="62"/>
      <c r="BO195" s="62"/>
      <c r="BP195" s="62"/>
      <c r="BQ195" s="62"/>
      <c r="BR195" s="62"/>
      <c r="BS195" s="62"/>
      <c r="BT195" s="62"/>
      <c r="BU195" s="62"/>
      <c r="BV195" s="62"/>
      <c r="BW195" s="62"/>
      <c r="BX195" s="62"/>
      <c r="BY195" s="62"/>
      <c r="BZ195" s="62"/>
      <c r="CA195" s="62"/>
      <c r="CB195" s="62"/>
      <c r="CC195" s="62"/>
      <c r="CD195" s="62"/>
      <c r="CE195" s="62"/>
      <c r="CF195" s="62"/>
      <c r="CG195" s="62"/>
      <c r="CH195" s="62"/>
      <c r="CI195" s="62"/>
      <c r="CJ195" s="62"/>
      <c r="CK195" s="62"/>
      <c r="CL195" s="62"/>
      <c r="CM195" s="62"/>
      <c r="CN195" s="62"/>
      <c r="CO195" s="63"/>
    </row>
    <row r="196" spans="1:93" x14ac:dyDescent="0.2">
      <c r="A196" s="64"/>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65"/>
      <c r="AG196" s="65"/>
      <c r="AH196" s="65"/>
      <c r="AI196" s="65"/>
      <c r="AJ196" s="65"/>
      <c r="AK196" s="65"/>
      <c r="AL196" s="65"/>
      <c r="AM196" s="65"/>
      <c r="AN196" s="65"/>
      <c r="AO196" s="65"/>
      <c r="AP196" s="65"/>
      <c r="AQ196" s="65"/>
      <c r="AR196" s="65"/>
      <c r="AS196" s="65"/>
      <c r="AT196" s="65"/>
      <c r="AU196" s="65"/>
      <c r="AV196" s="65"/>
      <c r="AW196" s="65"/>
      <c r="AX196" s="65"/>
      <c r="AY196" s="65"/>
      <c r="AZ196" s="65"/>
      <c r="BA196" s="65"/>
      <c r="BB196" s="65"/>
      <c r="BC196" s="65"/>
      <c r="BD196" s="65"/>
      <c r="BE196" s="65"/>
      <c r="BF196" s="65"/>
      <c r="BG196" s="65"/>
      <c r="BH196" s="65"/>
      <c r="BI196" s="65"/>
      <c r="BJ196" s="65"/>
      <c r="BK196" s="65"/>
      <c r="BL196" s="65"/>
      <c r="BM196" s="65"/>
      <c r="BN196" s="65"/>
      <c r="BO196" s="65"/>
      <c r="BP196" s="65"/>
      <c r="BQ196" s="65"/>
      <c r="BR196" s="65"/>
      <c r="BS196" s="65"/>
      <c r="BT196" s="65"/>
      <c r="BU196" s="65"/>
      <c r="BV196" s="65"/>
      <c r="BW196" s="65"/>
      <c r="BX196" s="65"/>
      <c r="BY196" s="65"/>
      <c r="BZ196" s="65"/>
      <c r="CA196" s="65"/>
      <c r="CB196" s="65"/>
      <c r="CC196" s="65"/>
      <c r="CD196" s="65"/>
      <c r="CE196" s="65"/>
      <c r="CF196" s="65"/>
      <c r="CG196" s="65"/>
      <c r="CH196" s="65"/>
      <c r="CI196" s="65"/>
      <c r="CJ196" s="65"/>
      <c r="CK196" s="65"/>
      <c r="CL196" s="65"/>
      <c r="CM196" s="65"/>
      <c r="CN196" s="65"/>
      <c r="CO196" s="66"/>
    </row>
    <row r="197" spans="1:93" x14ac:dyDescent="0.2">
      <c r="A197" s="61"/>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62"/>
      <c r="AZ197" s="62"/>
      <c r="BA197" s="62"/>
      <c r="BB197" s="62"/>
      <c r="BC197" s="62"/>
      <c r="BD197" s="62"/>
      <c r="BE197" s="62"/>
      <c r="BF197" s="62"/>
      <c r="BG197" s="62"/>
      <c r="BH197" s="62"/>
      <c r="BI197" s="62"/>
      <c r="BJ197" s="62"/>
      <c r="BK197" s="62"/>
      <c r="BL197" s="62"/>
      <c r="BM197" s="62"/>
      <c r="BN197" s="62"/>
      <c r="BO197" s="62"/>
      <c r="BP197" s="62"/>
      <c r="BQ197" s="62"/>
      <c r="BR197" s="62"/>
      <c r="BS197" s="62"/>
      <c r="BT197" s="62"/>
      <c r="BU197" s="62"/>
      <c r="BV197" s="62"/>
      <c r="BW197" s="62"/>
      <c r="BX197" s="62"/>
      <c r="BY197" s="62"/>
      <c r="BZ197" s="62"/>
      <c r="CA197" s="62"/>
      <c r="CB197" s="62"/>
      <c r="CC197" s="62"/>
      <c r="CD197" s="62"/>
      <c r="CE197" s="62"/>
      <c r="CF197" s="62"/>
      <c r="CG197" s="62"/>
      <c r="CH197" s="62"/>
      <c r="CI197" s="62"/>
      <c r="CJ197" s="62"/>
      <c r="CK197" s="62"/>
      <c r="CL197" s="62"/>
      <c r="CM197" s="62"/>
      <c r="CN197" s="62"/>
      <c r="CO197" s="63"/>
    </row>
    <row r="198" spans="1:93" x14ac:dyDescent="0.2">
      <c r="A198" s="64"/>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c r="AC198" s="65"/>
      <c r="AD198" s="65"/>
      <c r="AE198" s="65"/>
      <c r="AF198" s="65"/>
      <c r="AG198" s="65"/>
      <c r="AH198" s="65"/>
      <c r="AI198" s="65"/>
      <c r="AJ198" s="65"/>
      <c r="AK198" s="65"/>
      <c r="AL198" s="65"/>
      <c r="AM198" s="65"/>
      <c r="AN198" s="65"/>
      <c r="AO198" s="65"/>
      <c r="AP198" s="65"/>
      <c r="AQ198" s="65"/>
      <c r="AR198" s="65"/>
      <c r="AS198" s="65"/>
      <c r="AT198" s="65"/>
      <c r="AU198" s="65"/>
      <c r="AV198" s="65"/>
      <c r="AW198" s="65"/>
      <c r="AX198" s="65"/>
      <c r="AY198" s="65"/>
      <c r="AZ198" s="65"/>
      <c r="BA198" s="65"/>
      <c r="BB198" s="65"/>
      <c r="BC198" s="65"/>
      <c r="BD198" s="65"/>
      <c r="BE198" s="65"/>
      <c r="BF198" s="65"/>
      <c r="BG198" s="65"/>
      <c r="BH198" s="65"/>
      <c r="BI198" s="65"/>
      <c r="BJ198" s="65"/>
      <c r="BK198" s="65"/>
      <c r="BL198" s="65"/>
      <c r="BM198" s="65"/>
      <c r="BN198" s="65"/>
      <c r="BO198" s="65"/>
      <c r="BP198" s="65"/>
      <c r="BQ198" s="65"/>
      <c r="BR198" s="65"/>
      <c r="BS198" s="65"/>
      <c r="BT198" s="65"/>
      <c r="BU198" s="65"/>
      <c r="BV198" s="65"/>
      <c r="BW198" s="65"/>
      <c r="BX198" s="65"/>
      <c r="BY198" s="65"/>
      <c r="BZ198" s="65"/>
      <c r="CA198" s="65"/>
      <c r="CB198" s="65"/>
      <c r="CC198" s="65"/>
      <c r="CD198" s="65"/>
      <c r="CE198" s="65"/>
      <c r="CF198" s="65"/>
      <c r="CG198" s="65"/>
      <c r="CH198" s="65"/>
      <c r="CI198" s="65"/>
      <c r="CJ198" s="65"/>
      <c r="CK198" s="65"/>
      <c r="CL198" s="65"/>
      <c r="CM198" s="65"/>
      <c r="CN198" s="65"/>
      <c r="CO198" s="66"/>
    </row>
    <row r="199" spans="1:93" x14ac:dyDescent="0.2">
      <c r="A199" s="61"/>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c r="AT199" s="62"/>
      <c r="AU199" s="62"/>
      <c r="AV199" s="62"/>
      <c r="AW199" s="62"/>
      <c r="AX199" s="62"/>
      <c r="AY199" s="62"/>
      <c r="AZ199" s="62"/>
      <c r="BA199" s="62"/>
      <c r="BB199" s="62"/>
      <c r="BC199" s="62"/>
      <c r="BD199" s="62"/>
      <c r="BE199" s="62"/>
      <c r="BF199" s="62"/>
      <c r="BG199" s="62"/>
      <c r="BH199" s="62"/>
      <c r="BI199" s="62"/>
      <c r="BJ199" s="62"/>
      <c r="BK199" s="62"/>
      <c r="BL199" s="62"/>
      <c r="BM199" s="62"/>
      <c r="BN199" s="62"/>
      <c r="BO199" s="62"/>
      <c r="BP199" s="62"/>
      <c r="BQ199" s="62"/>
      <c r="BR199" s="62"/>
      <c r="BS199" s="62"/>
      <c r="BT199" s="62"/>
      <c r="BU199" s="62"/>
      <c r="BV199" s="62"/>
      <c r="BW199" s="62"/>
      <c r="BX199" s="62"/>
      <c r="BY199" s="62"/>
      <c r="BZ199" s="62"/>
      <c r="CA199" s="62"/>
      <c r="CB199" s="62"/>
      <c r="CC199" s="62"/>
      <c r="CD199" s="62"/>
      <c r="CE199" s="62"/>
      <c r="CF199" s="62"/>
      <c r="CG199" s="62"/>
      <c r="CH199" s="62"/>
      <c r="CI199" s="62"/>
      <c r="CJ199" s="62"/>
      <c r="CK199" s="62"/>
      <c r="CL199" s="62"/>
      <c r="CM199" s="62"/>
      <c r="CN199" s="62"/>
      <c r="CO199" s="63"/>
    </row>
    <row r="200" spans="1:93" x14ac:dyDescent="0.2">
      <c r="A200" s="64"/>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c r="AC200" s="65"/>
      <c r="AD200" s="65"/>
      <c r="AE200" s="65"/>
      <c r="AF200" s="65"/>
      <c r="AG200" s="65"/>
      <c r="AH200" s="65"/>
      <c r="AI200" s="65"/>
      <c r="AJ200" s="65"/>
      <c r="AK200" s="65"/>
      <c r="AL200" s="65"/>
      <c r="AM200" s="65"/>
      <c r="AN200" s="65"/>
      <c r="AO200" s="65"/>
      <c r="AP200" s="65"/>
      <c r="AQ200" s="65"/>
      <c r="AR200" s="65"/>
      <c r="AS200" s="65"/>
      <c r="AT200" s="65"/>
      <c r="AU200" s="65"/>
      <c r="AV200" s="65"/>
      <c r="AW200" s="65"/>
      <c r="AX200" s="65"/>
      <c r="AY200" s="65"/>
      <c r="AZ200" s="65"/>
      <c r="BA200" s="65"/>
      <c r="BB200" s="65"/>
      <c r="BC200" s="65"/>
      <c r="BD200" s="65"/>
      <c r="BE200" s="65"/>
      <c r="BF200" s="65"/>
      <c r="BG200" s="65"/>
      <c r="BH200" s="65"/>
      <c r="BI200" s="65"/>
      <c r="BJ200" s="65"/>
      <c r="BK200" s="65"/>
      <c r="BL200" s="65"/>
      <c r="BM200" s="65"/>
      <c r="BN200" s="65"/>
      <c r="BO200" s="65"/>
      <c r="BP200" s="65"/>
      <c r="BQ200" s="65"/>
      <c r="BR200" s="65"/>
      <c r="BS200" s="65"/>
      <c r="BT200" s="65"/>
      <c r="BU200" s="65"/>
      <c r="BV200" s="65"/>
      <c r="BW200" s="65"/>
      <c r="BX200" s="65"/>
      <c r="BY200" s="65"/>
      <c r="BZ200" s="65"/>
      <c r="CA200" s="65"/>
      <c r="CB200" s="65"/>
      <c r="CC200" s="65"/>
      <c r="CD200" s="65"/>
      <c r="CE200" s="65"/>
      <c r="CF200" s="65"/>
      <c r="CG200" s="65"/>
      <c r="CH200" s="65"/>
      <c r="CI200" s="65"/>
      <c r="CJ200" s="65"/>
      <c r="CK200" s="65"/>
      <c r="CL200" s="65"/>
      <c r="CM200" s="65"/>
      <c r="CN200" s="65"/>
      <c r="CO200" s="66"/>
    </row>
    <row r="201" spans="1:93" x14ac:dyDescent="0.2">
      <c r="A201" s="61"/>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c r="AP201" s="62"/>
      <c r="AQ201" s="62"/>
      <c r="AR201" s="62"/>
      <c r="AS201" s="62"/>
      <c r="AT201" s="62"/>
      <c r="AU201" s="62"/>
      <c r="AV201" s="62"/>
      <c r="AW201" s="62"/>
      <c r="AX201" s="62"/>
      <c r="AY201" s="62"/>
      <c r="AZ201" s="62"/>
      <c r="BA201" s="62"/>
      <c r="BB201" s="62"/>
      <c r="BC201" s="62"/>
      <c r="BD201" s="62"/>
      <c r="BE201" s="62"/>
      <c r="BF201" s="62"/>
      <c r="BG201" s="62"/>
      <c r="BH201" s="62"/>
      <c r="BI201" s="62"/>
      <c r="BJ201" s="62"/>
      <c r="BK201" s="62"/>
      <c r="BL201" s="62"/>
      <c r="BM201" s="62"/>
      <c r="BN201" s="62"/>
      <c r="BO201" s="62"/>
      <c r="BP201" s="62"/>
      <c r="BQ201" s="62"/>
      <c r="BR201" s="62"/>
      <c r="BS201" s="62"/>
      <c r="BT201" s="62"/>
      <c r="BU201" s="62"/>
      <c r="BV201" s="62"/>
      <c r="BW201" s="62"/>
      <c r="BX201" s="62"/>
      <c r="BY201" s="62"/>
      <c r="BZ201" s="62"/>
      <c r="CA201" s="62"/>
      <c r="CB201" s="62"/>
      <c r="CC201" s="62"/>
      <c r="CD201" s="62"/>
      <c r="CE201" s="62"/>
      <c r="CF201" s="62"/>
      <c r="CG201" s="62"/>
      <c r="CH201" s="62"/>
      <c r="CI201" s="62"/>
      <c r="CJ201" s="62"/>
      <c r="CK201" s="62"/>
      <c r="CL201" s="62"/>
      <c r="CM201" s="62"/>
      <c r="CN201" s="62"/>
      <c r="CO201" s="63"/>
    </row>
    <row r="202" spans="1:93" x14ac:dyDescent="0.2">
      <c r="A202" s="64"/>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c r="AC202" s="65"/>
      <c r="AD202" s="65"/>
      <c r="AE202" s="65"/>
      <c r="AF202" s="65"/>
      <c r="AG202" s="65"/>
      <c r="AH202" s="65"/>
      <c r="AI202" s="65"/>
      <c r="AJ202" s="65"/>
      <c r="AK202" s="65"/>
      <c r="AL202" s="65"/>
      <c r="AM202" s="65"/>
      <c r="AN202" s="65"/>
      <c r="AO202" s="65"/>
      <c r="AP202" s="65"/>
      <c r="AQ202" s="65"/>
      <c r="AR202" s="65"/>
      <c r="AS202" s="65"/>
      <c r="AT202" s="65"/>
      <c r="AU202" s="65"/>
      <c r="AV202" s="65"/>
      <c r="AW202" s="65"/>
      <c r="AX202" s="65"/>
      <c r="AY202" s="65"/>
      <c r="AZ202" s="65"/>
      <c r="BA202" s="65"/>
      <c r="BB202" s="65"/>
      <c r="BC202" s="65"/>
      <c r="BD202" s="65"/>
      <c r="BE202" s="65"/>
      <c r="BF202" s="65"/>
      <c r="BG202" s="65"/>
      <c r="BH202" s="65"/>
      <c r="BI202" s="65"/>
      <c r="BJ202" s="65"/>
      <c r="BK202" s="65"/>
      <c r="BL202" s="65"/>
      <c r="BM202" s="65"/>
      <c r="BN202" s="65"/>
      <c r="BO202" s="65"/>
      <c r="BP202" s="65"/>
      <c r="BQ202" s="65"/>
      <c r="BR202" s="65"/>
      <c r="BS202" s="65"/>
      <c r="BT202" s="65"/>
      <c r="BU202" s="65"/>
      <c r="BV202" s="65"/>
      <c r="BW202" s="65"/>
      <c r="BX202" s="65"/>
      <c r="BY202" s="65"/>
      <c r="BZ202" s="65"/>
      <c r="CA202" s="65"/>
      <c r="CB202" s="65"/>
      <c r="CC202" s="65"/>
      <c r="CD202" s="65"/>
      <c r="CE202" s="65"/>
      <c r="CF202" s="65"/>
      <c r="CG202" s="65"/>
      <c r="CH202" s="65"/>
      <c r="CI202" s="65"/>
      <c r="CJ202" s="65"/>
      <c r="CK202" s="65"/>
      <c r="CL202" s="65"/>
      <c r="CM202" s="65"/>
      <c r="CN202" s="65"/>
      <c r="CO202" s="66"/>
    </row>
    <row r="203" spans="1:93" x14ac:dyDescent="0.2">
      <c r="A203" s="61"/>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c r="AM203" s="62"/>
      <c r="AN203" s="62"/>
      <c r="AO203" s="62"/>
      <c r="AP203" s="62"/>
      <c r="AQ203" s="62"/>
      <c r="AR203" s="62"/>
      <c r="AS203" s="62"/>
      <c r="AT203" s="62"/>
      <c r="AU203" s="62"/>
      <c r="AV203" s="62"/>
      <c r="AW203" s="62"/>
      <c r="AX203" s="62"/>
      <c r="AY203" s="62"/>
      <c r="AZ203" s="62"/>
      <c r="BA203" s="62"/>
      <c r="BB203" s="62"/>
      <c r="BC203" s="62"/>
      <c r="BD203" s="62"/>
      <c r="BE203" s="62"/>
      <c r="BF203" s="62"/>
      <c r="BG203" s="62"/>
      <c r="BH203" s="62"/>
      <c r="BI203" s="62"/>
      <c r="BJ203" s="62"/>
      <c r="BK203" s="62"/>
      <c r="BL203" s="62"/>
      <c r="BM203" s="62"/>
      <c r="BN203" s="62"/>
      <c r="BO203" s="62"/>
      <c r="BP203" s="62"/>
      <c r="BQ203" s="62"/>
      <c r="BR203" s="62"/>
      <c r="BS203" s="62"/>
      <c r="BT203" s="62"/>
      <c r="BU203" s="62"/>
      <c r="BV203" s="62"/>
      <c r="BW203" s="62"/>
      <c r="BX203" s="62"/>
      <c r="BY203" s="62"/>
      <c r="BZ203" s="62"/>
      <c r="CA203" s="62"/>
      <c r="CB203" s="62"/>
      <c r="CC203" s="62"/>
      <c r="CD203" s="62"/>
      <c r="CE203" s="62"/>
      <c r="CF203" s="62"/>
      <c r="CG203" s="62"/>
      <c r="CH203" s="62"/>
      <c r="CI203" s="62"/>
      <c r="CJ203" s="62"/>
      <c r="CK203" s="62"/>
      <c r="CL203" s="62"/>
      <c r="CM203" s="62"/>
      <c r="CN203" s="62"/>
      <c r="CO203" s="63"/>
    </row>
    <row r="204" spans="1:93" x14ac:dyDescent="0.2">
      <c r="A204" s="64"/>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c r="AC204" s="65"/>
      <c r="AD204" s="65"/>
      <c r="AE204" s="65"/>
      <c r="AF204" s="65"/>
      <c r="AG204" s="65"/>
      <c r="AH204" s="65"/>
      <c r="AI204" s="65"/>
      <c r="AJ204" s="65"/>
      <c r="AK204" s="65"/>
      <c r="AL204" s="65"/>
      <c r="AM204" s="65"/>
      <c r="AN204" s="65"/>
      <c r="AO204" s="65"/>
      <c r="AP204" s="65"/>
      <c r="AQ204" s="65"/>
      <c r="AR204" s="65"/>
      <c r="AS204" s="65"/>
      <c r="AT204" s="65"/>
      <c r="AU204" s="65"/>
      <c r="AV204" s="65"/>
      <c r="AW204" s="65"/>
      <c r="AX204" s="65"/>
      <c r="AY204" s="65"/>
      <c r="AZ204" s="65"/>
      <c r="BA204" s="65"/>
      <c r="BB204" s="65"/>
      <c r="BC204" s="65"/>
      <c r="BD204" s="65"/>
      <c r="BE204" s="65"/>
      <c r="BF204" s="65"/>
      <c r="BG204" s="65"/>
      <c r="BH204" s="65"/>
      <c r="BI204" s="65"/>
      <c r="BJ204" s="65"/>
      <c r="BK204" s="65"/>
      <c r="BL204" s="65"/>
      <c r="BM204" s="65"/>
      <c r="BN204" s="65"/>
      <c r="BO204" s="65"/>
      <c r="BP204" s="65"/>
      <c r="BQ204" s="65"/>
      <c r="BR204" s="65"/>
      <c r="BS204" s="65"/>
      <c r="BT204" s="65"/>
      <c r="BU204" s="65"/>
      <c r="BV204" s="65"/>
      <c r="BW204" s="65"/>
      <c r="BX204" s="65"/>
      <c r="BY204" s="65"/>
      <c r="BZ204" s="65"/>
      <c r="CA204" s="65"/>
      <c r="CB204" s="65"/>
      <c r="CC204" s="65"/>
      <c r="CD204" s="65"/>
      <c r="CE204" s="65"/>
      <c r="CF204" s="65"/>
      <c r="CG204" s="65"/>
      <c r="CH204" s="65"/>
      <c r="CI204" s="65"/>
      <c r="CJ204" s="65"/>
      <c r="CK204" s="65"/>
      <c r="CL204" s="65"/>
      <c r="CM204" s="65"/>
      <c r="CN204" s="65"/>
      <c r="CO204" s="66"/>
    </row>
    <row r="205" spans="1:93" x14ac:dyDescent="0.2">
      <c r="A205" s="61"/>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c r="AM205" s="62"/>
      <c r="AN205" s="62"/>
      <c r="AO205" s="62"/>
      <c r="AP205" s="62"/>
      <c r="AQ205" s="62"/>
      <c r="AR205" s="62"/>
      <c r="AS205" s="62"/>
      <c r="AT205" s="62"/>
      <c r="AU205" s="62"/>
      <c r="AV205" s="62"/>
      <c r="AW205" s="62"/>
      <c r="AX205" s="62"/>
      <c r="AY205" s="62"/>
      <c r="AZ205" s="62"/>
      <c r="BA205" s="62"/>
      <c r="BB205" s="62"/>
      <c r="BC205" s="62"/>
      <c r="BD205" s="62"/>
      <c r="BE205" s="62"/>
      <c r="BF205" s="62"/>
      <c r="BG205" s="62"/>
      <c r="BH205" s="62"/>
      <c r="BI205" s="62"/>
      <c r="BJ205" s="62"/>
      <c r="BK205" s="62"/>
      <c r="BL205" s="62"/>
      <c r="BM205" s="62"/>
      <c r="BN205" s="62"/>
      <c r="BO205" s="62"/>
      <c r="BP205" s="62"/>
      <c r="BQ205" s="62"/>
      <c r="BR205" s="62"/>
      <c r="BS205" s="62"/>
      <c r="BT205" s="62"/>
      <c r="BU205" s="62"/>
      <c r="BV205" s="62"/>
      <c r="BW205" s="62"/>
      <c r="BX205" s="62"/>
      <c r="BY205" s="62"/>
      <c r="BZ205" s="62"/>
      <c r="CA205" s="62"/>
      <c r="CB205" s="62"/>
      <c r="CC205" s="62"/>
      <c r="CD205" s="62"/>
      <c r="CE205" s="62"/>
      <c r="CF205" s="62"/>
      <c r="CG205" s="62"/>
      <c r="CH205" s="62"/>
      <c r="CI205" s="62"/>
      <c r="CJ205" s="62"/>
      <c r="CK205" s="62"/>
      <c r="CL205" s="62"/>
      <c r="CM205" s="62"/>
      <c r="CN205" s="62"/>
      <c r="CO205" s="63"/>
    </row>
    <row r="206" spans="1:93" x14ac:dyDescent="0.2">
      <c r="A206" s="64"/>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c r="AC206" s="65"/>
      <c r="AD206" s="65"/>
      <c r="AE206" s="65"/>
      <c r="AF206" s="65"/>
      <c r="AG206" s="65"/>
      <c r="AH206" s="65"/>
      <c r="AI206" s="65"/>
      <c r="AJ206" s="65"/>
      <c r="AK206" s="65"/>
      <c r="AL206" s="65"/>
      <c r="AM206" s="65"/>
      <c r="AN206" s="65"/>
      <c r="AO206" s="65"/>
      <c r="AP206" s="65"/>
      <c r="AQ206" s="65"/>
      <c r="AR206" s="65"/>
      <c r="AS206" s="65"/>
      <c r="AT206" s="65"/>
      <c r="AU206" s="65"/>
      <c r="AV206" s="65"/>
      <c r="AW206" s="65"/>
      <c r="AX206" s="65"/>
      <c r="AY206" s="65"/>
      <c r="AZ206" s="65"/>
      <c r="BA206" s="65"/>
      <c r="BB206" s="65"/>
      <c r="BC206" s="65"/>
      <c r="BD206" s="65"/>
      <c r="BE206" s="65"/>
      <c r="BF206" s="65"/>
      <c r="BG206" s="65"/>
      <c r="BH206" s="65"/>
      <c r="BI206" s="65"/>
      <c r="BJ206" s="65"/>
      <c r="BK206" s="65"/>
      <c r="BL206" s="65"/>
      <c r="BM206" s="65"/>
      <c r="BN206" s="65"/>
      <c r="BO206" s="65"/>
      <c r="BP206" s="65"/>
      <c r="BQ206" s="65"/>
      <c r="BR206" s="65"/>
      <c r="BS206" s="65"/>
      <c r="BT206" s="65"/>
      <c r="BU206" s="65"/>
      <c r="BV206" s="65"/>
      <c r="BW206" s="65"/>
      <c r="BX206" s="65"/>
      <c r="BY206" s="65"/>
      <c r="BZ206" s="65"/>
      <c r="CA206" s="65"/>
      <c r="CB206" s="65"/>
      <c r="CC206" s="65"/>
      <c r="CD206" s="65"/>
      <c r="CE206" s="65"/>
      <c r="CF206" s="65"/>
      <c r="CG206" s="65"/>
      <c r="CH206" s="65"/>
      <c r="CI206" s="65"/>
      <c r="CJ206" s="65"/>
      <c r="CK206" s="65"/>
      <c r="CL206" s="65"/>
      <c r="CM206" s="65"/>
      <c r="CN206" s="65"/>
      <c r="CO206" s="66"/>
    </row>
    <row r="207" spans="1:93" x14ac:dyDescent="0.2">
      <c r="A207" s="61"/>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c r="AP207" s="62"/>
      <c r="AQ207" s="62"/>
      <c r="AR207" s="62"/>
      <c r="AS207" s="62"/>
      <c r="AT207" s="62"/>
      <c r="AU207" s="62"/>
      <c r="AV207" s="62"/>
      <c r="AW207" s="62"/>
      <c r="AX207" s="62"/>
      <c r="AY207" s="62"/>
      <c r="AZ207" s="62"/>
      <c r="BA207" s="62"/>
      <c r="BB207" s="62"/>
      <c r="BC207" s="62"/>
      <c r="BD207" s="62"/>
      <c r="BE207" s="62"/>
      <c r="BF207" s="62"/>
      <c r="BG207" s="62"/>
      <c r="BH207" s="62"/>
      <c r="BI207" s="62"/>
      <c r="BJ207" s="62"/>
      <c r="BK207" s="62"/>
      <c r="BL207" s="62"/>
      <c r="BM207" s="62"/>
      <c r="BN207" s="62"/>
      <c r="BO207" s="62"/>
      <c r="BP207" s="62"/>
      <c r="BQ207" s="62"/>
      <c r="BR207" s="62"/>
      <c r="BS207" s="62"/>
      <c r="BT207" s="62"/>
      <c r="BU207" s="62"/>
      <c r="BV207" s="62"/>
      <c r="BW207" s="62"/>
      <c r="BX207" s="62"/>
      <c r="BY207" s="62"/>
      <c r="BZ207" s="62"/>
      <c r="CA207" s="62"/>
      <c r="CB207" s="62"/>
      <c r="CC207" s="62"/>
      <c r="CD207" s="62"/>
      <c r="CE207" s="62"/>
      <c r="CF207" s="62"/>
      <c r="CG207" s="62"/>
      <c r="CH207" s="62"/>
      <c r="CI207" s="62"/>
      <c r="CJ207" s="62"/>
      <c r="CK207" s="62"/>
      <c r="CL207" s="62"/>
      <c r="CM207" s="62"/>
      <c r="CN207" s="62"/>
      <c r="CO207" s="63"/>
    </row>
    <row r="208" spans="1:93" x14ac:dyDescent="0.2">
      <c r="A208" s="64"/>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c r="AC208" s="65"/>
      <c r="AD208" s="65"/>
      <c r="AE208" s="65"/>
      <c r="AF208" s="65"/>
      <c r="AG208" s="65"/>
      <c r="AH208" s="65"/>
      <c r="AI208" s="65"/>
      <c r="AJ208" s="65"/>
      <c r="AK208" s="65"/>
      <c r="AL208" s="65"/>
      <c r="AM208" s="65"/>
      <c r="AN208" s="65"/>
      <c r="AO208" s="65"/>
      <c r="AP208" s="65"/>
      <c r="AQ208" s="65"/>
      <c r="AR208" s="65"/>
      <c r="AS208" s="65"/>
      <c r="AT208" s="65"/>
      <c r="AU208" s="65"/>
      <c r="AV208" s="65"/>
      <c r="AW208" s="65"/>
      <c r="AX208" s="65"/>
      <c r="AY208" s="65"/>
      <c r="AZ208" s="65"/>
      <c r="BA208" s="65"/>
      <c r="BB208" s="65"/>
      <c r="BC208" s="65"/>
      <c r="BD208" s="65"/>
      <c r="BE208" s="65"/>
      <c r="BF208" s="65"/>
      <c r="BG208" s="65"/>
      <c r="BH208" s="65"/>
      <c r="BI208" s="65"/>
      <c r="BJ208" s="65"/>
      <c r="BK208" s="65"/>
      <c r="BL208" s="65"/>
      <c r="BM208" s="65"/>
      <c r="BN208" s="65"/>
      <c r="BO208" s="65"/>
      <c r="BP208" s="65"/>
      <c r="BQ208" s="65"/>
      <c r="BR208" s="65"/>
      <c r="BS208" s="65"/>
      <c r="BT208" s="65"/>
      <c r="BU208" s="65"/>
      <c r="BV208" s="65"/>
      <c r="BW208" s="65"/>
      <c r="BX208" s="65"/>
      <c r="BY208" s="65"/>
      <c r="BZ208" s="65"/>
      <c r="CA208" s="65"/>
      <c r="CB208" s="65"/>
      <c r="CC208" s="65"/>
      <c r="CD208" s="65"/>
      <c r="CE208" s="65"/>
      <c r="CF208" s="65"/>
      <c r="CG208" s="65"/>
      <c r="CH208" s="65"/>
      <c r="CI208" s="65"/>
      <c r="CJ208" s="65"/>
      <c r="CK208" s="65"/>
      <c r="CL208" s="65"/>
      <c r="CM208" s="65"/>
      <c r="CN208" s="65"/>
      <c r="CO208" s="66"/>
    </row>
    <row r="209" spans="1:93" x14ac:dyDescent="0.2">
      <c r="A209" s="61"/>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c r="AM209" s="62"/>
      <c r="AN209" s="62"/>
      <c r="AO209" s="62"/>
      <c r="AP209" s="62"/>
      <c r="AQ209" s="62"/>
      <c r="AR209" s="62"/>
      <c r="AS209" s="62"/>
      <c r="AT209" s="62"/>
      <c r="AU209" s="62"/>
      <c r="AV209" s="62"/>
      <c r="AW209" s="62"/>
      <c r="AX209" s="62"/>
      <c r="AY209" s="62"/>
      <c r="AZ209" s="62"/>
      <c r="BA209" s="62"/>
      <c r="BB209" s="62"/>
      <c r="BC209" s="62"/>
      <c r="BD209" s="62"/>
      <c r="BE209" s="62"/>
      <c r="BF209" s="62"/>
      <c r="BG209" s="62"/>
      <c r="BH209" s="62"/>
      <c r="BI209" s="62"/>
      <c r="BJ209" s="62"/>
      <c r="BK209" s="62"/>
      <c r="BL209" s="62"/>
      <c r="BM209" s="62"/>
      <c r="BN209" s="62"/>
      <c r="BO209" s="62"/>
      <c r="BP209" s="62"/>
      <c r="BQ209" s="62"/>
      <c r="BR209" s="62"/>
      <c r="BS209" s="62"/>
      <c r="BT209" s="62"/>
      <c r="BU209" s="62"/>
      <c r="BV209" s="62"/>
      <c r="BW209" s="62"/>
      <c r="BX209" s="62"/>
      <c r="BY209" s="62"/>
      <c r="BZ209" s="62"/>
      <c r="CA209" s="62"/>
      <c r="CB209" s="62"/>
      <c r="CC209" s="62"/>
      <c r="CD209" s="62"/>
      <c r="CE209" s="62"/>
      <c r="CF209" s="62"/>
      <c r="CG209" s="62"/>
      <c r="CH209" s="62"/>
      <c r="CI209" s="62"/>
      <c r="CJ209" s="62"/>
      <c r="CK209" s="62"/>
      <c r="CL209" s="62"/>
      <c r="CM209" s="62"/>
      <c r="CN209" s="62"/>
      <c r="CO209" s="63"/>
    </row>
    <row r="210" spans="1:93" x14ac:dyDescent="0.2">
      <c r="A210" s="64"/>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c r="AC210" s="65"/>
      <c r="AD210" s="65"/>
      <c r="AE210" s="65"/>
      <c r="AF210" s="65"/>
      <c r="AG210" s="65"/>
      <c r="AH210" s="65"/>
      <c r="AI210" s="65"/>
      <c r="AJ210" s="65"/>
      <c r="AK210" s="65"/>
      <c r="AL210" s="65"/>
      <c r="AM210" s="65"/>
      <c r="AN210" s="65"/>
      <c r="AO210" s="65"/>
      <c r="AP210" s="65"/>
      <c r="AQ210" s="65"/>
      <c r="AR210" s="65"/>
      <c r="AS210" s="65"/>
      <c r="AT210" s="65"/>
      <c r="AU210" s="65"/>
      <c r="AV210" s="65"/>
      <c r="AW210" s="65"/>
      <c r="AX210" s="65"/>
      <c r="AY210" s="65"/>
      <c r="AZ210" s="65"/>
      <c r="BA210" s="65"/>
      <c r="BB210" s="65"/>
      <c r="BC210" s="65"/>
      <c r="BD210" s="65"/>
      <c r="BE210" s="65"/>
      <c r="BF210" s="65"/>
      <c r="BG210" s="65"/>
      <c r="BH210" s="65"/>
      <c r="BI210" s="65"/>
      <c r="BJ210" s="65"/>
      <c r="BK210" s="65"/>
      <c r="BL210" s="65"/>
      <c r="BM210" s="65"/>
      <c r="BN210" s="65"/>
      <c r="BO210" s="65"/>
      <c r="BP210" s="65"/>
      <c r="BQ210" s="65"/>
      <c r="BR210" s="65"/>
      <c r="BS210" s="65"/>
      <c r="BT210" s="65"/>
      <c r="BU210" s="65"/>
      <c r="BV210" s="65"/>
      <c r="BW210" s="65"/>
      <c r="BX210" s="65"/>
      <c r="BY210" s="65"/>
      <c r="BZ210" s="65"/>
      <c r="CA210" s="65"/>
      <c r="CB210" s="65"/>
      <c r="CC210" s="65"/>
      <c r="CD210" s="65"/>
      <c r="CE210" s="65"/>
      <c r="CF210" s="65"/>
      <c r="CG210" s="65"/>
      <c r="CH210" s="65"/>
      <c r="CI210" s="65"/>
      <c r="CJ210" s="65"/>
      <c r="CK210" s="65"/>
      <c r="CL210" s="65"/>
      <c r="CM210" s="65"/>
      <c r="CN210" s="65"/>
      <c r="CO210" s="66"/>
    </row>
    <row r="211" spans="1:93" x14ac:dyDescent="0.2">
      <c r="A211" s="61"/>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c r="AM211" s="62"/>
      <c r="AN211" s="62"/>
      <c r="AO211" s="62"/>
      <c r="AP211" s="62"/>
      <c r="AQ211" s="62"/>
      <c r="AR211" s="62"/>
      <c r="AS211" s="62"/>
      <c r="AT211" s="62"/>
      <c r="AU211" s="62"/>
      <c r="AV211" s="62"/>
      <c r="AW211" s="62"/>
      <c r="AX211" s="62"/>
      <c r="AY211" s="62"/>
      <c r="AZ211" s="62"/>
      <c r="BA211" s="62"/>
      <c r="BB211" s="62"/>
      <c r="BC211" s="62"/>
      <c r="BD211" s="62"/>
      <c r="BE211" s="62"/>
      <c r="BF211" s="62"/>
      <c r="BG211" s="62"/>
      <c r="BH211" s="62"/>
      <c r="BI211" s="62"/>
      <c r="BJ211" s="62"/>
      <c r="BK211" s="62"/>
      <c r="BL211" s="62"/>
      <c r="BM211" s="62"/>
      <c r="BN211" s="62"/>
      <c r="BO211" s="62"/>
      <c r="BP211" s="62"/>
      <c r="BQ211" s="62"/>
      <c r="BR211" s="62"/>
      <c r="BS211" s="62"/>
      <c r="BT211" s="62"/>
      <c r="BU211" s="62"/>
      <c r="BV211" s="62"/>
      <c r="BW211" s="62"/>
      <c r="BX211" s="62"/>
      <c r="BY211" s="62"/>
      <c r="BZ211" s="62"/>
      <c r="CA211" s="62"/>
      <c r="CB211" s="62"/>
      <c r="CC211" s="62"/>
      <c r="CD211" s="62"/>
      <c r="CE211" s="62"/>
      <c r="CF211" s="62"/>
      <c r="CG211" s="62"/>
      <c r="CH211" s="62"/>
      <c r="CI211" s="62"/>
      <c r="CJ211" s="62"/>
      <c r="CK211" s="62"/>
      <c r="CL211" s="62"/>
      <c r="CM211" s="62"/>
      <c r="CN211" s="62"/>
      <c r="CO211" s="63"/>
    </row>
    <row r="212" spans="1:93" x14ac:dyDescent="0.2">
      <c r="A212" s="64"/>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c r="AC212" s="65"/>
      <c r="AD212" s="65"/>
      <c r="AE212" s="65"/>
      <c r="AF212" s="65"/>
      <c r="AG212" s="65"/>
      <c r="AH212" s="65"/>
      <c r="AI212" s="65"/>
      <c r="AJ212" s="65"/>
      <c r="AK212" s="65"/>
      <c r="AL212" s="65"/>
      <c r="AM212" s="65"/>
      <c r="AN212" s="65"/>
      <c r="AO212" s="65"/>
      <c r="AP212" s="65"/>
      <c r="AQ212" s="65"/>
      <c r="AR212" s="65"/>
      <c r="AS212" s="65"/>
      <c r="AT212" s="65"/>
      <c r="AU212" s="65"/>
      <c r="AV212" s="65"/>
      <c r="AW212" s="65"/>
      <c r="AX212" s="65"/>
      <c r="AY212" s="65"/>
      <c r="AZ212" s="65"/>
      <c r="BA212" s="65"/>
      <c r="BB212" s="65"/>
      <c r="BC212" s="65"/>
      <c r="BD212" s="65"/>
      <c r="BE212" s="65"/>
      <c r="BF212" s="65"/>
      <c r="BG212" s="65"/>
      <c r="BH212" s="65"/>
      <c r="BI212" s="65"/>
      <c r="BJ212" s="65"/>
      <c r="BK212" s="65"/>
      <c r="BL212" s="65"/>
      <c r="BM212" s="65"/>
      <c r="BN212" s="65"/>
      <c r="BO212" s="65"/>
      <c r="BP212" s="65"/>
      <c r="BQ212" s="65"/>
      <c r="BR212" s="65"/>
      <c r="BS212" s="65"/>
      <c r="BT212" s="65"/>
      <c r="BU212" s="65"/>
      <c r="BV212" s="65"/>
      <c r="BW212" s="65"/>
      <c r="BX212" s="65"/>
      <c r="BY212" s="65"/>
      <c r="BZ212" s="65"/>
      <c r="CA212" s="65"/>
      <c r="CB212" s="65"/>
      <c r="CC212" s="65"/>
      <c r="CD212" s="65"/>
      <c r="CE212" s="65"/>
      <c r="CF212" s="65"/>
      <c r="CG212" s="65"/>
      <c r="CH212" s="65"/>
      <c r="CI212" s="65"/>
      <c r="CJ212" s="65"/>
      <c r="CK212" s="65"/>
      <c r="CL212" s="65"/>
      <c r="CM212" s="65"/>
      <c r="CN212" s="65"/>
      <c r="CO212" s="66"/>
    </row>
    <row r="213" spans="1:93" x14ac:dyDescent="0.2">
      <c r="A213" s="61"/>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c r="AJ213" s="62"/>
      <c r="AK213" s="62"/>
      <c r="AL213" s="62"/>
      <c r="AM213" s="62"/>
      <c r="AN213" s="62"/>
      <c r="AO213" s="62"/>
      <c r="AP213" s="62"/>
      <c r="AQ213" s="62"/>
      <c r="AR213" s="62"/>
      <c r="AS213" s="62"/>
      <c r="AT213" s="62"/>
      <c r="AU213" s="62"/>
      <c r="AV213" s="62"/>
      <c r="AW213" s="62"/>
      <c r="AX213" s="62"/>
      <c r="AY213" s="62"/>
      <c r="AZ213" s="62"/>
      <c r="BA213" s="62"/>
      <c r="BB213" s="62"/>
      <c r="BC213" s="62"/>
      <c r="BD213" s="62"/>
      <c r="BE213" s="62"/>
      <c r="BF213" s="62"/>
      <c r="BG213" s="62"/>
      <c r="BH213" s="62"/>
      <c r="BI213" s="62"/>
      <c r="BJ213" s="62"/>
      <c r="BK213" s="62"/>
      <c r="BL213" s="62"/>
      <c r="BM213" s="62"/>
      <c r="BN213" s="62"/>
      <c r="BO213" s="62"/>
      <c r="BP213" s="62"/>
      <c r="BQ213" s="62"/>
      <c r="BR213" s="62"/>
      <c r="BS213" s="62"/>
      <c r="BT213" s="62"/>
      <c r="BU213" s="62"/>
      <c r="BV213" s="62"/>
      <c r="BW213" s="62"/>
      <c r="BX213" s="62"/>
      <c r="BY213" s="62"/>
      <c r="BZ213" s="62"/>
      <c r="CA213" s="62"/>
      <c r="CB213" s="62"/>
      <c r="CC213" s="62"/>
      <c r="CD213" s="62"/>
      <c r="CE213" s="62"/>
      <c r="CF213" s="62"/>
      <c r="CG213" s="62"/>
      <c r="CH213" s="62"/>
      <c r="CI213" s="62"/>
      <c r="CJ213" s="62"/>
      <c r="CK213" s="62"/>
      <c r="CL213" s="62"/>
      <c r="CM213" s="62"/>
      <c r="CN213" s="62"/>
      <c r="CO213" s="63"/>
    </row>
    <row r="214" spans="1:93" x14ac:dyDescent="0.2">
      <c r="A214" s="64"/>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c r="AC214" s="65"/>
      <c r="AD214" s="65"/>
      <c r="AE214" s="65"/>
      <c r="AF214" s="65"/>
      <c r="AG214" s="65"/>
      <c r="AH214" s="65"/>
      <c r="AI214" s="65"/>
      <c r="AJ214" s="65"/>
      <c r="AK214" s="65"/>
      <c r="AL214" s="65"/>
      <c r="AM214" s="65"/>
      <c r="AN214" s="65"/>
      <c r="AO214" s="65"/>
      <c r="AP214" s="65"/>
      <c r="AQ214" s="65"/>
      <c r="AR214" s="65"/>
      <c r="AS214" s="65"/>
      <c r="AT214" s="65"/>
      <c r="AU214" s="65"/>
      <c r="AV214" s="65"/>
      <c r="AW214" s="65"/>
      <c r="AX214" s="65"/>
      <c r="AY214" s="65"/>
      <c r="AZ214" s="65"/>
      <c r="BA214" s="65"/>
      <c r="BB214" s="65"/>
      <c r="BC214" s="65"/>
      <c r="BD214" s="65"/>
      <c r="BE214" s="65"/>
      <c r="BF214" s="65"/>
      <c r="BG214" s="65"/>
      <c r="BH214" s="65"/>
      <c r="BI214" s="65"/>
      <c r="BJ214" s="65"/>
      <c r="BK214" s="65"/>
      <c r="BL214" s="65"/>
      <c r="BM214" s="65"/>
      <c r="BN214" s="65"/>
      <c r="BO214" s="65"/>
      <c r="BP214" s="65"/>
      <c r="BQ214" s="65"/>
      <c r="BR214" s="65"/>
      <c r="BS214" s="65"/>
      <c r="BT214" s="65"/>
      <c r="BU214" s="65"/>
      <c r="BV214" s="65"/>
      <c r="BW214" s="65"/>
      <c r="BX214" s="65"/>
      <c r="BY214" s="65"/>
      <c r="BZ214" s="65"/>
      <c r="CA214" s="65"/>
      <c r="CB214" s="65"/>
      <c r="CC214" s="65"/>
      <c r="CD214" s="65"/>
      <c r="CE214" s="65"/>
      <c r="CF214" s="65"/>
      <c r="CG214" s="65"/>
      <c r="CH214" s="65"/>
      <c r="CI214" s="65"/>
      <c r="CJ214" s="65"/>
      <c r="CK214" s="65"/>
      <c r="CL214" s="65"/>
      <c r="CM214" s="65"/>
      <c r="CN214" s="65"/>
      <c r="CO214" s="66"/>
    </row>
    <row r="215" spans="1:93" x14ac:dyDescent="0.2">
      <c r="A215" s="67"/>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68"/>
      <c r="AG215" s="68"/>
      <c r="AH215" s="68"/>
      <c r="AI215" s="68"/>
      <c r="AJ215" s="68"/>
      <c r="AK215" s="68"/>
      <c r="AL215" s="68"/>
      <c r="AM215" s="68"/>
      <c r="AN215" s="68"/>
      <c r="AO215" s="68"/>
      <c r="AP215" s="68"/>
      <c r="AQ215" s="68"/>
      <c r="AR215" s="68"/>
      <c r="AS215" s="68"/>
      <c r="AT215" s="68"/>
      <c r="AU215" s="68"/>
      <c r="AV215" s="68"/>
      <c r="AW215" s="68"/>
      <c r="AX215" s="68"/>
      <c r="AY215" s="68"/>
      <c r="AZ215" s="68"/>
      <c r="BA215" s="68"/>
      <c r="BB215" s="68"/>
      <c r="BC215" s="68"/>
      <c r="BD215" s="68"/>
      <c r="BE215" s="68"/>
      <c r="BF215" s="68"/>
      <c r="BG215" s="68"/>
      <c r="BH215" s="68"/>
      <c r="BI215" s="68"/>
      <c r="BJ215" s="68"/>
      <c r="BK215" s="68"/>
      <c r="BL215" s="68"/>
      <c r="BM215" s="68"/>
      <c r="BN215" s="68"/>
      <c r="BO215" s="68"/>
      <c r="BP215" s="68"/>
      <c r="BQ215" s="68"/>
      <c r="BR215" s="68"/>
      <c r="BS215" s="68"/>
      <c r="BT215" s="68"/>
      <c r="BU215" s="68"/>
      <c r="BV215" s="68"/>
      <c r="BW215" s="68"/>
      <c r="BX215" s="68"/>
      <c r="BY215" s="68"/>
      <c r="BZ215" s="68"/>
      <c r="CA215" s="68"/>
      <c r="CB215" s="68"/>
      <c r="CC215" s="68"/>
      <c r="CD215" s="68"/>
      <c r="CE215" s="68"/>
      <c r="CF215" s="68"/>
      <c r="CG215" s="68"/>
      <c r="CH215" s="68"/>
      <c r="CI215" s="68"/>
      <c r="CJ215" s="68"/>
      <c r="CK215" s="68"/>
      <c r="CL215" s="68"/>
      <c r="CM215" s="68"/>
      <c r="CN215" s="68"/>
      <c r="CO215" s="69"/>
    </row>
  </sheetData>
  <phoneticPr fontId="10" type="noConversion"/>
  <pageMargins left="0.511811024" right="0.511811024" top="0.78740157499999996" bottom="0.78740157499999996" header="0.31496062000000002" footer="0.31496062000000002"/>
  <pageSetup paperSize="9" orientation="portrait" horizontalDpi="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3:H1006"/>
  <sheetViews>
    <sheetView showGridLines="0" zoomScaleNormal="100" workbookViewId="0">
      <pane ySplit="7" topLeftCell="A8" activePane="bottomLeft" state="frozen"/>
      <selection pane="bottomLeft" activeCell="C17" sqref="C17"/>
    </sheetView>
  </sheetViews>
  <sheetFormatPr baseColWidth="10" defaultColWidth="14.5" defaultRowHeight="15" customHeight="1" x14ac:dyDescent="0.2"/>
  <cols>
    <col min="1" max="1" width="40.1640625" style="31" customWidth="1"/>
    <col min="2" max="2" width="12.33203125" style="31" customWidth="1"/>
    <col min="3" max="3" width="101" style="41" customWidth="1"/>
    <col min="4" max="4" width="28.5" style="31" customWidth="1"/>
    <col min="5" max="5" width="25.5" style="30" customWidth="1"/>
    <col min="6" max="6" width="25.5" style="31" customWidth="1"/>
    <col min="7" max="7" width="19.33203125" style="31" customWidth="1"/>
    <col min="8" max="8" width="20.33203125" style="31" customWidth="1"/>
    <col min="9" max="24" width="8.5" style="31" customWidth="1"/>
    <col min="25" max="16384" width="14.5" style="31"/>
  </cols>
  <sheetData>
    <row r="3" spans="1:8" ht="35" customHeight="1" x14ac:dyDescent="0.2">
      <c r="D3" s="132" t="s">
        <v>132</v>
      </c>
      <c r="E3" s="133" t="s">
        <v>133</v>
      </c>
      <c r="F3" s="134"/>
      <c r="G3" s="135"/>
    </row>
    <row r="4" spans="1:8" ht="15" customHeight="1" x14ac:dyDescent="0.2">
      <c r="D4" s="155" t="s">
        <v>134</v>
      </c>
      <c r="E4" s="155"/>
      <c r="F4" s="155"/>
      <c r="G4" s="155"/>
    </row>
    <row r="7" spans="1:8" x14ac:dyDescent="0.2">
      <c r="A7" s="136" t="s">
        <v>3</v>
      </c>
      <c r="B7" s="137" t="s">
        <v>4</v>
      </c>
      <c r="C7" s="138" t="s">
        <v>5</v>
      </c>
      <c r="D7" s="137" t="s">
        <v>6</v>
      </c>
      <c r="E7" s="139" t="s">
        <v>60</v>
      </c>
      <c r="F7" s="137" t="s">
        <v>7</v>
      </c>
      <c r="G7" s="137" t="s">
        <v>8</v>
      </c>
      <c r="H7" s="137" t="s">
        <v>10</v>
      </c>
    </row>
    <row r="8" spans="1:8" x14ac:dyDescent="0.2">
      <c r="A8" t="s">
        <v>219</v>
      </c>
      <c r="B8" s="33">
        <v>1</v>
      </c>
      <c r="C8" t="s">
        <v>11</v>
      </c>
      <c r="D8" t="s">
        <v>12</v>
      </c>
      <c r="E8" s="28" t="str">
        <f>IFERROR(ROUNDUP('Dados do Forms'!D1,0),"")</f>
        <v/>
      </c>
      <c r="F8" s="35" t="str">
        <f>IF(ISNUMBER(E8), IF(TRIM(UPPER(D8))="INVERTIDA", 4 - E8, E8), "")</f>
        <v/>
      </c>
      <c r="G8" s="33" t="str">
        <f>IF(ISNUMBER(F8), IF(F8&gt;=3,"Alta", IF(F8=2,"Média", IF(F8&lt;=1,"Baixa",""))), "")</f>
        <v/>
      </c>
      <c r="H8" s="33" t="str">
        <f>IF(G8="Alta",3,IF(G8="Média",2,IF(G8="Baixa",1,"")))</f>
        <v/>
      </c>
    </row>
    <row r="9" spans="1:8" x14ac:dyDescent="0.2">
      <c r="A9" t="s">
        <v>219</v>
      </c>
      <c r="B9" s="35">
        <v>2</v>
      </c>
      <c r="C9" t="s">
        <v>13</v>
      </c>
      <c r="D9" t="s">
        <v>14</v>
      </c>
      <c r="E9" s="28" t="str">
        <f>IFERROR(ROUNDUP('Dados do Forms'!E1,0),"")</f>
        <v/>
      </c>
      <c r="F9" s="35" t="str">
        <f>IF(ISNUMBER(E9), IF(TRIM(UPPER(D9))="INVERTIDA", 4 - E9, E9), "")</f>
        <v/>
      </c>
      <c r="G9" s="35" t="str">
        <f t="shared" ref="G9:G97" si="0">IF(ISNUMBER(F9), IF(F9&gt;=3,"Alta", IF(F9=2,"Média", IF(F9&lt;=1,"Baixa",""))), "")</f>
        <v/>
      </c>
      <c r="H9" s="35" t="str">
        <f t="shared" ref="H9:H39" si="1">IF(G9="Alta",3,IF(G9="Média",2,IF(G9="Baixa",1,"")))</f>
        <v/>
      </c>
    </row>
    <row r="10" spans="1:8" x14ac:dyDescent="0.2">
      <c r="A10" t="s">
        <v>219</v>
      </c>
      <c r="B10" s="33">
        <v>3</v>
      </c>
      <c r="C10" t="s">
        <v>15</v>
      </c>
      <c r="D10" t="s">
        <v>14</v>
      </c>
      <c r="E10" s="28" t="str">
        <f>IFERROR(ROUNDUP('Dados do Forms'!F1,0),"")</f>
        <v/>
      </c>
      <c r="F10" s="33" t="str">
        <f t="shared" ref="F10:F39" si="2">IF(ISNUMBER(E10), IF(D10="Invertida", 4 - E10, E10), "")</f>
        <v/>
      </c>
      <c r="G10" s="33" t="str">
        <f t="shared" si="0"/>
        <v/>
      </c>
      <c r="H10" s="33" t="str">
        <f t="shared" si="1"/>
        <v/>
      </c>
    </row>
    <row r="11" spans="1:8" x14ac:dyDescent="0.2">
      <c r="A11" t="s">
        <v>219</v>
      </c>
      <c r="B11" s="35">
        <v>4</v>
      </c>
      <c r="C11" t="s">
        <v>16</v>
      </c>
      <c r="D11" t="s">
        <v>12</v>
      </c>
      <c r="E11" s="28" t="str">
        <f>IFERROR(ROUNDUP('Dados do Forms'!G1,0),"")</f>
        <v/>
      </c>
      <c r="F11" s="35" t="str">
        <f t="shared" si="2"/>
        <v/>
      </c>
      <c r="G11" s="35" t="str">
        <f t="shared" si="0"/>
        <v/>
      </c>
      <c r="H11" s="35" t="str">
        <f t="shared" si="1"/>
        <v/>
      </c>
    </row>
    <row r="12" spans="1:8" x14ac:dyDescent="0.2">
      <c r="A12" t="s">
        <v>219</v>
      </c>
      <c r="B12" s="33">
        <v>5</v>
      </c>
      <c r="C12" t="s">
        <v>17</v>
      </c>
      <c r="D12" t="s">
        <v>14</v>
      </c>
      <c r="E12" s="28" t="str">
        <f>IFERROR(ROUNDUP('Dados do Forms'!H1,0),"")</f>
        <v/>
      </c>
      <c r="F12" s="33" t="str">
        <f t="shared" si="2"/>
        <v/>
      </c>
      <c r="G12" s="33" t="str">
        <f t="shared" si="0"/>
        <v/>
      </c>
      <c r="H12" s="33" t="str">
        <f t="shared" si="1"/>
        <v/>
      </c>
    </row>
    <row r="13" spans="1:8" x14ac:dyDescent="0.2">
      <c r="A13" s="92" t="s">
        <v>220</v>
      </c>
      <c r="B13" s="35">
        <v>1</v>
      </c>
      <c r="C13" s="92" t="s">
        <v>22</v>
      </c>
      <c r="D13" s="92" t="s">
        <v>14</v>
      </c>
      <c r="E13" s="28" t="str">
        <f>IFERROR(ROUNDUP('Dados do Forms'!I1,0),"")</f>
        <v/>
      </c>
      <c r="F13" s="35" t="str">
        <f t="shared" si="2"/>
        <v/>
      </c>
      <c r="G13" s="35" t="str">
        <f t="shared" si="0"/>
        <v/>
      </c>
      <c r="H13" s="35" t="str">
        <f t="shared" si="1"/>
        <v/>
      </c>
    </row>
    <row r="14" spans="1:8" x14ac:dyDescent="0.2">
      <c r="A14" s="92" t="s">
        <v>220</v>
      </c>
      <c r="B14" s="33">
        <v>2</v>
      </c>
      <c r="C14" s="92" t="s">
        <v>181</v>
      </c>
      <c r="D14" s="92" t="s">
        <v>14</v>
      </c>
      <c r="E14" s="28" t="str">
        <f>IFERROR(ROUNDUP('Dados do Forms'!J1,0),"")</f>
        <v/>
      </c>
      <c r="F14" s="33" t="str">
        <f t="shared" si="2"/>
        <v/>
      </c>
      <c r="G14" s="33" t="str">
        <f t="shared" si="0"/>
        <v/>
      </c>
      <c r="H14" s="33" t="str">
        <f t="shared" si="1"/>
        <v/>
      </c>
    </row>
    <row r="15" spans="1:8" x14ac:dyDescent="0.2">
      <c r="A15" s="92" t="s">
        <v>220</v>
      </c>
      <c r="B15" s="35">
        <v>3</v>
      </c>
      <c r="C15" s="92" t="s">
        <v>182</v>
      </c>
      <c r="D15" s="92" t="s">
        <v>14</v>
      </c>
      <c r="E15" s="28" t="str">
        <f>IFERROR(ROUNDUP('Dados do Forms'!K1,0),"")</f>
        <v/>
      </c>
      <c r="F15" s="35" t="str">
        <f>IF(ISNUMBER(E15), IF(D15="Invertida", 4 - E15, E15), "")</f>
        <v/>
      </c>
      <c r="G15" s="35" t="str">
        <f t="shared" si="0"/>
        <v/>
      </c>
      <c r="H15" s="35" t="str">
        <f t="shared" si="1"/>
        <v/>
      </c>
    </row>
    <row r="16" spans="1:8" x14ac:dyDescent="0.2">
      <c r="A16" s="92" t="s">
        <v>220</v>
      </c>
      <c r="B16" s="33">
        <v>4</v>
      </c>
      <c r="C16" s="92" t="s">
        <v>21</v>
      </c>
      <c r="D16" s="92" t="s">
        <v>14</v>
      </c>
      <c r="E16" s="28" t="str">
        <f>IFERROR(ROUNDUP('Dados do Forms'!L1,0),"")</f>
        <v/>
      </c>
      <c r="F16" s="33" t="str">
        <f t="shared" si="2"/>
        <v/>
      </c>
      <c r="G16" s="33" t="str">
        <f t="shared" si="0"/>
        <v/>
      </c>
      <c r="H16" s="33" t="str">
        <f t="shared" si="1"/>
        <v/>
      </c>
    </row>
    <row r="17" spans="1:8" x14ac:dyDescent="0.2">
      <c r="A17" s="92" t="s">
        <v>220</v>
      </c>
      <c r="B17" s="35">
        <v>5</v>
      </c>
      <c r="C17" s="92" t="s">
        <v>183</v>
      </c>
      <c r="D17" s="92" t="s">
        <v>14</v>
      </c>
      <c r="E17" s="28" t="str">
        <f>IFERROR(ROUNDUP('Dados do Forms'!M1,0),"")</f>
        <v/>
      </c>
      <c r="F17" s="35" t="str">
        <f t="shared" si="2"/>
        <v/>
      </c>
      <c r="G17" s="35" t="str">
        <f t="shared" si="0"/>
        <v/>
      </c>
      <c r="H17" s="35" t="str">
        <f t="shared" si="1"/>
        <v/>
      </c>
    </row>
    <row r="18" spans="1:8" x14ac:dyDescent="0.2">
      <c r="A18" t="s">
        <v>221</v>
      </c>
      <c r="B18" s="33">
        <v>1</v>
      </c>
      <c r="C18" t="s">
        <v>184</v>
      </c>
      <c r="D18" t="s">
        <v>12</v>
      </c>
      <c r="E18" s="28" t="str">
        <f>IFERROR(ROUNDUP('Dados do Forms'!N1,0),"")</f>
        <v/>
      </c>
      <c r="F18" s="33" t="str">
        <f t="shared" si="2"/>
        <v/>
      </c>
      <c r="G18" s="33" t="str">
        <f t="shared" si="0"/>
        <v/>
      </c>
      <c r="H18" s="33" t="str">
        <f t="shared" si="1"/>
        <v/>
      </c>
    </row>
    <row r="19" spans="1:8" x14ac:dyDescent="0.2">
      <c r="A19" t="s">
        <v>221</v>
      </c>
      <c r="B19" s="35">
        <v>2</v>
      </c>
      <c r="C19" t="s">
        <v>185</v>
      </c>
      <c r="D19" t="s">
        <v>14</v>
      </c>
      <c r="E19" s="28" t="str">
        <f>IFERROR(ROUNDUP('Dados do Forms'!O1,0),"")</f>
        <v/>
      </c>
      <c r="F19" s="35" t="str">
        <f t="shared" si="2"/>
        <v/>
      </c>
      <c r="G19" s="35" t="str">
        <f t="shared" si="0"/>
        <v/>
      </c>
      <c r="H19" s="35" t="str">
        <f t="shared" si="1"/>
        <v/>
      </c>
    </row>
    <row r="20" spans="1:8" x14ac:dyDescent="0.2">
      <c r="A20" t="s">
        <v>221</v>
      </c>
      <c r="B20" s="33">
        <v>3</v>
      </c>
      <c r="C20" t="s">
        <v>186</v>
      </c>
      <c r="D20" t="s">
        <v>12</v>
      </c>
      <c r="E20" s="28" t="str">
        <f>IFERROR(ROUNDUP('Dados do Forms'!P1,0),"")</f>
        <v/>
      </c>
      <c r="F20" s="33" t="str">
        <f t="shared" si="2"/>
        <v/>
      </c>
      <c r="G20" s="33" t="str">
        <f t="shared" si="0"/>
        <v/>
      </c>
      <c r="H20" s="33" t="str">
        <f t="shared" si="1"/>
        <v/>
      </c>
    </row>
    <row r="21" spans="1:8" x14ac:dyDescent="0.2">
      <c r="A21" t="s">
        <v>221</v>
      </c>
      <c r="B21" s="35">
        <v>4</v>
      </c>
      <c r="C21" t="s">
        <v>187</v>
      </c>
      <c r="D21" t="s">
        <v>14</v>
      </c>
      <c r="E21" s="28" t="str">
        <f>IFERROR(ROUNDUP('Dados do Forms'!Q1,0),"")</f>
        <v/>
      </c>
      <c r="F21" s="35" t="str">
        <f t="shared" si="2"/>
        <v/>
      </c>
      <c r="G21" s="35" t="str">
        <f t="shared" si="0"/>
        <v/>
      </c>
      <c r="H21" s="35" t="str">
        <f t="shared" si="1"/>
        <v/>
      </c>
    </row>
    <row r="22" spans="1:8" x14ac:dyDescent="0.2">
      <c r="A22" s="92" t="s">
        <v>222</v>
      </c>
      <c r="B22" s="33">
        <v>1</v>
      </c>
      <c r="C22" s="92" t="s">
        <v>188</v>
      </c>
      <c r="D22" s="92" t="s">
        <v>14</v>
      </c>
      <c r="E22" s="28" t="str">
        <f>IFERROR(ROUNDUP('Dados do Forms'!R1,0),"")</f>
        <v/>
      </c>
      <c r="F22" s="33" t="str">
        <f t="shared" si="2"/>
        <v/>
      </c>
      <c r="G22" s="33" t="str">
        <f t="shared" si="0"/>
        <v/>
      </c>
      <c r="H22" s="33" t="str">
        <f t="shared" si="1"/>
        <v/>
      </c>
    </row>
    <row r="23" spans="1:8" x14ac:dyDescent="0.2">
      <c r="A23" s="92" t="s">
        <v>222</v>
      </c>
      <c r="B23" s="35">
        <v>2</v>
      </c>
      <c r="C23" s="92" t="s">
        <v>189</v>
      </c>
      <c r="D23" s="92" t="s">
        <v>14</v>
      </c>
      <c r="E23" s="28" t="str">
        <f>IFERROR(ROUNDUP('Dados do Forms'!S1,0),"")</f>
        <v/>
      </c>
      <c r="F23" s="35" t="str">
        <f t="shared" si="2"/>
        <v/>
      </c>
      <c r="G23" s="35" t="str">
        <f t="shared" si="0"/>
        <v/>
      </c>
      <c r="H23" s="35" t="str">
        <f t="shared" si="1"/>
        <v/>
      </c>
    </row>
    <row r="24" spans="1:8" x14ac:dyDescent="0.2">
      <c r="A24" s="92" t="s">
        <v>222</v>
      </c>
      <c r="B24" s="33">
        <v>3</v>
      </c>
      <c r="C24" s="92" t="s">
        <v>190</v>
      </c>
      <c r="D24" s="92" t="s">
        <v>14</v>
      </c>
      <c r="E24" s="28" t="str">
        <f>IFERROR(ROUNDUP('Dados do Forms'!T1,0),"")</f>
        <v/>
      </c>
      <c r="F24" s="33" t="str">
        <f t="shared" si="2"/>
        <v/>
      </c>
      <c r="G24" s="33" t="str">
        <f t="shared" si="0"/>
        <v/>
      </c>
      <c r="H24" s="33" t="str">
        <f t="shared" si="1"/>
        <v/>
      </c>
    </row>
    <row r="25" spans="1:8" x14ac:dyDescent="0.2">
      <c r="A25" s="92" t="s">
        <v>222</v>
      </c>
      <c r="B25" s="35">
        <v>4</v>
      </c>
      <c r="C25" s="92" t="s">
        <v>191</v>
      </c>
      <c r="D25" s="92" t="s">
        <v>14</v>
      </c>
      <c r="E25" s="28" t="str">
        <f>IFERROR(ROUNDUP('Dados do Forms'!U1,0),"")</f>
        <v/>
      </c>
      <c r="F25" s="35" t="str">
        <f t="shared" si="2"/>
        <v/>
      </c>
      <c r="G25" s="35" t="str">
        <f t="shared" si="0"/>
        <v/>
      </c>
      <c r="H25" s="35" t="str">
        <f t="shared" si="1"/>
        <v/>
      </c>
    </row>
    <row r="26" spans="1:8" x14ac:dyDescent="0.2">
      <c r="A26" t="s">
        <v>223</v>
      </c>
      <c r="B26" s="33">
        <v>1</v>
      </c>
      <c r="C26" t="s">
        <v>19</v>
      </c>
      <c r="D26" t="s">
        <v>14</v>
      </c>
      <c r="E26" s="28" t="str">
        <f>IFERROR(ROUNDUP('Dados do Forms'!V1,0),"")</f>
        <v/>
      </c>
      <c r="F26" s="33" t="str">
        <f t="shared" si="2"/>
        <v/>
      </c>
      <c r="G26" s="33" t="str">
        <f t="shared" si="0"/>
        <v/>
      </c>
      <c r="H26" s="33" t="str">
        <f t="shared" si="1"/>
        <v/>
      </c>
    </row>
    <row r="27" spans="1:8" ht="15.75" customHeight="1" x14ac:dyDescent="0.2">
      <c r="A27" t="s">
        <v>223</v>
      </c>
      <c r="B27" s="35">
        <v>2</v>
      </c>
      <c r="C27" t="s">
        <v>192</v>
      </c>
      <c r="D27" t="s">
        <v>14</v>
      </c>
      <c r="E27" s="28" t="str">
        <f>IFERROR(ROUNDUP('Dados do Forms'!W1,0),"")</f>
        <v/>
      </c>
      <c r="F27" s="35" t="str">
        <f t="shared" si="2"/>
        <v/>
      </c>
      <c r="G27" s="35" t="str">
        <f t="shared" si="0"/>
        <v/>
      </c>
      <c r="H27" s="35" t="str">
        <f t="shared" si="1"/>
        <v/>
      </c>
    </row>
    <row r="28" spans="1:8" ht="15.75" customHeight="1" x14ac:dyDescent="0.2">
      <c r="A28" t="s">
        <v>223</v>
      </c>
      <c r="B28" s="33">
        <v>3</v>
      </c>
      <c r="C28" t="s">
        <v>193</v>
      </c>
      <c r="D28" t="s">
        <v>12</v>
      </c>
      <c r="E28" s="28" t="str">
        <f>IFERROR(ROUNDUP('Dados do Forms'!X1,0),"")</f>
        <v/>
      </c>
      <c r="F28" s="33" t="str">
        <f t="shared" si="2"/>
        <v/>
      </c>
      <c r="G28" s="33" t="str">
        <f t="shared" si="0"/>
        <v/>
      </c>
      <c r="H28" s="33" t="str">
        <f t="shared" si="1"/>
        <v/>
      </c>
    </row>
    <row r="29" spans="1:8" ht="15.75" customHeight="1" x14ac:dyDescent="0.2">
      <c r="A29" s="92" t="s">
        <v>224</v>
      </c>
      <c r="B29" s="35">
        <v>1</v>
      </c>
      <c r="C29" s="92" t="s">
        <v>194</v>
      </c>
      <c r="D29" s="92" t="s">
        <v>14</v>
      </c>
      <c r="E29" s="28" t="str">
        <f>IFERROR(ROUNDUP('Dados do Forms'!Y1,0),"")</f>
        <v/>
      </c>
      <c r="F29" s="35" t="str">
        <f t="shared" si="2"/>
        <v/>
      </c>
      <c r="G29" s="35" t="str">
        <f t="shared" si="0"/>
        <v/>
      </c>
      <c r="H29" s="35" t="str">
        <f t="shared" si="1"/>
        <v/>
      </c>
    </row>
    <row r="30" spans="1:8" ht="15.75" customHeight="1" x14ac:dyDescent="0.2">
      <c r="A30" s="92" t="s">
        <v>224</v>
      </c>
      <c r="B30" s="33">
        <v>2</v>
      </c>
      <c r="C30" s="92" t="s">
        <v>195</v>
      </c>
      <c r="D30" s="92" t="s">
        <v>14</v>
      </c>
      <c r="E30" s="28" t="str">
        <f>IFERROR(ROUNDUP('Dados do Forms'!Z1,0),"")</f>
        <v/>
      </c>
      <c r="F30" s="33" t="str">
        <f t="shared" si="2"/>
        <v/>
      </c>
      <c r="G30" s="33" t="str">
        <f t="shared" si="0"/>
        <v/>
      </c>
      <c r="H30" s="33" t="str">
        <f t="shared" si="1"/>
        <v/>
      </c>
    </row>
    <row r="31" spans="1:8" ht="15.75" customHeight="1" x14ac:dyDescent="0.2">
      <c r="A31" s="92" t="s">
        <v>224</v>
      </c>
      <c r="B31" s="35">
        <v>3</v>
      </c>
      <c r="C31" s="92" t="s">
        <v>23</v>
      </c>
      <c r="D31" s="92" t="s">
        <v>12</v>
      </c>
      <c r="E31" s="28" t="str">
        <f>IFERROR(ROUNDUP('Dados do Forms'!AA1,0),"")</f>
        <v/>
      </c>
      <c r="F31" s="35" t="str">
        <f t="shared" si="2"/>
        <v/>
      </c>
      <c r="G31" s="35" t="str">
        <f t="shared" si="0"/>
        <v/>
      </c>
      <c r="H31" s="35" t="str">
        <f t="shared" si="1"/>
        <v/>
      </c>
    </row>
    <row r="32" spans="1:8" ht="15.75" customHeight="1" x14ac:dyDescent="0.2">
      <c r="A32" s="92" t="s">
        <v>224</v>
      </c>
      <c r="B32" s="33">
        <v>4</v>
      </c>
      <c r="C32" s="92" t="s">
        <v>196</v>
      </c>
      <c r="D32" s="92" t="s">
        <v>12</v>
      </c>
      <c r="E32" s="28" t="str">
        <f>IFERROR(ROUNDUP('Dados do Forms'!AB1,0),"")</f>
        <v/>
      </c>
      <c r="F32" s="33" t="str">
        <f t="shared" si="2"/>
        <v/>
      </c>
      <c r="G32" s="33" t="str">
        <f t="shared" si="0"/>
        <v/>
      </c>
      <c r="H32" s="33" t="str">
        <f t="shared" si="1"/>
        <v/>
      </c>
    </row>
    <row r="33" spans="1:8" ht="15.75" customHeight="1" x14ac:dyDescent="0.2">
      <c r="A33" s="71" t="s">
        <v>225</v>
      </c>
      <c r="B33" s="35">
        <v>1</v>
      </c>
      <c r="C33" s="71" t="s">
        <v>197</v>
      </c>
      <c r="D33" s="71" t="s">
        <v>14</v>
      </c>
      <c r="E33" s="28" t="str">
        <f>IFERROR(ROUNDUP('Dados do Forms'!AC1,0),"")</f>
        <v/>
      </c>
      <c r="F33" s="35" t="str">
        <f t="shared" si="2"/>
        <v/>
      </c>
      <c r="G33" s="35" t="str">
        <f t="shared" si="0"/>
        <v/>
      </c>
      <c r="H33" s="35" t="str">
        <f t="shared" si="1"/>
        <v/>
      </c>
    </row>
    <row r="34" spans="1:8" ht="15.75" customHeight="1" x14ac:dyDescent="0.2">
      <c r="A34" s="71" t="s">
        <v>225</v>
      </c>
      <c r="B34" s="33">
        <v>2</v>
      </c>
      <c r="C34" s="71" t="s">
        <v>20</v>
      </c>
      <c r="D34" s="71" t="s">
        <v>14</v>
      </c>
      <c r="E34" s="28" t="str">
        <f>IFERROR(ROUNDUP('Dados do Forms'!AD1,0),"")</f>
        <v/>
      </c>
      <c r="F34" s="33" t="str">
        <f t="shared" si="2"/>
        <v/>
      </c>
      <c r="G34" s="33" t="str">
        <f t="shared" si="0"/>
        <v/>
      </c>
      <c r="H34" s="33" t="str">
        <f t="shared" si="1"/>
        <v/>
      </c>
    </row>
    <row r="35" spans="1:8" ht="15.75" customHeight="1" x14ac:dyDescent="0.2">
      <c r="A35" s="71" t="s">
        <v>225</v>
      </c>
      <c r="B35" s="35">
        <v>3</v>
      </c>
      <c r="C35" s="71" t="s">
        <v>198</v>
      </c>
      <c r="D35" s="71" t="s">
        <v>14</v>
      </c>
      <c r="E35" s="28" t="str">
        <f>IFERROR(ROUNDUP('Dados do Forms'!AE1,0),"")</f>
        <v/>
      </c>
      <c r="F35" s="35" t="str">
        <f t="shared" si="2"/>
        <v/>
      </c>
      <c r="G35" s="35" t="str">
        <f t="shared" si="0"/>
        <v/>
      </c>
      <c r="H35" s="35" t="str">
        <f t="shared" si="1"/>
        <v/>
      </c>
    </row>
    <row r="36" spans="1:8" ht="15.75" customHeight="1" x14ac:dyDescent="0.2">
      <c r="A36" s="71" t="s">
        <v>225</v>
      </c>
      <c r="B36" s="33">
        <v>4</v>
      </c>
      <c r="C36" s="71" t="s">
        <v>24</v>
      </c>
      <c r="D36" s="71" t="s">
        <v>12</v>
      </c>
      <c r="E36" s="28" t="str">
        <f>IFERROR(ROUNDUP('Dados do Forms'!AF1,0),"")</f>
        <v/>
      </c>
      <c r="F36" s="33" t="str">
        <f t="shared" si="2"/>
        <v/>
      </c>
      <c r="G36" s="33" t="str">
        <f t="shared" si="0"/>
        <v/>
      </c>
      <c r="H36" s="33" t="str">
        <f t="shared" si="1"/>
        <v/>
      </c>
    </row>
    <row r="37" spans="1:8" ht="15.75" customHeight="1" x14ac:dyDescent="0.2">
      <c r="A37" s="92" t="s">
        <v>226</v>
      </c>
      <c r="B37" s="35">
        <v>1</v>
      </c>
      <c r="C37" s="92" t="s">
        <v>199</v>
      </c>
      <c r="D37" s="92" t="s">
        <v>12</v>
      </c>
      <c r="E37" s="28" t="str">
        <f>IFERROR(ROUNDUP('Dados do Forms'!AG1,0),"")</f>
        <v/>
      </c>
      <c r="F37" s="35" t="str">
        <f t="shared" si="2"/>
        <v/>
      </c>
      <c r="G37" s="35" t="str">
        <f t="shared" si="0"/>
        <v/>
      </c>
      <c r="H37" s="35" t="str">
        <f t="shared" si="1"/>
        <v/>
      </c>
    </row>
    <row r="38" spans="1:8" ht="15.75" customHeight="1" x14ac:dyDescent="0.2">
      <c r="A38" s="92" t="s">
        <v>226</v>
      </c>
      <c r="B38" s="33">
        <v>2</v>
      </c>
      <c r="C38" s="92" t="s">
        <v>200</v>
      </c>
      <c r="D38" s="92" t="s">
        <v>12</v>
      </c>
      <c r="E38" s="28" t="str">
        <f>IFERROR(ROUNDUP('Dados do Forms'!AH1,0),"")</f>
        <v/>
      </c>
      <c r="F38" s="33" t="str">
        <f t="shared" si="2"/>
        <v/>
      </c>
      <c r="G38" s="33" t="str">
        <f t="shared" si="0"/>
        <v/>
      </c>
      <c r="H38" s="33" t="str">
        <f t="shared" si="1"/>
        <v/>
      </c>
    </row>
    <row r="39" spans="1:8" ht="15.75" customHeight="1" x14ac:dyDescent="0.2">
      <c r="A39" s="92" t="s">
        <v>226</v>
      </c>
      <c r="B39" s="35">
        <v>3</v>
      </c>
      <c r="C39" s="92" t="s">
        <v>201</v>
      </c>
      <c r="D39" s="92" t="s">
        <v>12</v>
      </c>
      <c r="E39" s="28" t="str">
        <f>IFERROR(ROUNDUP('Dados do Forms'!AI1,0),"")</f>
        <v/>
      </c>
      <c r="F39" s="35" t="str">
        <f t="shared" si="2"/>
        <v/>
      </c>
      <c r="G39" s="35" t="str">
        <f t="shared" si="0"/>
        <v/>
      </c>
      <c r="H39" s="35" t="str">
        <f t="shared" si="1"/>
        <v/>
      </c>
    </row>
    <row r="40" spans="1:8" ht="15.75" customHeight="1" x14ac:dyDescent="0.2">
      <c r="A40" t="s">
        <v>227</v>
      </c>
      <c r="B40" s="33">
        <v>1</v>
      </c>
      <c r="C40" t="s">
        <v>202</v>
      </c>
      <c r="D40" t="s">
        <v>12</v>
      </c>
      <c r="E40" s="28" t="str">
        <f>IFERROR(ROUNDUP('Dados do Forms'!AJ1,0),"")</f>
        <v/>
      </c>
      <c r="F40" s="33" t="str">
        <f t="shared" ref="F40:F71" si="3">IF(ISNUMBER(E40), IF(D40="Invertida", 4 - E40, E40), "")</f>
        <v/>
      </c>
      <c r="G40" s="33" t="str">
        <f t="shared" si="0"/>
        <v/>
      </c>
      <c r="H40" s="33" t="str">
        <f t="shared" ref="H40:H71" si="4">IF(G40="Alta",3,IF(G40="Média",2,IF(G40="Baixa",1,"")))</f>
        <v/>
      </c>
    </row>
    <row r="41" spans="1:8" ht="15.75" customHeight="1" x14ac:dyDescent="0.2">
      <c r="A41" t="s">
        <v>227</v>
      </c>
      <c r="B41" s="35">
        <v>2</v>
      </c>
      <c r="C41" t="s">
        <v>203</v>
      </c>
      <c r="D41" t="s">
        <v>12</v>
      </c>
      <c r="E41" s="28" t="str">
        <f>IFERROR(ROUNDUP('Dados do Forms'!AK1,0),"")</f>
        <v/>
      </c>
      <c r="F41" s="35" t="str">
        <f t="shared" si="3"/>
        <v/>
      </c>
      <c r="G41" s="35" t="str">
        <f t="shared" si="0"/>
        <v/>
      </c>
      <c r="H41" s="35" t="str">
        <f t="shared" si="4"/>
        <v/>
      </c>
    </row>
    <row r="42" spans="1:8" ht="15.75" customHeight="1" x14ac:dyDescent="0.2">
      <c r="A42" t="s">
        <v>227</v>
      </c>
      <c r="B42" s="33">
        <v>3</v>
      </c>
      <c r="C42" t="s">
        <v>204</v>
      </c>
      <c r="D42" t="s">
        <v>12</v>
      </c>
      <c r="E42" s="28" t="str">
        <f>IFERROR(ROUNDUP('Dados do Forms'!AL1,0),"")</f>
        <v/>
      </c>
      <c r="F42" s="33" t="str">
        <f t="shared" si="3"/>
        <v/>
      </c>
      <c r="G42" s="33" t="str">
        <f t="shared" si="0"/>
        <v/>
      </c>
      <c r="H42" s="33" t="str">
        <f t="shared" si="4"/>
        <v/>
      </c>
    </row>
    <row r="43" spans="1:8" ht="15.75" customHeight="1" x14ac:dyDescent="0.2">
      <c r="A43" t="s">
        <v>227</v>
      </c>
      <c r="B43" s="35">
        <v>4</v>
      </c>
      <c r="C43" t="s">
        <v>205</v>
      </c>
      <c r="D43" t="s">
        <v>12</v>
      </c>
      <c r="E43" s="28" t="str">
        <f>IFERROR(ROUNDUP('Dados do Forms'!AM1,0),"")</f>
        <v/>
      </c>
      <c r="F43" s="35" t="str">
        <f t="shared" si="3"/>
        <v/>
      </c>
      <c r="G43" s="35" t="str">
        <f t="shared" si="0"/>
        <v/>
      </c>
      <c r="H43" s="35" t="str">
        <f t="shared" si="4"/>
        <v/>
      </c>
    </row>
    <row r="44" spans="1:8" ht="15.75" customHeight="1" x14ac:dyDescent="0.2">
      <c r="A44" s="92" t="s">
        <v>228</v>
      </c>
      <c r="B44" s="33">
        <v>1</v>
      </c>
      <c r="C44" s="92" t="s">
        <v>206</v>
      </c>
      <c r="D44" s="92" t="s">
        <v>12</v>
      </c>
      <c r="E44" s="28" t="str">
        <f>IFERROR(ROUNDUP('Dados do Forms'!AN1,0),"")</f>
        <v/>
      </c>
      <c r="F44" s="33" t="str">
        <f t="shared" si="3"/>
        <v/>
      </c>
      <c r="G44" s="33" t="str">
        <f t="shared" si="0"/>
        <v/>
      </c>
      <c r="H44" s="33" t="str">
        <f t="shared" si="4"/>
        <v/>
      </c>
    </row>
    <row r="45" spans="1:8" ht="15.75" customHeight="1" x14ac:dyDescent="0.2">
      <c r="A45" s="92" t="s">
        <v>228</v>
      </c>
      <c r="B45" s="35">
        <v>2</v>
      </c>
      <c r="C45" s="92" t="s">
        <v>18</v>
      </c>
      <c r="D45" s="92" t="s">
        <v>12</v>
      </c>
      <c r="E45" s="28" t="str">
        <f>IFERROR(ROUNDUP('Dados do Forms'!AO1,0),"")</f>
        <v/>
      </c>
      <c r="F45" s="35" t="str">
        <f t="shared" si="3"/>
        <v/>
      </c>
      <c r="G45" s="35" t="str">
        <f t="shared" si="0"/>
        <v/>
      </c>
      <c r="H45" s="35" t="str">
        <f t="shared" si="4"/>
        <v/>
      </c>
    </row>
    <row r="46" spans="1:8" ht="15.75" customHeight="1" x14ac:dyDescent="0.2">
      <c r="A46" s="92" t="s">
        <v>228</v>
      </c>
      <c r="B46" s="33">
        <v>3</v>
      </c>
      <c r="C46" s="92" t="s">
        <v>207</v>
      </c>
      <c r="D46" s="92" t="s">
        <v>12</v>
      </c>
      <c r="E46" s="28" t="str">
        <f>IFERROR(ROUNDUP('Dados do Forms'!AP1,0),"")</f>
        <v/>
      </c>
      <c r="F46" s="33" t="str">
        <f t="shared" si="3"/>
        <v/>
      </c>
      <c r="G46" s="33" t="str">
        <f t="shared" si="0"/>
        <v/>
      </c>
      <c r="H46" s="33" t="str">
        <f t="shared" si="4"/>
        <v/>
      </c>
    </row>
    <row r="47" spans="1:8" ht="15.75" customHeight="1" x14ac:dyDescent="0.2">
      <c r="A47" s="92" t="s">
        <v>228</v>
      </c>
      <c r="B47" s="35">
        <v>4</v>
      </c>
      <c r="C47" s="92" t="s">
        <v>208</v>
      </c>
      <c r="D47" s="92" t="s">
        <v>14</v>
      </c>
      <c r="E47" s="28" t="str">
        <f>IFERROR(ROUNDUP('Dados do Forms'!AQ1,0),"")</f>
        <v/>
      </c>
      <c r="F47" s="35" t="str">
        <f t="shared" si="3"/>
        <v/>
      </c>
      <c r="G47" s="35" t="str">
        <f t="shared" si="0"/>
        <v/>
      </c>
      <c r="H47" s="35" t="str">
        <f t="shared" si="4"/>
        <v/>
      </c>
    </row>
    <row r="48" spans="1:8" ht="15.75" customHeight="1" x14ac:dyDescent="0.2">
      <c r="A48" t="s">
        <v>229</v>
      </c>
      <c r="B48" s="33">
        <v>1</v>
      </c>
      <c r="C48" t="s">
        <v>209</v>
      </c>
      <c r="D48" t="s">
        <v>12</v>
      </c>
      <c r="E48" s="28" t="str">
        <f>IFERROR(ROUNDUP('Dados do Forms'!AR1,0),"")</f>
        <v/>
      </c>
      <c r="F48" s="33" t="str">
        <f t="shared" si="3"/>
        <v/>
      </c>
      <c r="G48" s="33" t="str">
        <f t="shared" si="0"/>
        <v/>
      </c>
      <c r="H48" s="33" t="str">
        <f t="shared" si="4"/>
        <v/>
      </c>
    </row>
    <row r="49" spans="1:8" ht="15.75" customHeight="1" x14ac:dyDescent="0.2">
      <c r="A49" t="s">
        <v>229</v>
      </c>
      <c r="B49" s="35">
        <v>2</v>
      </c>
      <c r="C49" t="s">
        <v>210</v>
      </c>
      <c r="D49" t="s">
        <v>12</v>
      </c>
      <c r="E49" s="28" t="str">
        <f>IFERROR(ROUNDUP('Dados do Forms'!AS1,0),"")</f>
        <v/>
      </c>
      <c r="F49" s="35" t="str">
        <f t="shared" si="3"/>
        <v/>
      </c>
      <c r="G49" s="35" t="str">
        <f t="shared" si="0"/>
        <v/>
      </c>
      <c r="H49" s="35" t="str">
        <f t="shared" si="4"/>
        <v/>
      </c>
    </row>
    <row r="50" spans="1:8" ht="15.75" customHeight="1" x14ac:dyDescent="0.2">
      <c r="A50" t="s">
        <v>229</v>
      </c>
      <c r="B50" s="33">
        <v>3</v>
      </c>
      <c r="C50" t="s">
        <v>211</v>
      </c>
      <c r="D50" t="s">
        <v>14</v>
      </c>
      <c r="E50" s="28" t="str">
        <f>IFERROR(ROUNDUP('Dados do Forms'!AT1,0),"")</f>
        <v/>
      </c>
      <c r="F50" s="33" t="str">
        <f t="shared" si="3"/>
        <v/>
      </c>
      <c r="G50" s="33" t="str">
        <f t="shared" si="0"/>
        <v/>
      </c>
      <c r="H50" s="33" t="str">
        <f t="shared" si="4"/>
        <v/>
      </c>
    </row>
    <row r="51" spans="1:8" ht="15.75" customHeight="1" x14ac:dyDescent="0.2">
      <c r="A51" s="92" t="s">
        <v>230</v>
      </c>
      <c r="B51" s="35">
        <v>4</v>
      </c>
      <c r="C51" s="92" t="s">
        <v>212</v>
      </c>
      <c r="D51" s="92" t="s">
        <v>12</v>
      </c>
      <c r="E51" s="28" t="str">
        <f>IFERROR(ROUNDUP('Dados do Forms'!AU1,0),"")</f>
        <v/>
      </c>
      <c r="F51" s="35" t="str">
        <f t="shared" si="3"/>
        <v/>
      </c>
      <c r="G51" s="35" t="str">
        <f t="shared" si="0"/>
        <v/>
      </c>
      <c r="H51" s="35" t="str">
        <f t="shared" si="4"/>
        <v/>
      </c>
    </row>
    <row r="52" spans="1:8" ht="15.75" customHeight="1" x14ac:dyDescent="0.2">
      <c r="A52" s="92" t="s">
        <v>230</v>
      </c>
      <c r="B52" s="33">
        <v>5</v>
      </c>
      <c r="C52" s="92" t="s">
        <v>213</v>
      </c>
      <c r="D52" s="92" t="s">
        <v>12</v>
      </c>
      <c r="E52" s="28" t="str">
        <f>IFERROR(ROUNDUP('Dados do Forms'!AV1,0),"")</f>
        <v/>
      </c>
      <c r="F52" s="33" t="str">
        <f t="shared" si="3"/>
        <v/>
      </c>
      <c r="G52" s="33" t="str">
        <f t="shared" si="0"/>
        <v/>
      </c>
      <c r="H52" s="33" t="str">
        <f t="shared" si="4"/>
        <v/>
      </c>
    </row>
    <row r="53" spans="1:8" ht="15.75" customHeight="1" x14ac:dyDescent="0.2">
      <c r="A53" s="92" t="s">
        <v>230</v>
      </c>
      <c r="B53" s="35">
        <v>6</v>
      </c>
      <c r="C53" s="92" t="s">
        <v>214</v>
      </c>
      <c r="D53" s="92" t="s">
        <v>12</v>
      </c>
      <c r="E53" s="28" t="str">
        <f>IFERROR(ROUNDUP('Dados do Forms'!AW1,0),"")</f>
        <v/>
      </c>
      <c r="F53" s="35" t="str">
        <f t="shared" si="3"/>
        <v/>
      </c>
      <c r="G53" s="35" t="str">
        <f t="shared" si="0"/>
        <v/>
      </c>
      <c r="H53" s="35" t="str">
        <f t="shared" si="4"/>
        <v/>
      </c>
    </row>
    <row r="54" spans="1:8" ht="15.75" customHeight="1" x14ac:dyDescent="0.2">
      <c r="A54" s="92" t="s">
        <v>230</v>
      </c>
      <c r="B54" s="33">
        <v>7</v>
      </c>
      <c r="C54" s="92" t="s">
        <v>215</v>
      </c>
      <c r="D54" s="92" t="s">
        <v>14</v>
      </c>
      <c r="E54" s="28" t="str">
        <f>IFERROR(ROUNDUP('Dados do Forms'!AX1,0),"")</f>
        <v/>
      </c>
      <c r="F54" s="33" t="str">
        <f t="shared" si="3"/>
        <v/>
      </c>
      <c r="G54" s="33" t="str">
        <f t="shared" si="0"/>
        <v/>
      </c>
      <c r="H54" s="33" t="str">
        <f t="shared" si="4"/>
        <v/>
      </c>
    </row>
    <row r="55" spans="1:8" ht="15.75" customHeight="1" x14ac:dyDescent="0.2">
      <c r="A55" t="s">
        <v>231</v>
      </c>
      <c r="B55" s="35">
        <v>1</v>
      </c>
      <c r="C55" t="s">
        <v>216</v>
      </c>
      <c r="D55" t="s">
        <v>12</v>
      </c>
      <c r="E55" s="28" t="str">
        <f>IFERROR(ROUNDUP('Dados do Forms'!AY1,0),"")</f>
        <v/>
      </c>
      <c r="F55" s="35" t="str">
        <f t="shared" si="3"/>
        <v/>
      </c>
      <c r="G55" s="35" t="str">
        <f t="shared" si="0"/>
        <v/>
      </c>
      <c r="H55" s="35" t="str">
        <f t="shared" si="4"/>
        <v/>
      </c>
    </row>
    <row r="56" spans="1:8" ht="15.75" customHeight="1" x14ac:dyDescent="0.2">
      <c r="A56" t="s">
        <v>231</v>
      </c>
      <c r="B56" s="33">
        <v>2</v>
      </c>
      <c r="C56" t="s">
        <v>217</v>
      </c>
      <c r="D56" t="s">
        <v>12</v>
      </c>
      <c r="E56" s="28" t="str">
        <f>IFERROR(ROUNDUP('Dados do Forms'!AZ1,0),"")</f>
        <v/>
      </c>
      <c r="F56" s="33" t="str">
        <f t="shared" si="3"/>
        <v/>
      </c>
      <c r="G56" s="33" t="str">
        <f t="shared" si="0"/>
        <v/>
      </c>
      <c r="H56" s="33" t="str">
        <f t="shared" si="4"/>
        <v/>
      </c>
    </row>
    <row r="57" spans="1:8" ht="15.75" customHeight="1" x14ac:dyDescent="0.2">
      <c r="A57" t="s">
        <v>231</v>
      </c>
      <c r="B57" s="35">
        <v>3</v>
      </c>
      <c r="C57" t="s">
        <v>218</v>
      </c>
      <c r="D57" t="s">
        <v>14</v>
      </c>
      <c r="E57" s="28" t="str">
        <f>IFERROR(ROUNDUP('Dados do Forms'!BA1,0),"")</f>
        <v/>
      </c>
      <c r="F57" s="35" t="str">
        <f t="shared" si="3"/>
        <v/>
      </c>
      <c r="G57" s="35" t="str">
        <f t="shared" si="0"/>
        <v/>
      </c>
      <c r="H57" s="35" t="str">
        <f t="shared" si="4"/>
        <v/>
      </c>
    </row>
    <row r="58" spans="1:8" ht="15.75" customHeight="1" x14ac:dyDescent="0.2">
      <c r="A58" s="32"/>
      <c r="B58" s="33"/>
      <c r="C58" s="34"/>
      <c r="D58" s="33"/>
      <c r="E58" s="28" t="str">
        <f>IFERROR(ROUNDUP('Dados do Forms'!BB1,0),"")</f>
        <v/>
      </c>
      <c r="F58" s="33" t="str">
        <f t="shared" si="3"/>
        <v/>
      </c>
      <c r="G58" s="33" t="str">
        <f t="shared" si="0"/>
        <v/>
      </c>
      <c r="H58" s="33" t="str">
        <f t="shared" si="4"/>
        <v/>
      </c>
    </row>
    <row r="59" spans="1:8" ht="15.75" customHeight="1" x14ac:dyDescent="0.2">
      <c r="A59" s="36"/>
      <c r="B59" s="35"/>
      <c r="C59" s="37"/>
      <c r="D59" s="35"/>
      <c r="E59" s="28" t="str">
        <f>IFERROR(ROUNDUP('Dados do Forms'!BC1,0),"")</f>
        <v/>
      </c>
      <c r="F59" s="35" t="str">
        <f t="shared" si="3"/>
        <v/>
      </c>
      <c r="G59" s="35" t="str">
        <f t="shared" si="0"/>
        <v/>
      </c>
      <c r="H59" s="35" t="str">
        <f t="shared" si="4"/>
        <v/>
      </c>
    </row>
    <row r="60" spans="1:8" ht="15.75" customHeight="1" x14ac:dyDescent="0.2">
      <c r="A60" s="32"/>
      <c r="B60" s="33"/>
      <c r="C60" s="34"/>
      <c r="D60" s="33"/>
      <c r="E60" s="28" t="str">
        <f>IFERROR(ROUNDUP('Dados do Forms'!BD1,0),"")</f>
        <v/>
      </c>
      <c r="F60" s="33" t="str">
        <f t="shared" si="3"/>
        <v/>
      </c>
      <c r="G60" s="33" t="str">
        <f t="shared" si="0"/>
        <v/>
      </c>
      <c r="H60" s="33" t="str">
        <f t="shared" si="4"/>
        <v/>
      </c>
    </row>
    <row r="61" spans="1:8" ht="15.75" customHeight="1" x14ac:dyDescent="0.2">
      <c r="A61" s="36"/>
      <c r="B61" s="35"/>
      <c r="C61" s="37"/>
      <c r="D61" s="35"/>
      <c r="E61" s="28" t="str">
        <f>IFERROR(ROUNDUP('Dados do Forms'!BE1,0),"")</f>
        <v/>
      </c>
      <c r="F61" s="35" t="str">
        <f t="shared" si="3"/>
        <v/>
      </c>
      <c r="G61" s="35" t="str">
        <f t="shared" si="0"/>
        <v/>
      </c>
      <c r="H61" s="35" t="str">
        <f t="shared" si="4"/>
        <v/>
      </c>
    </row>
    <row r="62" spans="1:8" ht="15.75" customHeight="1" x14ac:dyDescent="0.2">
      <c r="A62" s="32"/>
      <c r="B62" s="33"/>
      <c r="C62" s="34"/>
      <c r="D62" s="33"/>
      <c r="E62" s="28" t="str">
        <f>IFERROR(ROUNDUP('Dados do Forms'!BF1,0),"")</f>
        <v/>
      </c>
      <c r="F62" s="33" t="str">
        <f t="shared" si="3"/>
        <v/>
      </c>
      <c r="G62" s="33" t="str">
        <f t="shared" si="0"/>
        <v/>
      </c>
      <c r="H62" s="33" t="str">
        <f t="shared" si="4"/>
        <v/>
      </c>
    </row>
    <row r="63" spans="1:8" ht="15.75" customHeight="1" x14ac:dyDescent="0.2">
      <c r="A63" s="36"/>
      <c r="B63" s="35"/>
      <c r="C63" s="37"/>
      <c r="D63" s="35"/>
      <c r="E63" s="28" t="str">
        <f>IFERROR(ROUNDUP('Dados do Forms'!BG1,0),"")</f>
        <v/>
      </c>
      <c r="F63" s="35" t="str">
        <f t="shared" si="3"/>
        <v/>
      </c>
      <c r="G63" s="35" t="str">
        <f t="shared" si="0"/>
        <v/>
      </c>
      <c r="H63" s="35" t="str">
        <f t="shared" si="4"/>
        <v/>
      </c>
    </row>
    <row r="64" spans="1:8" ht="15.75" customHeight="1" x14ac:dyDescent="0.2">
      <c r="A64" s="32"/>
      <c r="B64" s="33"/>
      <c r="C64" s="34"/>
      <c r="D64" s="33"/>
      <c r="E64" s="28" t="str">
        <f>IFERROR(ROUNDUP('Dados do Forms'!BH1,0),"")</f>
        <v/>
      </c>
      <c r="F64" s="33" t="str">
        <f t="shared" si="3"/>
        <v/>
      </c>
      <c r="G64" s="33" t="str">
        <f t="shared" si="0"/>
        <v/>
      </c>
      <c r="H64" s="33" t="str">
        <f t="shared" si="4"/>
        <v/>
      </c>
    </row>
    <row r="65" spans="1:8" ht="15.75" customHeight="1" x14ac:dyDescent="0.2">
      <c r="A65" s="36"/>
      <c r="B65" s="35"/>
      <c r="C65" s="37"/>
      <c r="D65" s="35"/>
      <c r="E65" s="28" t="str">
        <f>IFERROR(ROUNDUP('Dados do Forms'!BI1,0),"")</f>
        <v/>
      </c>
      <c r="F65" s="35" t="str">
        <f t="shared" si="3"/>
        <v/>
      </c>
      <c r="G65" s="35" t="str">
        <f t="shared" si="0"/>
        <v/>
      </c>
      <c r="H65" s="35" t="str">
        <f t="shared" si="4"/>
        <v/>
      </c>
    </row>
    <row r="66" spans="1:8" ht="15.75" customHeight="1" x14ac:dyDescent="0.2">
      <c r="A66" s="32"/>
      <c r="B66" s="33"/>
      <c r="C66" s="34"/>
      <c r="D66" s="33"/>
      <c r="E66" s="28" t="str">
        <f>IFERROR(ROUNDUP('Dados do Forms'!BJ1,0),"")</f>
        <v/>
      </c>
      <c r="F66" s="33" t="str">
        <f t="shared" si="3"/>
        <v/>
      </c>
      <c r="G66" s="33" t="str">
        <f t="shared" si="0"/>
        <v/>
      </c>
      <c r="H66" s="33" t="str">
        <f t="shared" si="4"/>
        <v/>
      </c>
    </row>
    <row r="67" spans="1:8" ht="15.75" customHeight="1" x14ac:dyDescent="0.2">
      <c r="A67" s="36"/>
      <c r="B67" s="35"/>
      <c r="C67" s="37"/>
      <c r="D67" s="35"/>
      <c r="E67" s="28" t="str">
        <f>IFERROR(ROUNDUP('Dados do Forms'!BK1,0),"")</f>
        <v/>
      </c>
      <c r="F67" s="35" t="str">
        <f t="shared" si="3"/>
        <v/>
      </c>
      <c r="G67" s="35" t="str">
        <f t="shared" si="0"/>
        <v/>
      </c>
      <c r="H67" s="35" t="str">
        <f t="shared" si="4"/>
        <v/>
      </c>
    </row>
    <row r="68" spans="1:8" ht="15.75" customHeight="1" x14ac:dyDescent="0.2">
      <c r="A68" s="32"/>
      <c r="B68" s="33"/>
      <c r="C68" s="34"/>
      <c r="D68" s="33"/>
      <c r="E68" s="28" t="str">
        <f>IFERROR(ROUNDUP('Dados do Forms'!BL1,0),"")</f>
        <v/>
      </c>
      <c r="F68" s="33" t="str">
        <f t="shared" si="3"/>
        <v/>
      </c>
      <c r="G68" s="33" t="str">
        <f t="shared" si="0"/>
        <v/>
      </c>
      <c r="H68" s="33" t="str">
        <f t="shared" si="4"/>
        <v/>
      </c>
    </row>
    <row r="69" spans="1:8" ht="15.75" customHeight="1" x14ac:dyDescent="0.2">
      <c r="A69" s="36"/>
      <c r="B69" s="35"/>
      <c r="C69" s="37"/>
      <c r="D69" s="35"/>
      <c r="E69" s="28" t="str">
        <f>IFERROR(ROUNDUP('Dados do Forms'!BM1,0),"")</f>
        <v/>
      </c>
      <c r="F69" s="35" t="str">
        <f t="shared" si="3"/>
        <v/>
      </c>
      <c r="G69" s="35" t="str">
        <f t="shared" si="0"/>
        <v/>
      </c>
      <c r="H69" s="35" t="str">
        <f t="shared" si="4"/>
        <v/>
      </c>
    </row>
    <row r="70" spans="1:8" ht="15.75" customHeight="1" x14ac:dyDescent="0.2">
      <c r="A70" s="32"/>
      <c r="B70" s="33"/>
      <c r="C70" s="34"/>
      <c r="D70" s="33"/>
      <c r="E70" s="28" t="str">
        <f>IFERROR(ROUNDUP('Dados do Forms'!BN1,0),"")</f>
        <v/>
      </c>
      <c r="F70" s="33" t="str">
        <f t="shared" si="3"/>
        <v/>
      </c>
      <c r="G70" s="33" t="str">
        <f t="shared" si="0"/>
        <v/>
      </c>
      <c r="H70" s="33" t="str">
        <f t="shared" si="4"/>
        <v/>
      </c>
    </row>
    <row r="71" spans="1:8" ht="15.75" customHeight="1" x14ac:dyDescent="0.2">
      <c r="A71" s="36"/>
      <c r="B71" s="35"/>
      <c r="C71" s="37"/>
      <c r="D71" s="35"/>
      <c r="E71" s="28" t="str">
        <f>IFERROR(ROUNDUP('Dados do Forms'!BO1,0),"")</f>
        <v/>
      </c>
      <c r="F71" s="35" t="str">
        <f t="shared" si="3"/>
        <v/>
      </c>
      <c r="G71" s="35" t="str">
        <f t="shared" si="0"/>
        <v/>
      </c>
      <c r="H71" s="35" t="str">
        <f t="shared" si="4"/>
        <v/>
      </c>
    </row>
    <row r="72" spans="1:8" ht="15.75" customHeight="1" x14ac:dyDescent="0.2">
      <c r="A72" s="32"/>
      <c r="B72" s="33"/>
      <c r="C72" s="34"/>
      <c r="D72" s="33"/>
      <c r="E72" s="28" t="str">
        <f>IFERROR(ROUNDUP('Dados do Forms'!BP1,0),"")</f>
        <v/>
      </c>
      <c r="F72" s="33" t="str">
        <f t="shared" ref="F72:F96" si="5">IF(ISNUMBER(E72), IF(D72="Invertida", 4 - E72, E72), "")</f>
        <v/>
      </c>
      <c r="G72" s="33" t="str">
        <f t="shared" si="0"/>
        <v/>
      </c>
      <c r="H72" s="33" t="str">
        <f t="shared" ref="H72:H97" si="6">IF(G72="Alta",3,IF(G72="Média",2,IF(G72="Baixa",1,"")))</f>
        <v/>
      </c>
    </row>
    <row r="73" spans="1:8" ht="15.75" customHeight="1" x14ac:dyDescent="0.2">
      <c r="A73" s="36"/>
      <c r="B73" s="35"/>
      <c r="C73" s="37"/>
      <c r="D73" s="35"/>
      <c r="E73" s="28" t="str">
        <f>IFERROR(ROUNDUP('Dados do Forms'!BQ1,0),"")</f>
        <v/>
      </c>
      <c r="F73" s="35" t="str">
        <f t="shared" si="5"/>
        <v/>
      </c>
      <c r="G73" s="35" t="str">
        <f t="shared" si="0"/>
        <v/>
      </c>
      <c r="H73" s="35" t="str">
        <f t="shared" si="6"/>
        <v/>
      </c>
    </row>
    <row r="74" spans="1:8" ht="15.75" customHeight="1" x14ac:dyDescent="0.2">
      <c r="A74" s="32"/>
      <c r="B74" s="33"/>
      <c r="C74" s="34"/>
      <c r="D74" s="33"/>
      <c r="E74" s="28" t="str">
        <f>IFERROR(ROUNDUP('Dados do Forms'!BR1,0),"")</f>
        <v/>
      </c>
      <c r="F74" s="33" t="str">
        <f t="shared" si="5"/>
        <v/>
      </c>
      <c r="G74" s="33" t="str">
        <f t="shared" si="0"/>
        <v/>
      </c>
      <c r="H74" s="33" t="str">
        <f t="shared" si="6"/>
        <v/>
      </c>
    </row>
    <row r="75" spans="1:8" ht="15.75" customHeight="1" x14ac:dyDescent="0.2">
      <c r="A75" s="36"/>
      <c r="B75" s="35"/>
      <c r="C75" s="37"/>
      <c r="D75" s="35"/>
      <c r="E75" s="28" t="str">
        <f>IFERROR(ROUNDUP('Dados do Forms'!BS1,0),"")</f>
        <v/>
      </c>
      <c r="F75" s="35" t="str">
        <f t="shared" si="5"/>
        <v/>
      </c>
      <c r="G75" s="35" t="str">
        <f t="shared" si="0"/>
        <v/>
      </c>
      <c r="H75" s="35" t="str">
        <f t="shared" si="6"/>
        <v/>
      </c>
    </row>
    <row r="76" spans="1:8" ht="15.75" customHeight="1" x14ac:dyDescent="0.2">
      <c r="A76" s="32"/>
      <c r="B76" s="33"/>
      <c r="C76" s="34"/>
      <c r="D76" s="33"/>
      <c r="E76" s="28" t="str">
        <f>IFERROR(ROUNDUP('Dados do Forms'!BT1,0),"")</f>
        <v/>
      </c>
      <c r="F76" s="33" t="str">
        <f t="shared" si="5"/>
        <v/>
      </c>
      <c r="G76" s="33" t="str">
        <f t="shared" si="0"/>
        <v/>
      </c>
      <c r="H76" s="33" t="str">
        <f t="shared" si="6"/>
        <v/>
      </c>
    </row>
    <row r="77" spans="1:8" ht="15.75" customHeight="1" x14ac:dyDescent="0.2">
      <c r="A77" s="36"/>
      <c r="B77" s="35"/>
      <c r="C77" s="37"/>
      <c r="D77" s="35"/>
      <c r="E77" s="28" t="str">
        <f>IFERROR(ROUNDUP('Dados do Forms'!BU1,0),"")</f>
        <v/>
      </c>
      <c r="F77" s="35" t="str">
        <f t="shared" si="5"/>
        <v/>
      </c>
      <c r="G77" s="35" t="str">
        <f t="shared" si="0"/>
        <v/>
      </c>
      <c r="H77" s="35" t="str">
        <f t="shared" si="6"/>
        <v/>
      </c>
    </row>
    <row r="78" spans="1:8" ht="15.75" customHeight="1" x14ac:dyDescent="0.2">
      <c r="A78" s="32"/>
      <c r="B78" s="33"/>
      <c r="C78" s="34"/>
      <c r="D78" s="33"/>
      <c r="E78" s="28" t="str">
        <f>IFERROR(ROUNDUP('Dados do Forms'!BV1,0),"")</f>
        <v/>
      </c>
      <c r="F78" s="33" t="str">
        <f t="shared" si="5"/>
        <v/>
      </c>
      <c r="G78" s="33" t="str">
        <f t="shared" si="0"/>
        <v/>
      </c>
      <c r="H78" s="33" t="str">
        <f t="shared" si="6"/>
        <v/>
      </c>
    </row>
    <row r="79" spans="1:8" ht="15.75" customHeight="1" x14ac:dyDescent="0.2">
      <c r="A79" s="36"/>
      <c r="B79" s="35"/>
      <c r="C79" s="37"/>
      <c r="D79" s="35"/>
      <c r="E79" s="28" t="str">
        <f>IFERROR(ROUNDUP('Dados do Forms'!BW1,0),"")</f>
        <v/>
      </c>
      <c r="F79" s="35" t="str">
        <f t="shared" si="5"/>
        <v/>
      </c>
      <c r="G79" s="35" t="str">
        <f t="shared" si="0"/>
        <v/>
      </c>
      <c r="H79" s="35" t="str">
        <f t="shared" si="6"/>
        <v/>
      </c>
    </row>
    <row r="80" spans="1:8" ht="15.75" customHeight="1" x14ac:dyDescent="0.2">
      <c r="A80" s="32"/>
      <c r="B80" s="33"/>
      <c r="C80" s="34"/>
      <c r="D80" s="33"/>
      <c r="E80" s="28" t="str">
        <f>IFERROR(ROUNDUP('Dados do Forms'!BX1,0),"")</f>
        <v/>
      </c>
      <c r="F80" s="33" t="str">
        <f t="shared" si="5"/>
        <v/>
      </c>
      <c r="G80" s="33" t="str">
        <f t="shared" si="0"/>
        <v/>
      </c>
      <c r="H80" s="33" t="str">
        <f t="shared" si="6"/>
        <v/>
      </c>
    </row>
    <row r="81" spans="1:8" ht="15.75" customHeight="1" x14ac:dyDescent="0.2">
      <c r="A81" s="36"/>
      <c r="B81" s="35"/>
      <c r="C81" s="37"/>
      <c r="D81" s="35"/>
      <c r="E81" s="28" t="str">
        <f>IFERROR(ROUNDUP('Dados do Forms'!BY1,0),"")</f>
        <v/>
      </c>
      <c r="F81" s="35" t="str">
        <f t="shared" si="5"/>
        <v/>
      </c>
      <c r="G81" s="35" t="str">
        <f t="shared" si="0"/>
        <v/>
      </c>
      <c r="H81" s="35" t="str">
        <f t="shared" si="6"/>
        <v/>
      </c>
    </row>
    <row r="82" spans="1:8" ht="15.75" customHeight="1" x14ac:dyDescent="0.2">
      <c r="A82" s="32"/>
      <c r="B82" s="33"/>
      <c r="C82" s="34"/>
      <c r="D82" s="33"/>
      <c r="E82" s="28" t="str">
        <f>IFERROR(ROUNDUP('Dados do Forms'!BZ1,0),"")</f>
        <v/>
      </c>
      <c r="F82" s="33" t="str">
        <f t="shared" si="5"/>
        <v/>
      </c>
      <c r="G82" s="33" t="str">
        <f t="shared" si="0"/>
        <v/>
      </c>
      <c r="H82" s="33" t="str">
        <f t="shared" si="6"/>
        <v/>
      </c>
    </row>
    <row r="83" spans="1:8" ht="15.75" customHeight="1" x14ac:dyDescent="0.2">
      <c r="A83" s="36"/>
      <c r="B83" s="35"/>
      <c r="C83" s="37"/>
      <c r="D83" s="35"/>
      <c r="E83" s="28" t="str">
        <f>IFERROR(ROUNDUP('Dados do Forms'!CA1,0),"")</f>
        <v/>
      </c>
      <c r="F83" s="35" t="str">
        <f t="shared" si="5"/>
        <v/>
      </c>
      <c r="G83" s="35" t="str">
        <f t="shared" si="0"/>
        <v/>
      </c>
      <c r="H83" s="35" t="str">
        <f t="shared" si="6"/>
        <v/>
      </c>
    </row>
    <row r="84" spans="1:8" ht="15.75" customHeight="1" x14ac:dyDescent="0.2">
      <c r="A84" s="32"/>
      <c r="B84" s="33"/>
      <c r="C84" s="34"/>
      <c r="D84" s="33"/>
      <c r="E84" s="28" t="str">
        <f>IFERROR(ROUNDUP('Dados do Forms'!CB1,0),"")</f>
        <v/>
      </c>
      <c r="F84" s="33" t="str">
        <f t="shared" si="5"/>
        <v/>
      </c>
      <c r="G84" s="33" t="str">
        <f t="shared" si="0"/>
        <v/>
      </c>
      <c r="H84" s="33" t="str">
        <f t="shared" si="6"/>
        <v/>
      </c>
    </row>
    <row r="85" spans="1:8" ht="15.75" customHeight="1" x14ac:dyDescent="0.2">
      <c r="A85" s="36"/>
      <c r="B85" s="35"/>
      <c r="C85" s="37"/>
      <c r="D85" s="35"/>
      <c r="E85" s="28" t="str">
        <f>IFERROR(ROUNDUP('Dados do Forms'!CC1,0),"")</f>
        <v/>
      </c>
      <c r="F85" s="35" t="str">
        <f t="shared" si="5"/>
        <v/>
      </c>
      <c r="G85" s="35" t="str">
        <f t="shared" si="0"/>
        <v/>
      </c>
      <c r="H85" s="35" t="str">
        <f t="shared" si="6"/>
        <v/>
      </c>
    </row>
    <row r="86" spans="1:8" ht="15.75" customHeight="1" x14ac:dyDescent="0.2">
      <c r="A86" s="32"/>
      <c r="B86" s="33"/>
      <c r="C86" s="34"/>
      <c r="D86" s="33"/>
      <c r="E86" s="28" t="str">
        <f>IFERROR(ROUNDUP('Dados do Forms'!CD1,0),"")</f>
        <v/>
      </c>
      <c r="F86" s="33" t="str">
        <f t="shared" si="5"/>
        <v/>
      </c>
      <c r="G86" s="33" t="str">
        <f t="shared" si="0"/>
        <v/>
      </c>
      <c r="H86" s="33" t="str">
        <f t="shared" si="6"/>
        <v/>
      </c>
    </row>
    <row r="87" spans="1:8" ht="15.75" customHeight="1" x14ac:dyDescent="0.2">
      <c r="A87" s="36"/>
      <c r="B87" s="35"/>
      <c r="C87" s="37"/>
      <c r="D87" s="35"/>
      <c r="E87" s="28" t="str">
        <f>IFERROR(ROUNDUP('Dados do Forms'!CE1,0),"")</f>
        <v/>
      </c>
      <c r="F87" s="35" t="str">
        <f t="shared" si="5"/>
        <v/>
      </c>
      <c r="G87" s="35" t="str">
        <f t="shared" si="0"/>
        <v/>
      </c>
      <c r="H87" s="35" t="str">
        <f t="shared" si="6"/>
        <v/>
      </c>
    </row>
    <row r="88" spans="1:8" ht="15.75" customHeight="1" x14ac:dyDescent="0.2">
      <c r="A88" s="32"/>
      <c r="B88" s="33"/>
      <c r="C88" s="34"/>
      <c r="D88" s="33"/>
      <c r="E88" s="28" t="str">
        <f>IFERROR(ROUNDUP('Dados do Forms'!CF1,0),"")</f>
        <v/>
      </c>
      <c r="F88" s="33" t="str">
        <f t="shared" si="5"/>
        <v/>
      </c>
      <c r="G88" s="33" t="str">
        <f t="shared" si="0"/>
        <v/>
      </c>
      <c r="H88" s="33" t="str">
        <f t="shared" si="6"/>
        <v/>
      </c>
    </row>
    <row r="89" spans="1:8" ht="15.75" customHeight="1" x14ac:dyDescent="0.2">
      <c r="A89" s="36"/>
      <c r="B89" s="35"/>
      <c r="C89" s="37"/>
      <c r="D89" s="35"/>
      <c r="E89" s="28" t="str">
        <f>IFERROR(ROUNDUP('Dados do Forms'!CG1,0),"")</f>
        <v/>
      </c>
      <c r="F89" s="35" t="str">
        <f t="shared" si="5"/>
        <v/>
      </c>
      <c r="G89" s="35" t="str">
        <f t="shared" si="0"/>
        <v/>
      </c>
      <c r="H89" s="35" t="str">
        <f t="shared" si="6"/>
        <v/>
      </c>
    </row>
    <row r="90" spans="1:8" ht="15.75" customHeight="1" x14ac:dyDescent="0.2">
      <c r="A90" s="32"/>
      <c r="B90" s="33"/>
      <c r="C90" s="34"/>
      <c r="D90" s="33"/>
      <c r="E90" s="28" t="str">
        <f>IFERROR(ROUNDUP('Dados do Forms'!CH1,0),"")</f>
        <v/>
      </c>
      <c r="F90" s="33" t="str">
        <f t="shared" si="5"/>
        <v/>
      </c>
      <c r="G90" s="33" t="str">
        <f t="shared" si="0"/>
        <v/>
      </c>
      <c r="H90" s="33" t="str">
        <f t="shared" si="6"/>
        <v/>
      </c>
    </row>
    <row r="91" spans="1:8" ht="15.75" customHeight="1" x14ac:dyDescent="0.2">
      <c r="A91" s="36"/>
      <c r="B91" s="35"/>
      <c r="C91" s="37"/>
      <c r="D91" s="35"/>
      <c r="E91" s="28" t="str">
        <f>IFERROR(ROUNDUP('Dados do Forms'!CI1,0),"")</f>
        <v/>
      </c>
      <c r="F91" s="35" t="str">
        <f t="shared" si="5"/>
        <v/>
      </c>
      <c r="G91" s="35" t="str">
        <f t="shared" si="0"/>
        <v/>
      </c>
      <c r="H91" s="35" t="str">
        <f t="shared" si="6"/>
        <v/>
      </c>
    </row>
    <row r="92" spans="1:8" ht="15.75" customHeight="1" x14ac:dyDescent="0.2">
      <c r="A92" s="32"/>
      <c r="B92" s="33"/>
      <c r="C92" s="34"/>
      <c r="D92" s="33"/>
      <c r="E92" s="28" t="str">
        <f>IFERROR(ROUNDUP('Dados do Forms'!CJ1,0),"")</f>
        <v/>
      </c>
      <c r="F92" s="33" t="str">
        <f t="shared" si="5"/>
        <v/>
      </c>
      <c r="G92" s="33" t="str">
        <f t="shared" si="0"/>
        <v/>
      </c>
      <c r="H92" s="33" t="str">
        <f t="shared" si="6"/>
        <v/>
      </c>
    </row>
    <row r="93" spans="1:8" ht="15.75" customHeight="1" x14ac:dyDescent="0.2">
      <c r="A93" s="36"/>
      <c r="B93" s="35"/>
      <c r="C93" s="37"/>
      <c r="D93" s="35"/>
      <c r="E93" s="28" t="str">
        <f>IFERROR(ROUNDUP('Dados do Forms'!CK1,0),"")</f>
        <v/>
      </c>
      <c r="F93" s="35" t="str">
        <f t="shared" si="5"/>
        <v/>
      </c>
      <c r="G93" s="35" t="str">
        <f t="shared" si="0"/>
        <v/>
      </c>
      <c r="H93" s="35" t="str">
        <f t="shared" si="6"/>
        <v/>
      </c>
    </row>
    <row r="94" spans="1:8" ht="15.75" customHeight="1" x14ac:dyDescent="0.2">
      <c r="A94" s="32"/>
      <c r="B94" s="33"/>
      <c r="C94" s="34"/>
      <c r="D94" s="33"/>
      <c r="E94" s="28" t="str">
        <f>IFERROR(ROUNDUP('Dados do Forms'!CL1,0),"")</f>
        <v/>
      </c>
      <c r="F94" s="33" t="str">
        <f t="shared" si="5"/>
        <v/>
      </c>
      <c r="G94" s="33" t="str">
        <f t="shared" si="0"/>
        <v/>
      </c>
      <c r="H94" s="33" t="str">
        <f t="shared" si="6"/>
        <v/>
      </c>
    </row>
    <row r="95" spans="1:8" ht="15.75" customHeight="1" x14ac:dyDescent="0.2">
      <c r="A95" s="36"/>
      <c r="B95" s="35"/>
      <c r="C95" s="37"/>
      <c r="D95" s="35"/>
      <c r="E95" s="28" t="str">
        <f>IFERROR(ROUNDUP('Dados do Forms'!CM1,0),"")</f>
        <v/>
      </c>
      <c r="F95" s="35" t="str">
        <f t="shared" si="5"/>
        <v/>
      </c>
      <c r="G95" s="35" t="str">
        <f t="shared" si="0"/>
        <v/>
      </c>
      <c r="H95" s="35" t="str">
        <f t="shared" si="6"/>
        <v/>
      </c>
    </row>
    <row r="96" spans="1:8" ht="15.75" customHeight="1" x14ac:dyDescent="0.2">
      <c r="A96" s="32"/>
      <c r="B96" s="33"/>
      <c r="C96" s="34"/>
      <c r="D96" s="33"/>
      <c r="E96" s="28" t="str">
        <f>IFERROR(ROUNDUP('Dados do Forms'!CN1,0),"")</f>
        <v/>
      </c>
      <c r="F96" s="33" t="str">
        <f t="shared" si="5"/>
        <v/>
      </c>
      <c r="G96" s="33" t="str">
        <f t="shared" si="0"/>
        <v/>
      </c>
      <c r="H96" s="33" t="str">
        <f t="shared" si="6"/>
        <v/>
      </c>
    </row>
    <row r="97" spans="1:8" ht="15.75" customHeight="1" x14ac:dyDescent="0.2">
      <c r="A97" s="38"/>
      <c r="B97" s="39"/>
      <c r="C97" s="40"/>
      <c r="D97" s="39"/>
      <c r="E97" s="29" t="str">
        <f>IFERROR(ROUNDUP('Dados do Forms'!CO1,0),"")</f>
        <v/>
      </c>
      <c r="F97" s="35" t="str">
        <f>IF(ISNUMBER(E97), IF(TRIM(UPPER(D97))="INVERTIDA", 4 - E97, E97), "")</f>
        <v/>
      </c>
      <c r="G97" s="39" t="str">
        <f t="shared" si="0"/>
        <v/>
      </c>
      <c r="H97" s="39" t="str">
        <f t="shared" si="6"/>
        <v/>
      </c>
    </row>
    <row r="98" spans="1:8" ht="15.75" customHeight="1" x14ac:dyDescent="0.2"/>
    <row r="99" spans="1:8" ht="15.75" customHeight="1" x14ac:dyDescent="0.2"/>
    <row r="100" spans="1:8" ht="15.75" customHeight="1" x14ac:dyDescent="0.2"/>
    <row r="101" spans="1:8" ht="15.75" customHeight="1" x14ac:dyDescent="0.2"/>
    <row r="102" spans="1:8" ht="15.75" customHeight="1" x14ac:dyDescent="0.2"/>
    <row r="103" spans="1:8" ht="15.75" customHeight="1" x14ac:dyDescent="0.2"/>
    <row r="104" spans="1:8" ht="15.75" customHeight="1" x14ac:dyDescent="0.2"/>
    <row r="105" spans="1:8" ht="15.75" customHeight="1" x14ac:dyDescent="0.2"/>
    <row r="106" spans="1:8" ht="15.75" customHeight="1" x14ac:dyDescent="0.2"/>
    <row r="107" spans="1:8" ht="15.75" customHeight="1" x14ac:dyDescent="0.2"/>
    <row r="108" spans="1:8" ht="15.75" customHeight="1" x14ac:dyDescent="0.2"/>
    <row r="109" spans="1:8" ht="15.75" customHeight="1" x14ac:dyDescent="0.2"/>
    <row r="110" spans="1:8" ht="15.75" customHeight="1" x14ac:dyDescent="0.2"/>
    <row r="111" spans="1:8" ht="15.75" customHeight="1" x14ac:dyDescent="0.2"/>
    <row r="112" spans="1:8"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protectedRanges>
    <protectedRange algorithmName="SHA-512" hashValue="/8dfic0Tevdd4pei5ietXIQoCknMi7AoSmew2fZ1RInHcXJsjme2+m/FTOtJFE7TnKYDYvC6wnL+pFcOh4+Qyg==" saltValue="oVArU7G3X8wroTswnuud7A==" spinCount="100000" sqref="E7:E97" name="Intervalo1"/>
  </protectedRanges>
  <mergeCells count="1">
    <mergeCell ref="D4:G4"/>
  </mergeCells>
  <dataValidations count="2">
    <dataValidation type="list" allowBlank="1" showDropDown="1" showErrorMessage="1" sqref="D8:D97" xr:uid="{00000000-0002-0000-0100-000000000000}">
      <formula1>"Direta,Invertida"</formula1>
    </dataValidation>
    <dataValidation type="custom" allowBlank="1" showDropDown="1" sqref="B8:B97" xr:uid="{00000000-0002-0000-0100-000001000000}">
      <formula1>AND(ISNUMBER(B8),(NOT(OR(NOT(ISERROR(DATEVALUE(B8))), AND(ISNUMBER(B8), LEFT(CELL("format", B8))="D")))))</formula1>
    </dataValidation>
  </dataValidations>
  <pageMargins left="0.75" right="0.75" top="1" bottom="1" header="0" footer="0"/>
  <pageSetup orientation="landscape"/>
  <ignoredErrors>
    <ignoredError sqref="E9:E97 E7" calculatedColumn="1"/>
    <ignoredError sqref="F9:H96 F7:H7 G97:H97" unlockedFormula="1" calculatedColumn="1"/>
  </ignoredErrors>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56854"/>
  </sheetPr>
  <dimension ref="A2:J1006"/>
  <sheetViews>
    <sheetView showGridLines="0" zoomScaleNormal="100" workbookViewId="0">
      <pane ySplit="7" topLeftCell="A8" activePane="bottomLeft" state="frozen"/>
      <selection pane="bottomLeft" activeCell="C22" sqref="C22"/>
    </sheetView>
  </sheetViews>
  <sheetFormatPr baseColWidth="10" defaultColWidth="14.5" defaultRowHeight="15" customHeight="1" x14ac:dyDescent="0.2"/>
  <cols>
    <col min="1" max="1" width="64.83203125" customWidth="1"/>
    <col min="2" max="2" width="22.1640625" customWidth="1"/>
    <col min="3" max="3" width="35.1640625" customWidth="1"/>
    <col min="4" max="5" width="29" customWidth="1"/>
    <col min="6" max="26" width="8.5" customWidth="1"/>
  </cols>
  <sheetData>
    <row r="2" spans="1:10" ht="15" customHeight="1" x14ac:dyDescent="0.2">
      <c r="D2" s="132" t="s">
        <v>132</v>
      </c>
      <c r="E2" s="156" t="s">
        <v>133</v>
      </c>
      <c r="F2" s="156"/>
      <c r="G2" s="156"/>
      <c r="H2" s="156"/>
      <c r="I2" s="156"/>
      <c r="J2" s="156"/>
    </row>
    <row r="3" spans="1:10" ht="15" customHeight="1" x14ac:dyDescent="0.2">
      <c r="D3" s="157" t="s">
        <v>138</v>
      </c>
      <c r="E3" s="157"/>
      <c r="F3" s="157"/>
      <c r="G3" s="157"/>
      <c r="H3" s="157"/>
      <c r="I3" s="157"/>
      <c r="J3" s="157"/>
    </row>
    <row r="7" spans="1:10" x14ac:dyDescent="0.2">
      <c r="A7" s="140" t="s">
        <v>3</v>
      </c>
      <c r="B7" s="141" t="s">
        <v>25</v>
      </c>
      <c r="C7" s="8" t="s">
        <v>26</v>
      </c>
      <c r="D7" s="141" t="s">
        <v>27</v>
      </c>
      <c r="E7" s="141" t="s">
        <v>28</v>
      </c>
    </row>
    <row r="8" spans="1:10" ht="17" x14ac:dyDescent="0.2">
      <c r="A8" s="1" t="s">
        <v>219</v>
      </c>
      <c r="B8" s="94" t="e">
        <f>AVERAGEIF(Escala!A:A, A8, Escala!H:H)</f>
        <v>#DIV/0!</v>
      </c>
      <c r="C8" s="2"/>
      <c r="D8" s="2" t="e">
        <f t="shared" ref="D8:D16" si="0">IF(B8="", "", IFERROR(IF(B8&lt;=1.66, "Baixa", IF(B8&lt;=2.32, "Média", "Alta")), ""))</f>
        <v>#DIV/0!</v>
      </c>
      <c r="E8" s="2" t="str">
        <f t="shared" ref="E8:E16" si="1">IF(C8="","",IFERROR(IF(C8&lt;=1.5,"Baixa",IF(C8&lt;=2.4,"Média","Alta")),""))</f>
        <v/>
      </c>
    </row>
    <row r="9" spans="1:10" ht="17" x14ac:dyDescent="0.2">
      <c r="A9" s="3" t="s">
        <v>220</v>
      </c>
      <c r="B9" s="94" t="e">
        <f>AVERAGEIF(Escala!A:A, A9, Escala!H:H)</f>
        <v>#DIV/0!</v>
      </c>
      <c r="C9" s="4"/>
      <c r="D9" s="4" t="e">
        <f t="shared" si="0"/>
        <v>#DIV/0!</v>
      </c>
      <c r="E9" s="2" t="str">
        <f t="shared" si="1"/>
        <v/>
      </c>
    </row>
    <row r="10" spans="1:10" ht="17" x14ac:dyDescent="0.2">
      <c r="A10" s="1" t="s">
        <v>221</v>
      </c>
      <c r="B10" s="94" t="e">
        <f>AVERAGEIF(Escala!A:A, A10, Escala!H:H)</f>
        <v>#DIV/0!</v>
      </c>
      <c r="C10" s="2"/>
      <c r="D10" s="2" t="e">
        <f t="shared" si="0"/>
        <v>#DIV/0!</v>
      </c>
      <c r="E10" s="2" t="str">
        <f t="shared" si="1"/>
        <v/>
      </c>
    </row>
    <row r="11" spans="1:10" ht="17" x14ac:dyDescent="0.2">
      <c r="A11" s="3" t="s">
        <v>222</v>
      </c>
      <c r="B11" s="94" t="e">
        <f>AVERAGEIF(Escala!A:A, A11, Escala!H:H)</f>
        <v>#DIV/0!</v>
      </c>
      <c r="C11" s="2"/>
      <c r="D11" s="4" t="e">
        <f t="shared" si="0"/>
        <v>#DIV/0!</v>
      </c>
      <c r="E11" s="2" t="str">
        <f t="shared" si="1"/>
        <v/>
      </c>
      <c r="I11" s="7" t="s">
        <v>55</v>
      </c>
    </row>
    <row r="12" spans="1:10" ht="17" x14ac:dyDescent="0.2">
      <c r="A12" s="1" t="s">
        <v>223</v>
      </c>
      <c r="B12" s="94" t="e">
        <f>AVERAGEIF(Escala!A:A, A12, Escala!H:H)</f>
        <v>#DIV/0!</v>
      </c>
      <c r="C12" s="4"/>
      <c r="D12" s="2" t="e">
        <f t="shared" si="0"/>
        <v>#DIV/0!</v>
      </c>
      <c r="E12" s="2" t="str">
        <f t="shared" si="1"/>
        <v/>
      </c>
    </row>
    <row r="13" spans="1:10" ht="17" x14ac:dyDescent="0.2">
      <c r="A13" s="1" t="s">
        <v>224</v>
      </c>
      <c r="B13" s="94" t="e">
        <f>AVERAGEIF(Escala!A:A, A13, Escala!H:H)</f>
        <v>#DIV/0!</v>
      </c>
      <c r="C13" s="2"/>
      <c r="D13" s="4" t="e">
        <f t="shared" si="0"/>
        <v>#DIV/0!</v>
      </c>
      <c r="E13" s="2" t="str">
        <f t="shared" si="1"/>
        <v/>
      </c>
    </row>
    <row r="14" spans="1:10" ht="17" x14ac:dyDescent="0.2">
      <c r="A14" s="1" t="s">
        <v>225</v>
      </c>
      <c r="B14" s="94" t="e">
        <f>AVERAGEIF(Escala!A:A, A14, Escala!H:H)</f>
        <v>#DIV/0!</v>
      </c>
      <c r="C14" s="2"/>
      <c r="D14" s="2" t="e">
        <f t="shared" si="0"/>
        <v>#DIV/0!</v>
      </c>
      <c r="E14" s="2" t="str">
        <f t="shared" si="1"/>
        <v/>
      </c>
    </row>
    <row r="15" spans="1:10" ht="17" x14ac:dyDescent="0.2">
      <c r="A15" s="1" t="s">
        <v>226</v>
      </c>
      <c r="B15" s="94" t="e">
        <f>AVERAGEIF(Escala!A:A, A15, Escala!H:H)</f>
        <v>#DIV/0!</v>
      </c>
      <c r="C15" s="4"/>
      <c r="D15" s="4" t="e">
        <f t="shared" si="0"/>
        <v>#DIV/0!</v>
      </c>
      <c r="E15" s="2" t="str">
        <f t="shared" si="1"/>
        <v/>
      </c>
    </row>
    <row r="16" spans="1:10" ht="17" x14ac:dyDescent="0.2">
      <c r="A16" s="1" t="s">
        <v>227</v>
      </c>
      <c r="B16" s="94" t="e">
        <f>AVERAGEIF(Escala!A:A, A16, Escala!H:H)</f>
        <v>#DIV/0!</v>
      </c>
      <c r="C16" s="2"/>
      <c r="D16" s="4" t="e">
        <f t="shared" si="0"/>
        <v>#DIV/0!</v>
      </c>
      <c r="E16" s="2" t="str">
        <f t="shared" si="1"/>
        <v/>
      </c>
    </row>
    <row r="17" spans="1:5" ht="15" customHeight="1" x14ac:dyDescent="0.2">
      <c r="A17" s="1" t="s">
        <v>228</v>
      </c>
      <c r="B17" s="95" t="e">
        <f>AVERAGEIF(Escala!A:A, A17, Escala!H:H)</f>
        <v>#DIV/0!</v>
      </c>
      <c r="C17" s="2"/>
      <c r="D17" s="93" t="e">
        <f>IF(B17="", "", IFERROR(IF(B17&lt;=1.66, "Baixa", IF(B17&lt;=2.32, "Média", "Alta")), ""))</f>
        <v>#DIV/0!</v>
      </c>
      <c r="E17" s="93" t="str">
        <f>IF(C17="","",IFERROR(IF(C17&lt;=1.5,"Baixa",IF(C17&lt;=2.4,"Média","Alta")),""))</f>
        <v/>
      </c>
    </row>
    <row r="18" spans="1:5" ht="15" customHeight="1" x14ac:dyDescent="0.2">
      <c r="A18" s="1" t="s">
        <v>229</v>
      </c>
      <c r="B18" s="95" t="e">
        <f>AVERAGEIF(Escala!A:A, A18, Escala!H:H)</f>
        <v>#DIV/0!</v>
      </c>
      <c r="C18" s="4"/>
      <c r="D18" s="93" t="e">
        <f>IF(B18="", "", IFERROR(IF(B18&lt;=1.66, "Baixa", IF(B18&lt;=2.32, "Média", "Alta")), ""))</f>
        <v>#DIV/0!</v>
      </c>
      <c r="E18" s="93" t="str">
        <f t="shared" ref="E18:E20" si="2">IF(C18="","",IFERROR(IF(C18&lt;=1.5,"Baixa",IF(C18&lt;=2.4,"Média","Alta")),""))</f>
        <v/>
      </c>
    </row>
    <row r="19" spans="1:5" ht="17" x14ac:dyDescent="0.2">
      <c r="A19" s="1" t="s">
        <v>230</v>
      </c>
      <c r="B19" s="95" t="e">
        <f>AVERAGEIF(Escala!A:A, A19, Escala!H:H)</f>
        <v>#DIV/0!</v>
      </c>
      <c r="C19" s="2"/>
      <c r="D19" s="2" t="e">
        <f t="shared" ref="D19:D20" si="3">IF(B19="", "", IFERROR(IF(B19&lt;=1.66, "Baixa", IF(B19&lt;=2.32, "Média", "Alta")), ""))</f>
        <v>#DIV/0!</v>
      </c>
      <c r="E19" s="93" t="str">
        <f t="shared" si="2"/>
        <v/>
      </c>
    </row>
    <row r="20" spans="1:5" ht="17" x14ac:dyDescent="0.2">
      <c r="A20" s="1" t="s">
        <v>231</v>
      </c>
      <c r="B20" s="95" t="e">
        <f>AVERAGEIF(Escala!A:A, A20, Escala!H:H)</f>
        <v>#DIV/0!</v>
      </c>
      <c r="C20" s="2"/>
      <c r="D20" s="2" t="e">
        <f t="shared" si="3"/>
        <v>#DIV/0!</v>
      </c>
      <c r="E20" s="93" t="str">
        <f t="shared" si="2"/>
        <v/>
      </c>
    </row>
    <row r="21" spans="1:5" x14ac:dyDescent="0.2"/>
    <row r="22" spans="1:5" x14ac:dyDescent="0.2"/>
    <row r="23" spans="1:5" x14ac:dyDescent="0.2"/>
    <row r="24" spans="1:5" x14ac:dyDescent="0.2"/>
    <row r="25" spans="1:5" x14ac:dyDescent="0.2"/>
    <row r="26" spans="1:5"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mergeCells count="2">
    <mergeCell ref="E2:J2"/>
    <mergeCell ref="D3:J3"/>
  </mergeCells>
  <pageMargins left="0.75" right="0.75" top="1" bottom="1" header="0" footer="0"/>
  <pageSetup orientation="landscape"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CCD19-0425-4729-B47B-DAFD6D1B880D}">
  <sheetPr>
    <tabColor theme="1"/>
    <pageSetUpPr fitToPage="1"/>
  </sheetPr>
  <dimension ref="A1:N28"/>
  <sheetViews>
    <sheetView showGridLines="0" zoomScale="80" zoomScaleNormal="80" workbookViewId="0">
      <selection activeCell="P2" sqref="P2"/>
    </sheetView>
  </sheetViews>
  <sheetFormatPr baseColWidth="10" defaultColWidth="12.6640625" defaultRowHeight="15.75" customHeight="1" x14ac:dyDescent="0.2"/>
  <cols>
    <col min="1" max="1" width="6.5" customWidth="1"/>
    <col min="2" max="2" width="4.6640625" customWidth="1"/>
    <col min="3" max="3" width="42.33203125" customWidth="1"/>
    <col min="4" max="4" width="44.5" customWidth="1"/>
    <col min="5" max="5" width="28.1640625" customWidth="1"/>
    <col min="6" max="6" width="31.1640625" bestFit="1" customWidth="1"/>
    <col min="7" max="7" width="18" customWidth="1"/>
    <col min="8" max="8" width="4.83203125" customWidth="1"/>
    <col min="9" max="9" width="6.33203125" customWidth="1"/>
    <col min="10" max="13" width="0" hidden="1" customWidth="1"/>
    <col min="14" max="14" width="5.83203125" customWidth="1"/>
  </cols>
  <sheetData>
    <row r="1" spans="1:14" ht="179" customHeight="1" x14ac:dyDescent="0.2">
      <c r="A1" s="110"/>
      <c r="B1" s="110"/>
      <c r="C1" s="110"/>
      <c r="D1" s="110"/>
      <c r="E1" s="110"/>
      <c r="F1" s="110"/>
      <c r="G1" s="110"/>
      <c r="H1" s="110"/>
      <c r="I1" s="110"/>
      <c r="J1" s="110"/>
      <c r="K1" s="110"/>
      <c r="L1" s="110"/>
      <c r="M1" s="110"/>
      <c r="N1" s="110"/>
    </row>
    <row r="2" spans="1:14" ht="26" customHeight="1" x14ac:dyDescent="0.2">
      <c r="A2" s="110"/>
      <c r="B2" s="114"/>
      <c r="C2" s="161" t="s">
        <v>113</v>
      </c>
      <c r="D2" s="161"/>
      <c r="E2" s="161"/>
      <c r="F2" s="161"/>
      <c r="G2" s="161"/>
      <c r="H2" s="114"/>
      <c r="I2" s="110"/>
      <c r="J2" s="110"/>
      <c r="K2" s="110"/>
      <c r="L2" s="110"/>
      <c r="M2" s="110"/>
      <c r="N2" s="110"/>
    </row>
    <row r="3" spans="1:14" ht="26" customHeight="1" x14ac:dyDescent="0.2">
      <c r="A3" s="110"/>
      <c r="B3" s="114"/>
      <c r="C3" s="44" t="s">
        <v>139</v>
      </c>
      <c r="D3" s="162"/>
      <c r="E3" s="163"/>
      <c r="F3" s="44" t="s">
        <v>114</v>
      </c>
      <c r="G3" s="109"/>
      <c r="H3" s="114"/>
      <c r="I3" s="110"/>
      <c r="J3" s="110"/>
      <c r="K3" s="110"/>
      <c r="L3" s="110"/>
      <c r="M3" s="110"/>
      <c r="N3" s="110"/>
    </row>
    <row r="4" spans="1:14" ht="26" customHeight="1" x14ac:dyDescent="0.2">
      <c r="A4" s="110"/>
      <c r="B4" s="114"/>
      <c r="C4" s="172" t="s">
        <v>353</v>
      </c>
      <c r="D4" s="173"/>
      <c r="E4" s="173"/>
      <c r="F4" s="173"/>
      <c r="G4" s="174"/>
      <c r="H4" s="114"/>
      <c r="I4" s="110"/>
      <c r="J4" s="110"/>
      <c r="K4" s="110"/>
      <c r="L4" s="110"/>
      <c r="M4" s="110"/>
      <c r="N4" s="110"/>
    </row>
    <row r="5" spans="1:14" ht="26" customHeight="1" x14ac:dyDescent="0.2">
      <c r="A5" s="110"/>
      <c r="B5" s="114"/>
      <c r="C5" s="120" t="s">
        <v>40</v>
      </c>
      <c r="D5" s="175" t="s">
        <v>41</v>
      </c>
      <c r="E5" s="166"/>
      <c r="F5" s="123" t="s">
        <v>143</v>
      </c>
      <c r="G5" s="18"/>
      <c r="H5" s="114"/>
      <c r="I5" s="110"/>
      <c r="J5" s="110"/>
      <c r="K5" s="110"/>
      <c r="L5" s="110"/>
      <c r="M5" s="110"/>
      <c r="N5" s="110"/>
    </row>
    <row r="6" spans="1:14" ht="26" customHeight="1" x14ac:dyDescent="0.2">
      <c r="A6" s="110"/>
      <c r="B6" s="114"/>
      <c r="C6" s="120" t="s">
        <v>42</v>
      </c>
      <c r="D6" s="176"/>
      <c r="E6" s="165"/>
      <c r="F6" s="165"/>
      <c r="G6" s="177"/>
      <c r="H6" s="114"/>
      <c r="I6" s="110"/>
      <c r="J6" s="110"/>
      <c r="K6" s="110"/>
      <c r="L6" s="110"/>
      <c r="M6" s="110"/>
      <c r="N6" s="110"/>
    </row>
    <row r="7" spans="1:14" ht="26" customHeight="1" x14ac:dyDescent="0.2">
      <c r="A7" s="110"/>
      <c r="B7" s="114"/>
      <c r="C7" s="120" t="s">
        <v>140</v>
      </c>
      <c r="D7" s="175"/>
      <c r="E7" s="165"/>
      <c r="F7" s="165"/>
      <c r="G7" s="166"/>
      <c r="H7" s="114"/>
      <c r="I7" s="110"/>
      <c r="J7" s="110"/>
      <c r="K7" s="110" t="s">
        <v>31</v>
      </c>
      <c r="L7" s="110" t="s">
        <v>29</v>
      </c>
      <c r="M7" s="110" t="s">
        <v>30</v>
      </c>
      <c r="N7" s="110"/>
    </row>
    <row r="8" spans="1:14" ht="26" customHeight="1" x14ac:dyDescent="0.2">
      <c r="A8" s="110"/>
      <c r="B8" s="114"/>
      <c r="C8" s="120" t="s">
        <v>141</v>
      </c>
      <c r="D8" s="55"/>
      <c r="E8" s="122" t="s">
        <v>144</v>
      </c>
      <c r="F8" s="122" t="s">
        <v>145</v>
      </c>
      <c r="G8" s="56"/>
      <c r="H8" s="114"/>
      <c r="I8" s="110"/>
      <c r="J8" s="110" t="s">
        <v>31</v>
      </c>
      <c r="K8" s="110" t="s">
        <v>61</v>
      </c>
      <c r="L8" s="110" t="s">
        <v>61</v>
      </c>
      <c r="M8" s="110" t="s">
        <v>62</v>
      </c>
      <c r="N8" s="110"/>
    </row>
    <row r="9" spans="1:14" ht="26" customHeight="1" x14ac:dyDescent="0.2">
      <c r="A9" s="110"/>
      <c r="B9" s="114"/>
      <c r="C9" s="120" t="s">
        <v>43</v>
      </c>
      <c r="D9" s="164" t="s">
        <v>146</v>
      </c>
      <c r="E9" s="165"/>
      <c r="F9" s="165"/>
      <c r="G9" s="166"/>
      <c r="H9" s="114"/>
      <c r="I9" s="110"/>
      <c r="J9" s="110" t="s">
        <v>29</v>
      </c>
      <c r="K9" s="110" t="s">
        <v>61</v>
      </c>
      <c r="L9" s="110" t="s">
        <v>62</v>
      </c>
      <c r="M9" s="110" t="s">
        <v>63</v>
      </c>
      <c r="N9" s="110"/>
    </row>
    <row r="10" spans="1:14" ht="26" customHeight="1" x14ac:dyDescent="0.2">
      <c r="A10" s="110"/>
      <c r="B10" s="114"/>
      <c r="C10" s="121" t="s">
        <v>44</v>
      </c>
      <c r="D10" s="167" t="s">
        <v>147</v>
      </c>
      <c r="E10" s="168"/>
      <c r="F10" s="168"/>
      <c r="G10" s="169"/>
      <c r="H10" s="114"/>
      <c r="I10" s="110"/>
      <c r="J10" s="110" t="s">
        <v>30</v>
      </c>
      <c r="K10" s="110" t="s">
        <v>62</v>
      </c>
      <c r="L10" s="110" t="s">
        <v>63</v>
      </c>
      <c r="M10" s="110" t="s">
        <v>64</v>
      </c>
      <c r="N10" s="110"/>
    </row>
    <row r="11" spans="1:14" ht="26" customHeight="1" x14ac:dyDescent="0.25">
      <c r="A11" s="110"/>
      <c r="B11" s="114"/>
      <c r="C11" s="170" t="s">
        <v>142</v>
      </c>
      <c r="D11" s="171"/>
      <c r="E11" s="171"/>
      <c r="F11" s="171"/>
      <c r="G11" s="171"/>
      <c r="H11" s="114"/>
      <c r="I11" s="110"/>
      <c r="J11" s="110"/>
      <c r="K11" s="110"/>
      <c r="L11" s="110"/>
      <c r="M11" s="110"/>
      <c r="N11" s="110"/>
    </row>
    <row r="12" spans="1:14" ht="20" customHeight="1" x14ac:dyDescent="0.25">
      <c r="A12" s="110"/>
      <c r="B12" s="114"/>
      <c r="C12" s="119" t="s">
        <v>111</v>
      </c>
      <c r="D12" s="158" t="s">
        <v>112</v>
      </c>
      <c r="E12" s="159"/>
      <c r="F12" s="159"/>
      <c r="G12" s="160"/>
      <c r="H12" s="114"/>
      <c r="I12" s="110"/>
      <c r="J12" s="110"/>
      <c r="K12" s="110"/>
      <c r="L12" s="110"/>
      <c r="M12" s="110"/>
      <c r="N12" s="110"/>
    </row>
    <row r="13" spans="1:14" ht="35" customHeight="1" x14ac:dyDescent="0.2">
      <c r="A13" s="110"/>
      <c r="B13" s="114"/>
      <c r="C13" s="142" t="s">
        <v>338</v>
      </c>
      <c r="D13" s="142" t="s">
        <v>339</v>
      </c>
      <c r="E13" s="115" t="s">
        <v>45</v>
      </c>
      <c r="F13" s="116" t="s">
        <v>46</v>
      </c>
      <c r="G13" s="117" t="s">
        <v>47</v>
      </c>
      <c r="H13" s="114"/>
      <c r="I13" s="110"/>
      <c r="J13" s="110"/>
      <c r="K13" s="110"/>
      <c r="L13" s="110"/>
      <c r="M13" s="110"/>
      <c r="N13" s="110"/>
    </row>
    <row r="14" spans="1:14" ht="53" customHeight="1" x14ac:dyDescent="0.2">
      <c r="A14" s="110"/>
      <c r="B14" s="114"/>
      <c r="C14" s="146" t="s">
        <v>232</v>
      </c>
      <c r="D14" s="145" t="s">
        <v>342</v>
      </c>
      <c r="E14" s="143" t="e">
        <f>'Resumo por Tópico'!$D$8</f>
        <v>#DIV/0!</v>
      </c>
      <c r="F14" s="42" t="str">
        <f>'Resumo por Tópico'!E8</f>
        <v/>
      </c>
      <c r="G14" s="43" t="str">
        <f t="shared" ref="G14:G26" si="0">IFERROR(INDEX($K$8:$M$10, MATCH(E14, $J$8:$J$10, 0), MATCH(F14, $K$7:$M$7, 0)),"")</f>
        <v/>
      </c>
      <c r="H14" s="114"/>
      <c r="I14" s="110"/>
      <c r="J14" s="110"/>
      <c r="K14" s="110"/>
      <c r="L14" s="110"/>
      <c r="M14" s="110"/>
      <c r="N14" s="110"/>
    </row>
    <row r="15" spans="1:14" ht="35" customHeight="1" x14ac:dyDescent="0.2">
      <c r="A15" s="110"/>
      <c r="B15" s="114"/>
      <c r="C15" s="146" t="s">
        <v>233</v>
      </c>
      <c r="D15" s="145" t="s">
        <v>343</v>
      </c>
      <c r="E15" s="143" t="e">
        <f>'Resumo por Tópico'!$D$9</f>
        <v>#DIV/0!</v>
      </c>
      <c r="F15" s="20" t="str">
        <f>'Resumo por Tópico'!E9</f>
        <v/>
      </c>
      <c r="G15" s="19" t="str">
        <f t="shared" si="0"/>
        <v/>
      </c>
      <c r="H15" s="114"/>
      <c r="I15" s="110"/>
      <c r="J15" s="110"/>
      <c r="K15" s="110"/>
      <c r="L15" s="110"/>
      <c r="M15" s="110"/>
      <c r="N15" s="110"/>
    </row>
    <row r="16" spans="1:14" ht="34" customHeight="1" x14ac:dyDescent="0.2">
      <c r="A16" s="110"/>
      <c r="B16" s="114"/>
      <c r="C16" s="146" t="s">
        <v>234</v>
      </c>
      <c r="D16" s="145" t="s">
        <v>344</v>
      </c>
      <c r="E16" s="143" t="e">
        <f>'Resumo por Tópico'!$D$10</f>
        <v>#DIV/0!</v>
      </c>
      <c r="F16" s="20" t="str">
        <f>'Resumo por Tópico'!E10</f>
        <v/>
      </c>
      <c r="G16" s="19" t="str">
        <f t="shared" si="0"/>
        <v/>
      </c>
      <c r="H16" s="114"/>
      <c r="I16" s="110"/>
      <c r="J16" s="110"/>
      <c r="K16" s="110"/>
      <c r="L16" s="110"/>
      <c r="M16" s="110"/>
      <c r="N16" s="110"/>
    </row>
    <row r="17" spans="1:14" ht="45" customHeight="1" x14ac:dyDescent="0.2">
      <c r="A17" s="110"/>
      <c r="B17" s="114"/>
      <c r="C17" s="146" t="s">
        <v>235</v>
      </c>
      <c r="D17" s="145" t="s">
        <v>345</v>
      </c>
      <c r="E17" s="143" t="e">
        <f>'Resumo por Tópico'!$D$11</f>
        <v>#DIV/0!</v>
      </c>
      <c r="F17" s="20" t="str">
        <f>'Resumo por Tópico'!E11</f>
        <v/>
      </c>
      <c r="G17" s="19" t="str">
        <f t="shared" si="0"/>
        <v/>
      </c>
      <c r="H17" s="114"/>
      <c r="I17" s="110"/>
      <c r="J17" s="110"/>
      <c r="K17" s="110"/>
      <c r="L17" s="110"/>
      <c r="M17" s="110"/>
      <c r="N17" s="110"/>
    </row>
    <row r="18" spans="1:14" ht="24" customHeight="1" x14ac:dyDescent="0.2">
      <c r="A18" s="110"/>
      <c r="B18" s="114"/>
      <c r="C18" s="146" t="s">
        <v>236</v>
      </c>
      <c r="D18" s="144" t="s">
        <v>340</v>
      </c>
      <c r="E18" s="143" t="e">
        <f>'Resumo por Tópico'!$D$12</f>
        <v>#DIV/0!</v>
      </c>
      <c r="F18" s="20" t="str">
        <f>'Resumo por Tópico'!E12</f>
        <v/>
      </c>
      <c r="G18" s="19" t="str">
        <f t="shared" si="0"/>
        <v/>
      </c>
      <c r="H18" s="114"/>
      <c r="I18" s="110"/>
      <c r="J18" s="110"/>
      <c r="K18" s="110"/>
      <c r="L18" s="110"/>
      <c r="M18" s="110"/>
      <c r="N18" s="110"/>
    </row>
    <row r="19" spans="1:14" ht="34" customHeight="1" x14ac:dyDescent="0.2">
      <c r="A19" s="110"/>
      <c r="B19" s="114"/>
      <c r="C19" s="146" t="s">
        <v>237</v>
      </c>
      <c r="D19" s="145" t="s">
        <v>346</v>
      </c>
      <c r="E19" s="143" t="e">
        <f>'Resumo por Tópico'!$D$13</f>
        <v>#DIV/0!</v>
      </c>
      <c r="F19" s="20" t="str">
        <f>'Resumo por Tópico'!E13</f>
        <v/>
      </c>
      <c r="G19" s="19" t="str">
        <f t="shared" si="0"/>
        <v/>
      </c>
      <c r="H19" s="114"/>
      <c r="I19" s="110"/>
      <c r="J19" s="110"/>
      <c r="K19" s="110"/>
      <c r="L19" s="110"/>
      <c r="M19" s="110"/>
      <c r="N19" s="110"/>
    </row>
    <row r="20" spans="1:14" ht="28" customHeight="1" x14ac:dyDescent="0.2">
      <c r="A20" s="110"/>
      <c r="B20" s="114"/>
      <c r="C20" s="146" t="s">
        <v>238</v>
      </c>
      <c r="D20" s="145" t="s">
        <v>347</v>
      </c>
      <c r="E20" s="143" t="e">
        <f>'Resumo por Tópico'!$D$14</f>
        <v>#DIV/0!</v>
      </c>
      <c r="F20" s="20" t="str">
        <f>'Resumo por Tópico'!E14</f>
        <v/>
      </c>
      <c r="G20" s="19" t="str">
        <f t="shared" si="0"/>
        <v/>
      </c>
      <c r="H20" s="114"/>
      <c r="I20" s="110"/>
      <c r="J20" s="110"/>
      <c r="K20" s="110"/>
      <c r="L20" s="110"/>
      <c r="M20" s="110"/>
      <c r="N20" s="110"/>
    </row>
    <row r="21" spans="1:14" ht="29" customHeight="1" x14ac:dyDescent="0.2">
      <c r="A21" s="110"/>
      <c r="B21" s="114"/>
      <c r="C21" s="146" t="s">
        <v>239</v>
      </c>
      <c r="D21" s="145" t="s">
        <v>349</v>
      </c>
      <c r="E21" s="143" t="e">
        <f>'Resumo por Tópico'!$D$15</f>
        <v>#DIV/0!</v>
      </c>
      <c r="F21" s="20" t="str">
        <f>'Resumo por Tópico'!E15</f>
        <v/>
      </c>
      <c r="G21" s="19" t="str">
        <f t="shared" si="0"/>
        <v/>
      </c>
      <c r="H21" s="114"/>
      <c r="I21" s="110"/>
      <c r="J21" s="110"/>
      <c r="K21" s="110"/>
      <c r="L21" s="110"/>
      <c r="M21" s="110"/>
      <c r="N21" s="110"/>
    </row>
    <row r="22" spans="1:14" ht="31" customHeight="1" x14ac:dyDescent="0.2">
      <c r="A22" s="110"/>
      <c r="B22" s="114"/>
      <c r="C22" s="146" t="s">
        <v>240</v>
      </c>
      <c r="D22" s="145" t="s">
        <v>341</v>
      </c>
      <c r="E22" s="143" t="e">
        <f>'Resumo por Tópico'!$D$16</f>
        <v>#DIV/0!</v>
      </c>
      <c r="F22" s="20" t="str">
        <f>'Resumo por Tópico'!E16</f>
        <v/>
      </c>
      <c r="G22" s="19" t="str">
        <f t="shared" si="0"/>
        <v/>
      </c>
      <c r="H22" s="114"/>
      <c r="I22" s="110"/>
      <c r="J22" s="110"/>
      <c r="K22" s="110"/>
      <c r="L22" s="110"/>
      <c r="M22" s="110"/>
      <c r="N22" s="110"/>
    </row>
    <row r="23" spans="1:14" ht="34" customHeight="1" x14ac:dyDescent="0.2">
      <c r="A23" s="110"/>
      <c r="B23" s="114"/>
      <c r="C23" s="146" t="s">
        <v>241</v>
      </c>
      <c r="D23" s="145" t="s">
        <v>350</v>
      </c>
      <c r="E23" s="143" t="e">
        <f>'Resumo por Tópico'!$D$16</f>
        <v>#DIV/0!</v>
      </c>
      <c r="F23" s="20" t="str">
        <f>'Resumo por Tópico'!E17</f>
        <v/>
      </c>
      <c r="G23" s="19" t="str">
        <f t="shared" si="0"/>
        <v/>
      </c>
      <c r="H23" s="114"/>
      <c r="I23" s="110"/>
      <c r="J23" s="110"/>
      <c r="K23" s="110"/>
      <c r="L23" s="110"/>
      <c r="M23" s="110"/>
      <c r="N23" s="110"/>
    </row>
    <row r="24" spans="1:14" ht="37" customHeight="1" x14ac:dyDescent="0.2">
      <c r="A24" s="110"/>
      <c r="B24" s="114"/>
      <c r="C24" s="146" t="s">
        <v>242</v>
      </c>
      <c r="D24" s="145" t="s">
        <v>352</v>
      </c>
      <c r="E24" s="143" t="e">
        <f>'Resumo por Tópico'!$D$16</f>
        <v>#DIV/0!</v>
      </c>
      <c r="F24" s="20" t="str">
        <f>'Resumo por Tópico'!E18</f>
        <v/>
      </c>
      <c r="G24" s="19" t="str">
        <f t="shared" si="0"/>
        <v/>
      </c>
      <c r="H24" s="114"/>
      <c r="I24" s="110"/>
      <c r="J24" s="110"/>
      <c r="K24" s="110"/>
      <c r="L24" s="110"/>
      <c r="M24" s="110"/>
      <c r="N24" s="110"/>
    </row>
    <row r="25" spans="1:14" ht="37" customHeight="1" x14ac:dyDescent="0.2">
      <c r="A25" s="110"/>
      <c r="B25" s="114"/>
      <c r="C25" s="146" t="s">
        <v>243</v>
      </c>
      <c r="D25" s="145" t="s">
        <v>351</v>
      </c>
      <c r="E25" s="143" t="e">
        <f>'Resumo por Tópico'!$D$16</f>
        <v>#DIV/0!</v>
      </c>
      <c r="F25" s="20" t="str">
        <f>'Resumo por Tópico'!E19</f>
        <v/>
      </c>
      <c r="G25" s="19" t="str">
        <f t="shared" si="0"/>
        <v/>
      </c>
      <c r="H25" s="114"/>
      <c r="I25" s="110"/>
      <c r="J25" s="110"/>
      <c r="K25" s="110"/>
      <c r="L25" s="110"/>
      <c r="M25" s="110"/>
      <c r="N25" s="110"/>
    </row>
    <row r="26" spans="1:14" ht="45" customHeight="1" x14ac:dyDescent="0.2">
      <c r="A26" s="110"/>
      <c r="B26" s="114"/>
      <c r="C26" s="146" t="s">
        <v>244</v>
      </c>
      <c r="D26" s="145" t="s">
        <v>348</v>
      </c>
      <c r="E26" s="143" t="e">
        <f>'Resumo por Tópico'!$D$16</f>
        <v>#DIV/0!</v>
      </c>
      <c r="F26" s="20" t="str">
        <f>'Resumo por Tópico'!E20</f>
        <v/>
      </c>
      <c r="G26" s="19" t="str">
        <f t="shared" si="0"/>
        <v/>
      </c>
      <c r="H26" s="114"/>
      <c r="I26" s="110"/>
      <c r="J26" s="110"/>
      <c r="K26" s="110"/>
      <c r="L26" s="110"/>
      <c r="M26" s="110"/>
      <c r="N26" s="110"/>
    </row>
    <row r="27" spans="1:14" ht="27" customHeight="1" x14ac:dyDescent="0.2">
      <c r="A27" s="110"/>
      <c r="B27" s="114"/>
      <c r="C27" s="114"/>
      <c r="D27" s="114"/>
      <c r="E27" s="114"/>
      <c r="F27" s="114"/>
      <c r="G27" s="114"/>
      <c r="H27" s="114"/>
      <c r="I27" s="110"/>
      <c r="J27" s="110"/>
      <c r="K27" s="110"/>
      <c r="L27" s="110"/>
      <c r="M27" s="110"/>
      <c r="N27" s="110"/>
    </row>
    <row r="28" spans="1:14" ht="31" customHeight="1" x14ac:dyDescent="0.2">
      <c r="A28" s="110"/>
      <c r="B28" s="110"/>
      <c r="C28" s="110"/>
      <c r="D28" s="110"/>
      <c r="E28" s="110"/>
      <c r="F28" s="110"/>
      <c r="G28" s="110"/>
      <c r="H28" s="110"/>
      <c r="I28" s="110"/>
      <c r="J28" s="110"/>
      <c r="K28" s="110"/>
      <c r="L28" s="110"/>
      <c r="M28" s="110"/>
      <c r="N28" s="110"/>
    </row>
  </sheetData>
  <mergeCells count="10">
    <mergeCell ref="D12:G12"/>
    <mergeCell ref="C2:G2"/>
    <mergeCell ref="D3:E3"/>
    <mergeCell ref="D9:G9"/>
    <mergeCell ref="D10:G10"/>
    <mergeCell ref="C11:G11"/>
    <mergeCell ref="C4:G4"/>
    <mergeCell ref="D5:E5"/>
    <mergeCell ref="D6:G6"/>
    <mergeCell ref="D7:G7"/>
  </mergeCells>
  <phoneticPr fontId="10" type="noConversion"/>
  <conditionalFormatting sqref="E14:E26">
    <cfRule type="containsBlanks" priority="2">
      <formula>LEN(TRIM(E14))=0</formula>
    </cfRule>
  </conditionalFormatting>
  <conditionalFormatting sqref="E14:F26">
    <cfRule type="containsText" dxfId="6" priority="3" operator="containsText" text="Baixa">
      <formula>NOT(ISERROR(SEARCH("Baixa",E14)))</formula>
    </cfRule>
    <cfRule type="containsText" dxfId="5" priority="4" operator="containsText" text="Média">
      <formula>NOT(ISERROR(SEARCH("Média",E14)))</formula>
    </cfRule>
    <cfRule type="cellIs" dxfId="4" priority="5" operator="equal">
      <formula>"Alta"</formula>
    </cfRule>
  </conditionalFormatting>
  <conditionalFormatting sqref="F14:F26">
    <cfRule type="containsBlanks" priority="1">
      <formula>LEN(TRIM(F14))=0</formula>
    </cfRule>
  </conditionalFormatting>
  <conditionalFormatting sqref="G14:G26">
    <cfRule type="containsText" dxfId="3" priority="6" operator="containsText" text="CRÍTICO">
      <formula>NOT(ISERROR(SEARCH("CRÍTICO",G14)))</formula>
    </cfRule>
    <cfRule type="containsText" dxfId="2" priority="7" operator="containsText" text="ALTO">
      <formula>NOT(ISERROR(SEARCH("ALTO",G14)))</formula>
    </cfRule>
    <cfRule type="containsText" dxfId="1" priority="8" operator="containsText" text="MÉDIO">
      <formula>NOT(ISERROR(SEARCH("MÉDIO",G14)))</formula>
    </cfRule>
    <cfRule type="containsText" dxfId="0" priority="9" operator="containsText" text="BAIXO">
      <formula>NOT(ISERROR(SEARCH("BAIXO",G14)))</formula>
    </cfRule>
  </conditionalFormatting>
  <pageMargins left="0.25" right="0.25" top="0.75" bottom="0.75" header="0.3" footer="0.3"/>
  <pageSetup paperSize="9" scale="87" orientation="landscape"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86B7B-0D89-494B-9AA6-A4A2AA9C7A9E}">
  <dimension ref="A1:K30"/>
  <sheetViews>
    <sheetView workbookViewId="0">
      <selection activeCell="C15" sqref="C15"/>
    </sheetView>
  </sheetViews>
  <sheetFormatPr baseColWidth="10" defaultColWidth="8.83203125" defaultRowHeight="15" x14ac:dyDescent="0.2"/>
  <cols>
    <col min="2" max="2" width="16.1640625" customWidth="1"/>
    <col min="3" max="3" width="37.6640625" customWidth="1"/>
    <col min="4" max="4" width="56.33203125" customWidth="1"/>
    <col min="5" max="5" width="20.5" customWidth="1"/>
    <col min="6" max="6" width="24.33203125" customWidth="1"/>
    <col min="10" max="10" width="63.33203125" customWidth="1"/>
    <col min="19" max="19" width="48.5" bestFit="1" customWidth="1"/>
  </cols>
  <sheetData>
    <row r="1" spans="1:11" ht="17" x14ac:dyDescent="0.2">
      <c r="A1" s="178" t="s">
        <v>128</v>
      </c>
      <c r="B1" s="178"/>
      <c r="D1" s="46" t="s">
        <v>3</v>
      </c>
      <c r="E1" s="47" t="s">
        <v>25</v>
      </c>
      <c r="F1" s="47" t="s">
        <v>27</v>
      </c>
      <c r="J1" s="1" t="s">
        <v>219</v>
      </c>
      <c r="K1" t="e">
        <f>F2</f>
        <v>#DIV/0!</v>
      </c>
    </row>
    <row r="2" spans="1:11" ht="17" x14ac:dyDescent="0.2">
      <c r="A2" t="s">
        <v>61</v>
      </c>
      <c r="B2">
        <f>COUNTIF('Análise e Avaliação'!$G$13:$G$26,'Dados Gráficos'!A2)</f>
        <v>0</v>
      </c>
      <c r="D2" t="s">
        <v>219</v>
      </c>
      <c r="E2" s="45" t="e">
        <f>'Resumo por Tópico'!B8</f>
        <v>#DIV/0!</v>
      </c>
      <c r="F2" t="e">
        <f>IF(E2="", "", IFERROR(IF(E2&lt;=1.5, "Baixa", IF(E2&lt;=2.4, "Média", "Alta")), ""))</f>
        <v>#DIV/0!</v>
      </c>
      <c r="J2" s="1" t="s">
        <v>220</v>
      </c>
      <c r="K2" t="e">
        <f t="shared" ref="K2:K13" si="0">F3</f>
        <v>#DIV/0!</v>
      </c>
    </row>
    <row r="3" spans="1:11" ht="17" x14ac:dyDescent="0.2">
      <c r="A3" t="s">
        <v>62</v>
      </c>
      <c r="B3">
        <f>COUNTIF('Análise e Avaliação'!$G$13:$G$26,'Dados Gráficos'!A3)</f>
        <v>0</v>
      </c>
      <c r="D3" t="s">
        <v>220</v>
      </c>
      <c r="E3" s="45" t="e">
        <f>'Resumo por Tópico'!B9</f>
        <v>#DIV/0!</v>
      </c>
      <c r="F3" t="e">
        <f t="shared" ref="F3:F10" si="1">IF(E3="", "", IFERROR(IF(E3&lt;=1.5, "Baixa", IF(E3&lt;=2.4, "Média", "Alta")), ""))</f>
        <v>#DIV/0!</v>
      </c>
      <c r="J3" s="1" t="s">
        <v>221</v>
      </c>
      <c r="K3" t="e">
        <f t="shared" si="0"/>
        <v>#DIV/0!</v>
      </c>
    </row>
    <row r="4" spans="1:11" ht="17" x14ac:dyDescent="0.2">
      <c r="A4" t="s">
        <v>63</v>
      </c>
      <c r="B4">
        <f>COUNTIF('Análise e Avaliação'!$G$13:$G$26,'Dados Gráficos'!A4)</f>
        <v>0</v>
      </c>
      <c r="D4" t="s">
        <v>221</v>
      </c>
      <c r="E4" s="45" t="e">
        <f>'Resumo por Tópico'!B10</f>
        <v>#DIV/0!</v>
      </c>
      <c r="F4" t="e">
        <f t="shared" si="1"/>
        <v>#DIV/0!</v>
      </c>
      <c r="J4" s="1" t="s">
        <v>222</v>
      </c>
      <c r="K4" t="e">
        <f t="shared" si="0"/>
        <v>#DIV/0!</v>
      </c>
    </row>
    <row r="5" spans="1:11" ht="17" x14ac:dyDescent="0.2">
      <c r="A5" t="s">
        <v>64</v>
      </c>
      <c r="B5">
        <f>COUNTIF('Análise e Avaliação'!$G$13:$G$26,'Dados Gráficos'!A5)</f>
        <v>0</v>
      </c>
      <c r="D5" t="s">
        <v>222</v>
      </c>
      <c r="E5" s="45" t="e">
        <f>'Resumo por Tópico'!B11</f>
        <v>#DIV/0!</v>
      </c>
      <c r="F5" t="e">
        <f t="shared" si="1"/>
        <v>#DIV/0!</v>
      </c>
      <c r="J5" s="1" t="s">
        <v>223</v>
      </c>
      <c r="K5" t="e">
        <f t="shared" si="0"/>
        <v>#DIV/0!</v>
      </c>
    </row>
    <row r="6" spans="1:11" ht="17" x14ac:dyDescent="0.2">
      <c r="D6" t="s">
        <v>223</v>
      </c>
      <c r="E6" s="45" t="e">
        <f>'Resumo por Tópico'!B12</f>
        <v>#DIV/0!</v>
      </c>
      <c r="F6" t="e">
        <f t="shared" si="1"/>
        <v>#DIV/0!</v>
      </c>
      <c r="J6" s="1" t="s">
        <v>224</v>
      </c>
      <c r="K6" t="e">
        <f t="shared" si="0"/>
        <v>#DIV/0!</v>
      </c>
    </row>
    <row r="7" spans="1:11" ht="17" x14ac:dyDescent="0.2">
      <c r="D7" t="s">
        <v>224</v>
      </c>
      <c r="E7" s="45" t="e">
        <f>'Resumo por Tópico'!B13</f>
        <v>#DIV/0!</v>
      </c>
      <c r="F7" t="e">
        <f t="shared" si="1"/>
        <v>#DIV/0!</v>
      </c>
      <c r="J7" s="1" t="s">
        <v>225</v>
      </c>
      <c r="K7" t="e">
        <f t="shared" si="0"/>
        <v>#DIV/0!</v>
      </c>
    </row>
    <row r="8" spans="1:11" ht="17" x14ac:dyDescent="0.2">
      <c r="D8" t="s">
        <v>225</v>
      </c>
      <c r="E8" s="45" t="e">
        <f>'Resumo por Tópico'!B14</f>
        <v>#DIV/0!</v>
      </c>
      <c r="F8" t="e">
        <f t="shared" si="1"/>
        <v>#DIV/0!</v>
      </c>
      <c r="J8" s="1" t="s">
        <v>226</v>
      </c>
      <c r="K8" t="e">
        <f t="shared" si="0"/>
        <v>#DIV/0!</v>
      </c>
    </row>
    <row r="9" spans="1:11" ht="17" x14ac:dyDescent="0.2">
      <c r="D9" t="s">
        <v>226</v>
      </c>
      <c r="E9" s="45" t="e">
        <f>'Resumo por Tópico'!B15</f>
        <v>#DIV/0!</v>
      </c>
      <c r="F9" t="e">
        <f t="shared" si="1"/>
        <v>#DIV/0!</v>
      </c>
      <c r="J9" s="1" t="s">
        <v>227</v>
      </c>
      <c r="K9" t="e">
        <f t="shared" si="0"/>
        <v>#DIV/0!</v>
      </c>
    </row>
    <row r="10" spans="1:11" ht="17" x14ac:dyDescent="0.2">
      <c r="D10" t="s">
        <v>227</v>
      </c>
      <c r="E10" s="45" t="e">
        <f>'Resumo por Tópico'!B16</f>
        <v>#DIV/0!</v>
      </c>
      <c r="F10" t="e">
        <f t="shared" si="1"/>
        <v>#DIV/0!</v>
      </c>
      <c r="J10" s="1" t="s">
        <v>228</v>
      </c>
      <c r="K10" t="e">
        <f t="shared" si="0"/>
        <v>#DIV/0!</v>
      </c>
    </row>
    <row r="11" spans="1:11" ht="17" x14ac:dyDescent="0.2">
      <c r="D11" t="s">
        <v>228</v>
      </c>
      <c r="E11" s="45" t="e">
        <f>'Resumo por Tópico'!B17</f>
        <v>#DIV/0!</v>
      </c>
      <c r="F11" t="e">
        <f t="shared" ref="F11:F14" si="2">IF(E11="", "", IFERROR(IF(E11&lt;=1.5, "Baixa", IF(E11&lt;=2.4, "Média", "Alta")), ""))</f>
        <v>#DIV/0!</v>
      </c>
      <c r="J11" s="1" t="s">
        <v>229</v>
      </c>
      <c r="K11" t="e">
        <f t="shared" si="0"/>
        <v>#DIV/0!</v>
      </c>
    </row>
    <row r="12" spans="1:11" ht="17" x14ac:dyDescent="0.2">
      <c r="D12" t="s">
        <v>229</v>
      </c>
      <c r="E12" s="45" t="e">
        <f>'Resumo por Tópico'!B18</f>
        <v>#DIV/0!</v>
      </c>
      <c r="F12" t="e">
        <f t="shared" si="2"/>
        <v>#DIV/0!</v>
      </c>
      <c r="J12" s="1" t="s">
        <v>230</v>
      </c>
      <c r="K12" t="e">
        <f t="shared" si="0"/>
        <v>#DIV/0!</v>
      </c>
    </row>
    <row r="13" spans="1:11" ht="17" x14ac:dyDescent="0.2">
      <c r="D13" t="s">
        <v>230</v>
      </c>
      <c r="E13" s="45" t="e">
        <f>'Resumo por Tópico'!B19</f>
        <v>#DIV/0!</v>
      </c>
      <c r="F13" t="e">
        <f t="shared" si="2"/>
        <v>#DIV/0!</v>
      </c>
      <c r="J13" s="1" t="s">
        <v>231</v>
      </c>
      <c r="K13" t="e">
        <f t="shared" si="0"/>
        <v>#DIV/0!</v>
      </c>
    </row>
    <row r="14" spans="1:11" x14ac:dyDescent="0.2">
      <c r="D14" t="s">
        <v>231</v>
      </c>
      <c r="E14" s="45" t="e">
        <f>'Resumo por Tópico'!B20</f>
        <v>#DIV/0!</v>
      </c>
      <c r="F14" t="e">
        <f t="shared" si="2"/>
        <v>#DIV/0!</v>
      </c>
    </row>
    <row r="16" spans="1:11" x14ac:dyDescent="0.2">
      <c r="A16" s="72" t="s">
        <v>171</v>
      </c>
    </row>
    <row r="17" spans="1:6" x14ac:dyDescent="0.2">
      <c r="A17" t="s">
        <v>31</v>
      </c>
      <c r="B17">
        <f>COUNTIF($F$18:$F$30,"Baixa")</f>
        <v>0</v>
      </c>
      <c r="D17" s="10" t="s">
        <v>3</v>
      </c>
      <c r="E17" s="11" t="s">
        <v>25</v>
      </c>
      <c r="F17" s="11" t="s">
        <v>27</v>
      </c>
    </row>
    <row r="18" spans="1:6" x14ac:dyDescent="0.2">
      <c r="A18" t="s">
        <v>29</v>
      </c>
      <c r="B18">
        <f>COUNTIF($F$18:F30,"Média")</f>
        <v>0</v>
      </c>
      <c r="D18" t="s">
        <v>219</v>
      </c>
      <c r="E18" s="45"/>
      <c r="F18" t="e">
        <f>Planilha5!D4</f>
        <v>#DIV/0!</v>
      </c>
    </row>
    <row r="19" spans="1:6" x14ac:dyDescent="0.2">
      <c r="A19" t="s">
        <v>30</v>
      </c>
      <c r="B19">
        <f>COUNTIF(F18:F30,"Alta")</f>
        <v>0</v>
      </c>
      <c r="D19" t="s">
        <v>220</v>
      </c>
      <c r="F19" t="e">
        <f>Planilha5!D5</f>
        <v>#DIV/0!</v>
      </c>
    </row>
    <row r="20" spans="1:6" x14ac:dyDescent="0.2">
      <c r="D20" t="s">
        <v>221</v>
      </c>
      <c r="F20" t="e">
        <f>Planilha5!D6</f>
        <v>#DIV/0!</v>
      </c>
    </row>
    <row r="21" spans="1:6" x14ac:dyDescent="0.2">
      <c r="D21" t="s">
        <v>222</v>
      </c>
      <c r="F21" t="e">
        <f>Planilha5!D7</f>
        <v>#DIV/0!</v>
      </c>
    </row>
    <row r="22" spans="1:6" x14ac:dyDescent="0.2">
      <c r="D22" t="s">
        <v>223</v>
      </c>
      <c r="F22" t="e">
        <f>Planilha5!D8</f>
        <v>#DIV/0!</v>
      </c>
    </row>
    <row r="23" spans="1:6" x14ac:dyDescent="0.2">
      <c r="D23" t="s">
        <v>224</v>
      </c>
      <c r="F23" t="e">
        <f>Planilha5!D9</f>
        <v>#DIV/0!</v>
      </c>
    </row>
    <row r="24" spans="1:6" x14ac:dyDescent="0.2">
      <c r="D24" t="s">
        <v>225</v>
      </c>
      <c r="F24" t="e">
        <f>Planilha5!D10</f>
        <v>#DIV/0!</v>
      </c>
    </row>
    <row r="25" spans="1:6" x14ac:dyDescent="0.2">
      <c r="D25" t="s">
        <v>226</v>
      </c>
      <c r="F25" t="e">
        <f>Planilha5!D11</f>
        <v>#DIV/0!</v>
      </c>
    </row>
    <row r="26" spans="1:6" x14ac:dyDescent="0.2">
      <c r="D26" t="s">
        <v>227</v>
      </c>
      <c r="F26" t="e">
        <f>Planilha5!D12</f>
        <v>#DIV/0!</v>
      </c>
    </row>
    <row r="27" spans="1:6" x14ac:dyDescent="0.2">
      <c r="A27" s="178" t="s">
        <v>180</v>
      </c>
      <c r="B27" s="178"/>
      <c r="D27" t="s">
        <v>228</v>
      </c>
      <c r="F27" t="e">
        <f>Planilha5!D13</f>
        <v>#DIV/0!</v>
      </c>
    </row>
    <row r="28" spans="1:6" x14ac:dyDescent="0.2">
      <c r="A28" t="s">
        <v>31</v>
      </c>
      <c r="B28">
        <f>COUNTIF(Tabela6[Gravidade  (Severidade) ],'Dados Gráficos'!A28)</f>
        <v>0</v>
      </c>
      <c r="D28" t="s">
        <v>229</v>
      </c>
      <c r="F28" t="e">
        <f>Planilha5!D14</f>
        <v>#DIV/0!</v>
      </c>
    </row>
    <row r="29" spans="1:6" x14ac:dyDescent="0.2">
      <c r="A29" t="s">
        <v>29</v>
      </c>
      <c r="B29">
        <f>COUNTIF(Tabela6[Gravidade  (Severidade) ],'Dados Gráficos'!A29)</f>
        <v>0</v>
      </c>
      <c r="D29" t="s">
        <v>230</v>
      </c>
      <c r="F29" t="e">
        <f>Planilha5!D15</f>
        <v>#DIV/0!</v>
      </c>
    </row>
    <row r="30" spans="1:6" x14ac:dyDescent="0.2">
      <c r="A30" t="s">
        <v>30</v>
      </c>
      <c r="B30">
        <f>COUNTIF(Tabela6[Gravidade  (Severidade) ],'Dados Gráficos'!A30)</f>
        <v>0</v>
      </c>
      <c r="D30" t="s">
        <v>231</v>
      </c>
      <c r="F30" t="e">
        <f>Planilha5!D16</f>
        <v>#DIV/0!</v>
      </c>
    </row>
  </sheetData>
  <mergeCells count="2">
    <mergeCell ref="A1:B1"/>
    <mergeCell ref="A27:B27"/>
  </mergeCells>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1D3F3-1583-4866-BBCA-6673A0AA6EA0}">
  <dimension ref="A3:D18"/>
  <sheetViews>
    <sheetView workbookViewId="0">
      <selection activeCell="A8" sqref="A8"/>
    </sheetView>
  </sheetViews>
  <sheetFormatPr baseColWidth="10" defaultColWidth="8.83203125" defaultRowHeight="15" x14ac:dyDescent="0.2"/>
  <cols>
    <col min="1" max="1" width="46.6640625" bestFit="1" customWidth="1"/>
    <col min="2" max="2" width="20" bestFit="1" customWidth="1"/>
    <col min="3" max="3" width="26.33203125" customWidth="1"/>
    <col min="4" max="4" width="16.1640625" customWidth="1"/>
  </cols>
  <sheetData>
    <row r="3" spans="1:4" x14ac:dyDescent="0.2">
      <c r="A3" s="73" t="s">
        <v>172</v>
      </c>
      <c r="B3" s="74" t="s">
        <v>174</v>
      </c>
    </row>
    <row r="4" spans="1:4" x14ac:dyDescent="0.2">
      <c r="A4" s="75" t="s">
        <v>219</v>
      </c>
      <c r="B4" s="74" t="e">
        <v>#DIV/0!</v>
      </c>
      <c r="C4" t="e">
        <f>ROUNDUP(GETPIVOTDATA("GravidadeNum",$A$3,"Tópico","Tópico 01 - Assédio de qualquer natureza no trabalho"),1)</f>
        <v>#DIV/0!</v>
      </c>
      <c r="D4" t="e">
        <f>IF(C4="", "", IFERROR(IF(C4&lt;=1.66, "Baixa", IF(C4&lt;=2.32, "Média", "Alta")), ""))</f>
        <v>#DIV/0!</v>
      </c>
    </row>
    <row r="5" spans="1:4" x14ac:dyDescent="0.2">
      <c r="A5" s="76" t="s">
        <v>220</v>
      </c>
      <c r="B5" s="147" t="e">
        <v>#DIV/0!</v>
      </c>
      <c r="C5" t="e">
        <f>ROUNDUP(GETPIVOTDATA("GravidadeNum",$A$3,"Tópico","Tópico 02 - Falta de suporte/apoio no trabalho"),1)</f>
        <v>#DIV/0!</v>
      </c>
      <c r="D5" t="e">
        <f t="shared" ref="D5:D16" si="0">IF(C5="", "", IFERROR(IF(C5&lt;=1.66, "Baixa", IF(C5&lt;=2.32, "Média", "Alta")), ""))</f>
        <v>#DIV/0!</v>
      </c>
    </row>
    <row r="6" spans="1:4" x14ac:dyDescent="0.2">
      <c r="A6" s="76" t="s">
        <v>221</v>
      </c>
      <c r="B6" s="147" t="e">
        <v>#DIV/0!</v>
      </c>
      <c r="C6" t="e">
        <f>ROUNDUP(GETPIVOTDATA("GravidadeNum",$A$3,"Tópico","Tópico 03 - Má gestão de mudanças organizacionais"),1)</f>
        <v>#DIV/0!</v>
      </c>
      <c r="D6" t="e">
        <f t="shared" si="0"/>
        <v>#DIV/0!</v>
      </c>
    </row>
    <row r="7" spans="1:4" x14ac:dyDescent="0.2">
      <c r="A7" s="76" t="s">
        <v>222</v>
      </c>
      <c r="B7" s="147" t="e">
        <v>#DIV/0!</v>
      </c>
      <c r="C7" t="e">
        <f>ROUNDUP(GETPIVOTDATA("GravidadeNum",$A$3,"Tópico","Tópico 04 - Baixa clareza de papel/função"),1)</f>
        <v>#DIV/0!</v>
      </c>
      <c r="D7" t="e">
        <f t="shared" si="0"/>
        <v>#DIV/0!</v>
      </c>
    </row>
    <row r="8" spans="1:4" x14ac:dyDescent="0.2">
      <c r="A8" s="76" t="s">
        <v>223</v>
      </c>
      <c r="B8" s="147" t="e">
        <v>#DIV/0!</v>
      </c>
      <c r="C8" t="e">
        <f>ROUNDUP(GETPIVOTDATA("GravidadeNum",$A$3,"Tópico","Tópico 05 - Baixas recompensas e reconhecimento"),1)</f>
        <v>#DIV/0!</v>
      </c>
      <c r="D8" t="e">
        <f t="shared" si="0"/>
        <v>#DIV/0!</v>
      </c>
    </row>
    <row r="9" spans="1:4" x14ac:dyDescent="0.2">
      <c r="A9" s="76" t="s">
        <v>224</v>
      </c>
      <c r="B9" s="147" t="e">
        <v>#DIV/0!</v>
      </c>
      <c r="C9" t="e">
        <f>ROUNDUP(GETPIVOTDATA("GravidadeNum",$A$3,"Tópico","Tópico 06 - Baixo controle no trabalho / Falta de autonomia"),1)</f>
        <v>#DIV/0!</v>
      </c>
      <c r="D9" t="e">
        <f t="shared" si="0"/>
        <v>#DIV/0!</v>
      </c>
    </row>
    <row r="10" spans="1:4" x14ac:dyDescent="0.2">
      <c r="A10" s="76" t="s">
        <v>225</v>
      </c>
      <c r="B10" s="147" t="e">
        <v>#DIV/0!</v>
      </c>
      <c r="C10" t="e">
        <f>ROUNDUP(GETPIVOTDATA("GravidadeNum",$A$3,"Tópico","Tópico 07 - Baixa justiça organizacional"),1)</f>
        <v>#DIV/0!</v>
      </c>
      <c r="D10" t="e">
        <f t="shared" si="0"/>
        <v>#DIV/0!</v>
      </c>
    </row>
    <row r="11" spans="1:4" x14ac:dyDescent="0.2">
      <c r="A11" s="76" t="s">
        <v>226</v>
      </c>
      <c r="B11" s="147" t="e">
        <v>#DIV/0!</v>
      </c>
      <c r="C11" t="e">
        <f>ROUNDUP(GETPIVOTDATA("GravidadeNum",$A$3,"Tópico","Tópico 08 - Eventos violentos ou traumáticos"),1)</f>
        <v>#DIV/0!</v>
      </c>
      <c r="D11" t="e">
        <f t="shared" si="0"/>
        <v>#DIV/0!</v>
      </c>
    </row>
    <row r="12" spans="1:4" x14ac:dyDescent="0.2">
      <c r="A12" s="76" t="s">
        <v>227</v>
      </c>
      <c r="B12" s="147" t="e">
        <v>#DIV/0!</v>
      </c>
      <c r="C12" t="e">
        <f>ROUNDUP(GETPIVOTDATA("GravidadeNum",$A$3,"Tópico","Tópico 09 - Baixa demanda no trabalho (Subcarga)"),1)</f>
        <v>#DIV/0!</v>
      </c>
      <c r="D12" t="e">
        <f t="shared" si="0"/>
        <v>#DIV/0!</v>
      </c>
    </row>
    <row r="13" spans="1:4" x14ac:dyDescent="0.2">
      <c r="A13" s="76" t="s">
        <v>228</v>
      </c>
      <c r="B13" s="147" t="e">
        <v>#DIV/0!</v>
      </c>
      <c r="C13" t="e">
        <f>ROUNDUP(GETPIVOTDATA("GravidadeNum",$A$3,"Tópico","Tópico 10 - Excesso de demandas no trabalho (Sobrecarga)"),1)</f>
        <v>#DIV/0!</v>
      </c>
      <c r="D13" t="e">
        <f t="shared" si="0"/>
        <v>#DIV/0!</v>
      </c>
    </row>
    <row r="14" spans="1:4" x14ac:dyDescent="0.2">
      <c r="A14" s="76" t="s">
        <v>229</v>
      </c>
      <c r="B14" s="147" t="e">
        <v>#DIV/0!</v>
      </c>
      <c r="C14" t="e">
        <f>ROUNDUP(GETPIVOTDATA("GravidadeNum",$A$3,"Tópico","Tópico 11 - Maus relacionamentos no local de trabalho"),1)</f>
        <v>#DIV/0!</v>
      </c>
      <c r="D14" t="e">
        <f t="shared" si="0"/>
        <v>#DIV/0!</v>
      </c>
    </row>
    <row r="15" spans="1:4" x14ac:dyDescent="0.2">
      <c r="A15" s="76" t="s">
        <v>230</v>
      </c>
      <c r="B15" s="147" t="e">
        <v>#DIV/0!</v>
      </c>
      <c r="C15" t="e">
        <f>ROUNDUP(GETPIVOTDATA("GravidadeNum",$A$3,"Tópico","Tópico 12 - Trabalho em condições de difícil comunicação"),1)</f>
        <v>#DIV/0!</v>
      </c>
      <c r="D15" t="e">
        <f t="shared" si="0"/>
        <v>#DIV/0!</v>
      </c>
    </row>
    <row r="16" spans="1:4" x14ac:dyDescent="0.2">
      <c r="A16" s="76" t="s">
        <v>231</v>
      </c>
      <c r="B16" s="147" t="e">
        <v>#DIV/0!</v>
      </c>
      <c r="C16" t="e">
        <f>ROUNDUP(GETPIVOTDATA("GravidadeNum",$A$3,"Tópico","Tópico 13 - Trabalho remoto e isolado"),1)</f>
        <v>#DIV/0!</v>
      </c>
      <c r="D16" t="e">
        <f t="shared" si="0"/>
        <v>#DIV/0!</v>
      </c>
    </row>
    <row r="17" spans="1:2" x14ac:dyDescent="0.2">
      <c r="A17" s="76" t="s">
        <v>245</v>
      </c>
      <c r="B17" s="147" t="e">
        <v>#DIV/0!</v>
      </c>
    </row>
    <row r="18" spans="1:2" x14ac:dyDescent="0.2">
      <c r="A18" s="77" t="s">
        <v>173</v>
      </c>
      <c r="B18" s="148" t="e">
        <v>#DIV/0!</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CA437-67E9-4717-98E2-947A9A2383EA}">
  <dimension ref="A1:A4"/>
  <sheetViews>
    <sheetView workbookViewId="0">
      <selection activeCell="A4" sqref="A4"/>
    </sheetView>
  </sheetViews>
  <sheetFormatPr baseColWidth="10" defaultColWidth="8.83203125" defaultRowHeight="15" x14ac:dyDescent="0.2"/>
  <sheetData>
    <row r="1" spans="1:1" x14ac:dyDescent="0.2">
      <c r="A1" s="6" t="s">
        <v>56</v>
      </c>
    </row>
    <row r="2" spans="1:1" x14ac:dyDescent="0.2">
      <c r="A2" s="6" t="s">
        <v>57</v>
      </c>
    </row>
    <row r="3" spans="1:1" x14ac:dyDescent="0.2">
      <c r="A3" s="6" t="s">
        <v>58</v>
      </c>
    </row>
    <row r="4" spans="1:1" x14ac:dyDescent="0.2">
      <c r="A4" s="6" t="s">
        <v>59</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69147-FFA1-4023-8830-82FE56C7C1EC}">
  <sheetPr>
    <tabColor rgb="FF356854"/>
  </sheetPr>
  <dimension ref="A1:M16"/>
  <sheetViews>
    <sheetView showGridLines="0" zoomScale="172" zoomScaleNormal="172" workbookViewId="0">
      <selection activeCell="A10" sqref="A10"/>
    </sheetView>
  </sheetViews>
  <sheetFormatPr baseColWidth="10" defaultColWidth="12.6640625" defaultRowHeight="15.75" customHeight="1" x14ac:dyDescent="0.2"/>
  <cols>
    <col min="1" max="1" width="55.1640625" customWidth="1"/>
    <col min="2" max="2" width="12.33203125" customWidth="1"/>
    <col min="3" max="3" width="9.6640625" customWidth="1"/>
    <col min="4" max="4" width="10" customWidth="1"/>
    <col min="5" max="5" width="11.1640625" customWidth="1"/>
    <col min="6" max="6" width="10.6640625" customWidth="1"/>
    <col min="7" max="7" width="11.5" customWidth="1"/>
    <col min="8" max="8" width="14.5" customWidth="1"/>
    <col min="9" max="9" width="12.6640625" customWidth="1"/>
    <col min="10" max="10" width="15.83203125" customWidth="1"/>
    <col min="11" max="11" width="9.83203125" customWidth="1"/>
    <col min="12" max="12" width="13.5" bestFit="1" customWidth="1"/>
    <col min="13" max="13" width="13.83203125" bestFit="1" customWidth="1"/>
  </cols>
  <sheetData>
    <row r="1" spans="1:13" ht="26" x14ac:dyDescent="0.2">
      <c r="A1" s="179" t="s">
        <v>168</v>
      </c>
      <c r="B1" s="180"/>
      <c r="C1" s="180"/>
      <c r="D1" s="180"/>
      <c r="E1" s="180"/>
      <c r="F1" s="180"/>
      <c r="G1" s="180"/>
      <c r="H1" s="180"/>
      <c r="I1" s="180"/>
      <c r="J1" s="180"/>
      <c r="K1" s="180"/>
      <c r="L1" s="180"/>
      <c r="M1" s="180"/>
    </row>
    <row r="2" spans="1:13" ht="17" x14ac:dyDescent="0.2">
      <c r="A2" s="181" t="s">
        <v>65</v>
      </c>
      <c r="B2" s="183" t="s">
        <v>169</v>
      </c>
      <c r="C2" s="184"/>
      <c r="D2" s="184"/>
      <c r="E2" s="184"/>
      <c r="F2" s="184"/>
      <c r="G2" s="184"/>
      <c r="H2" s="184"/>
      <c r="I2" s="184"/>
      <c r="J2" s="184"/>
      <c r="K2" s="184"/>
      <c r="L2" s="184"/>
      <c r="M2" s="185"/>
    </row>
    <row r="3" spans="1:13" ht="16" x14ac:dyDescent="0.2">
      <c r="A3" s="182"/>
      <c r="B3" s="128">
        <v>46082</v>
      </c>
      <c r="C3" s="128">
        <v>46113</v>
      </c>
      <c r="D3" s="128">
        <v>46143</v>
      </c>
      <c r="E3" s="128">
        <v>46174</v>
      </c>
      <c r="F3" s="129">
        <v>46204</v>
      </c>
      <c r="G3" s="128">
        <v>46235</v>
      </c>
      <c r="H3" s="128">
        <v>46266</v>
      </c>
      <c r="I3" s="128">
        <v>46296</v>
      </c>
      <c r="J3" s="128">
        <v>46327</v>
      </c>
      <c r="K3" s="130">
        <v>46357</v>
      </c>
      <c r="L3" s="128">
        <v>46388</v>
      </c>
      <c r="M3" s="128">
        <v>46419</v>
      </c>
    </row>
    <row r="4" spans="1:13" ht="16" x14ac:dyDescent="0.2">
      <c r="A4" s="124" t="s">
        <v>66</v>
      </c>
      <c r="B4" s="126"/>
      <c r="C4" s="12"/>
      <c r="D4" s="12"/>
      <c r="E4" s="13"/>
      <c r="F4" s="13"/>
      <c r="G4" s="12"/>
      <c r="H4" s="12"/>
      <c r="I4" s="12"/>
      <c r="J4" s="12"/>
      <c r="K4" s="12"/>
      <c r="L4" s="12"/>
      <c r="M4" s="12"/>
    </row>
    <row r="5" spans="1:13" ht="15" x14ac:dyDescent="0.2">
      <c r="A5" s="125" t="s">
        <v>156</v>
      </c>
      <c r="B5" s="60"/>
      <c r="C5" s="14"/>
      <c r="D5" s="126"/>
      <c r="E5" s="12"/>
      <c r="F5" s="12"/>
      <c r="G5" s="12"/>
      <c r="H5" s="12"/>
      <c r="I5" s="12"/>
      <c r="J5" s="12"/>
      <c r="K5" s="12"/>
      <c r="L5" s="12"/>
      <c r="M5" s="12"/>
    </row>
    <row r="6" spans="1:13" ht="15" x14ac:dyDescent="0.2">
      <c r="A6" s="125" t="s">
        <v>157</v>
      </c>
      <c r="B6" s="60"/>
      <c r="C6" s="12"/>
      <c r="D6" s="14"/>
      <c r="E6" s="12"/>
      <c r="F6" s="126"/>
      <c r="G6" s="12"/>
      <c r="H6" s="12"/>
      <c r="I6" s="12"/>
      <c r="J6" s="12"/>
      <c r="K6" s="12"/>
      <c r="L6" s="12"/>
      <c r="M6" s="12"/>
    </row>
    <row r="7" spans="1:13" ht="15" x14ac:dyDescent="0.2">
      <c r="A7" s="125" t="s">
        <v>158</v>
      </c>
      <c r="B7" s="60"/>
      <c r="C7" s="12"/>
      <c r="D7" s="12"/>
      <c r="E7" s="14"/>
      <c r="F7" s="12"/>
      <c r="G7" s="131"/>
      <c r="H7" s="12"/>
      <c r="I7" s="12"/>
      <c r="J7" s="12"/>
      <c r="K7" s="12"/>
      <c r="L7" s="12"/>
      <c r="M7" s="12"/>
    </row>
    <row r="8" spans="1:13" ht="15" x14ac:dyDescent="0.2">
      <c r="A8" s="125" t="s">
        <v>159</v>
      </c>
      <c r="B8" s="60"/>
      <c r="C8" s="12"/>
      <c r="D8" s="12"/>
      <c r="E8" s="12"/>
      <c r="F8" s="12"/>
      <c r="G8" s="15"/>
      <c r="H8" s="12"/>
      <c r="I8" s="12"/>
      <c r="J8" s="12"/>
      <c r="K8" s="12"/>
      <c r="L8" s="12"/>
      <c r="M8" s="12"/>
    </row>
    <row r="9" spans="1:13" ht="15" x14ac:dyDescent="0.2">
      <c r="A9" s="125" t="s">
        <v>160</v>
      </c>
      <c r="B9" s="60"/>
      <c r="C9" s="126"/>
      <c r="D9" s="12"/>
      <c r="E9" s="12"/>
      <c r="F9" s="12"/>
      <c r="G9" s="12"/>
      <c r="H9" s="12"/>
      <c r="I9" s="12"/>
      <c r="J9" s="12"/>
      <c r="K9" s="12"/>
      <c r="L9" s="12"/>
      <c r="M9" s="12"/>
    </row>
    <row r="10" spans="1:13" ht="15" x14ac:dyDescent="0.2">
      <c r="A10" s="125" t="s">
        <v>161</v>
      </c>
      <c r="B10" s="60"/>
      <c r="C10" s="12"/>
      <c r="D10" s="12"/>
      <c r="E10" s="12"/>
      <c r="F10" s="12"/>
      <c r="G10" s="12"/>
      <c r="H10" s="126"/>
      <c r="I10" s="12"/>
      <c r="J10" s="12"/>
      <c r="K10" s="12"/>
      <c r="L10" s="12"/>
      <c r="M10" s="12"/>
    </row>
    <row r="11" spans="1:13" ht="15" x14ac:dyDescent="0.2">
      <c r="A11" s="125" t="s">
        <v>162</v>
      </c>
      <c r="B11" s="60"/>
      <c r="C11" s="127"/>
      <c r="D11" s="12"/>
      <c r="E11" s="126"/>
      <c r="F11" s="12"/>
      <c r="G11" s="12"/>
      <c r="H11" s="12"/>
      <c r="I11" s="12"/>
      <c r="J11" s="12"/>
      <c r="K11" s="12"/>
      <c r="L11" s="12"/>
      <c r="M11" s="12"/>
    </row>
    <row r="12" spans="1:13" ht="15" x14ac:dyDescent="0.2">
      <c r="A12" s="125" t="s">
        <v>163</v>
      </c>
      <c r="B12" s="60"/>
      <c r="C12" s="12"/>
      <c r="D12" s="12"/>
      <c r="E12" s="12"/>
      <c r="F12" s="12"/>
      <c r="G12" s="12"/>
      <c r="H12" s="12"/>
      <c r="I12" s="126"/>
      <c r="J12" s="12"/>
      <c r="K12" s="12"/>
      <c r="L12" s="12"/>
      <c r="M12" s="12"/>
    </row>
    <row r="13" spans="1:13" ht="15" x14ac:dyDescent="0.2">
      <c r="A13" s="125" t="s">
        <v>164</v>
      </c>
      <c r="B13" s="60"/>
      <c r="C13" s="12"/>
      <c r="D13" s="12"/>
      <c r="E13" s="12"/>
      <c r="F13" s="12"/>
      <c r="G13" s="12"/>
      <c r="H13" s="12"/>
      <c r="I13" s="12"/>
      <c r="J13" s="126"/>
      <c r="K13" s="12"/>
      <c r="L13" s="12"/>
      <c r="M13" s="12"/>
    </row>
    <row r="14" spans="1:13" ht="15" x14ac:dyDescent="0.2">
      <c r="A14" s="125" t="s">
        <v>165</v>
      </c>
      <c r="B14" s="60"/>
      <c r="C14" s="12"/>
      <c r="D14" s="12"/>
      <c r="E14" s="12"/>
      <c r="F14" s="12"/>
      <c r="G14" s="12"/>
      <c r="H14" s="12"/>
      <c r="I14" s="12"/>
      <c r="J14" s="12"/>
      <c r="K14" s="126"/>
      <c r="L14" s="12"/>
      <c r="M14" s="12"/>
    </row>
    <row r="15" spans="1:13" ht="15" x14ac:dyDescent="0.2">
      <c r="A15" s="125" t="s">
        <v>166</v>
      </c>
      <c r="B15" s="60"/>
      <c r="C15" s="12"/>
      <c r="D15" s="12"/>
      <c r="E15" s="12"/>
      <c r="F15" s="12"/>
      <c r="G15" s="12"/>
      <c r="H15" s="12"/>
      <c r="I15" s="12"/>
      <c r="J15" s="12"/>
      <c r="K15" s="12"/>
      <c r="L15" s="126"/>
      <c r="M15" s="14"/>
    </row>
    <row r="16" spans="1:13" ht="15" x14ac:dyDescent="0.2">
      <c r="A16" s="125" t="s">
        <v>167</v>
      </c>
      <c r="B16" s="60"/>
      <c r="C16" s="12"/>
      <c r="D16" s="12"/>
      <c r="E16" s="12"/>
      <c r="F16" s="12"/>
      <c r="G16" s="12"/>
      <c r="H16" s="12"/>
      <c r="I16" s="12"/>
      <c r="J16" s="12"/>
      <c r="K16" s="12"/>
      <c r="L16" s="14"/>
      <c r="M16" s="126"/>
    </row>
  </sheetData>
  <mergeCells count="3">
    <mergeCell ref="A1:M1"/>
    <mergeCell ref="A2:A3"/>
    <mergeCell ref="B2:M2"/>
  </mergeCells>
  <pageMargins left="0.511811024" right="0.511811024" top="0.78740157499999996" bottom="0.78740157499999996" header="0.31496062000000002" footer="0.31496062000000002"/>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922DB-038F-44CC-A011-0D24587E58C4}">
  <sheetPr>
    <tabColor theme="1"/>
  </sheetPr>
  <dimension ref="A1:I6"/>
  <sheetViews>
    <sheetView showGridLines="0" workbookViewId="0">
      <selection activeCell="H23" sqref="H23"/>
    </sheetView>
  </sheetViews>
  <sheetFormatPr baseColWidth="10" defaultColWidth="12.6640625" defaultRowHeight="15.75" customHeight="1" x14ac:dyDescent="0.2"/>
  <cols>
    <col min="4" max="4" width="55.83203125" customWidth="1"/>
    <col min="5" max="5" width="7.6640625" customWidth="1"/>
    <col min="9" max="9" width="39.83203125" customWidth="1"/>
  </cols>
  <sheetData>
    <row r="1" spans="1:9" ht="24" x14ac:dyDescent="0.3">
      <c r="A1" s="189" t="s">
        <v>67</v>
      </c>
      <c r="B1" s="190"/>
      <c r="C1" s="190"/>
      <c r="D1" s="191"/>
    </row>
    <row r="2" spans="1:9" ht="16" x14ac:dyDescent="0.2">
      <c r="A2" s="192" t="s">
        <v>68</v>
      </c>
      <c r="B2" s="193"/>
      <c r="C2" s="193"/>
      <c r="D2" s="194"/>
    </row>
    <row r="3" spans="1:9" ht="23" x14ac:dyDescent="0.2">
      <c r="A3" s="195" t="s">
        <v>69</v>
      </c>
      <c r="B3" s="196"/>
      <c r="C3" s="197"/>
      <c r="D3" s="198" t="s">
        <v>70</v>
      </c>
    </row>
    <row r="4" spans="1:9" ht="37" x14ac:dyDescent="0.45">
      <c r="A4" s="200" t="s">
        <v>71</v>
      </c>
      <c r="B4" s="187"/>
      <c r="C4" s="188"/>
      <c r="D4" s="199"/>
      <c r="G4" s="186" t="s">
        <v>72</v>
      </c>
      <c r="H4" s="187"/>
      <c r="I4" s="188"/>
    </row>
    <row r="5" spans="1:9" ht="23" x14ac:dyDescent="0.2">
      <c r="A5" s="201" t="s">
        <v>73</v>
      </c>
      <c r="B5" s="202"/>
      <c r="C5" s="203"/>
      <c r="D5" s="198" t="s">
        <v>130</v>
      </c>
      <c r="E5" s="204" t="s">
        <v>74</v>
      </c>
      <c r="F5" s="205"/>
      <c r="G5" s="206" t="s">
        <v>131</v>
      </c>
      <c r="H5" s="207"/>
      <c r="I5" s="208"/>
    </row>
    <row r="6" spans="1:9" ht="23" x14ac:dyDescent="0.2">
      <c r="A6" s="212" t="s">
        <v>129</v>
      </c>
      <c r="B6" s="213"/>
      <c r="C6" s="214"/>
      <c r="D6" s="199"/>
      <c r="E6" s="205"/>
      <c r="F6" s="205"/>
      <c r="G6" s="209"/>
      <c r="H6" s="210"/>
      <c r="I6" s="211"/>
    </row>
  </sheetData>
  <mergeCells count="11">
    <mergeCell ref="A5:C5"/>
    <mergeCell ref="D5:D6"/>
    <mergeCell ref="E5:F6"/>
    <mergeCell ref="G5:I6"/>
    <mergeCell ref="A6:C6"/>
    <mergeCell ref="G4:I4"/>
    <mergeCell ref="A1:D1"/>
    <mergeCell ref="A2:D2"/>
    <mergeCell ref="A3:C3"/>
    <mergeCell ref="D3:D4"/>
    <mergeCell ref="A4:C4"/>
  </mergeCells>
  <pageMargins left="0.511811024" right="0.511811024" top="0.78740157499999996" bottom="0.78740157499999996" header="0.31496062000000002" footer="0.31496062000000002"/>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EB67C-775B-CC48-96EA-5CE45158DF4B}">
  <sheetPr>
    <tabColor rgb="FF356854"/>
  </sheetPr>
  <dimension ref="A1:D134"/>
  <sheetViews>
    <sheetView showGridLines="0" zoomScale="80" zoomScaleNormal="80" zoomScaleSheetLayoutView="100" workbookViewId="0">
      <selection activeCell="A8" sqref="A8:A10"/>
    </sheetView>
  </sheetViews>
  <sheetFormatPr baseColWidth="10" defaultColWidth="8.83203125" defaultRowHeight="21" x14ac:dyDescent="0.25"/>
  <cols>
    <col min="1" max="1" width="35.33203125" style="27" bestFit="1" customWidth="1"/>
    <col min="2" max="2" width="130" style="21" customWidth="1"/>
    <col min="3" max="3" width="181.1640625" style="21" bestFit="1" customWidth="1"/>
    <col min="4" max="4" width="47.1640625" style="25" bestFit="1" customWidth="1"/>
    <col min="5" max="16384" width="8.83203125" style="21"/>
  </cols>
  <sheetData>
    <row r="1" spans="1:4" ht="42" customHeight="1" x14ac:dyDescent="0.3">
      <c r="A1" s="227" t="s">
        <v>82</v>
      </c>
      <c r="B1" s="228"/>
      <c r="C1" s="228"/>
      <c r="D1" s="229"/>
    </row>
    <row r="2" spans="1:4" ht="22" x14ac:dyDescent="0.25">
      <c r="A2" s="51" t="s">
        <v>83</v>
      </c>
      <c r="B2" s="230" t="s">
        <v>170</v>
      </c>
      <c r="C2" s="231"/>
      <c r="D2" s="232"/>
    </row>
    <row r="3" spans="1:4" ht="22" x14ac:dyDescent="0.25">
      <c r="A3" s="51" t="s">
        <v>135</v>
      </c>
      <c r="B3" s="57" t="s">
        <v>136</v>
      </c>
      <c r="C3" s="53"/>
      <c r="D3" s="54"/>
    </row>
    <row r="4" spans="1:4" ht="22" x14ac:dyDescent="0.3">
      <c r="A4" s="26" t="s">
        <v>84</v>
      </c>
      <c r="B4" s="22" t="s">
        <v>5</v>
      </c>
      <c r="C4" s="22" t="s">
        <v>85</v>
      </c>
      <c r="D4" s="24" t="s">
        <v>86</v>
      </c>
    </row>
    <row r="5" spans="1:4" ht="22" x14ac:dyDescent="0.3">
      <c r="A5" s="221" t="s">
        <v>87</v>
      </c>
      <c r="B5" s="23" t="s">
        <v>88</v>
      </c>
      <c r="C5" s="23" t="s">
        <v>89</v>
      </c>
      <c r="D5" s="224" t="s">
        <v>90</v>
      </c>
    </row>
    <row r="6" spans="1:4" ht="22" x14ac:dyDescent="0.3">
      <c r="A6" s="222"/>
      <c r="B6" s="23" t="s">
        <v>91</v>
      </c>
      <c r="C6" s="23" t="s">
        <v>92</v>
      </c>
      <c r="D6" s="225"/>
    </row>
    <row r="7" spans="1:4" ht="22" x14ac:dyDescent="0.3">
      <c r="A7" s="223"/>
      <c r="B7" s="23" t="s">
        <v>93</v>
      </c>
      <c r="C7" s="23" t="s">
        <v>94</v>
      </c>
      <c r="D7" s="225"/>
    </row>
    <row r="8" spans="1:4" ht="22" x14ac:dyDescent="0.3">
      <c r="A8" s="221" t="s">
        <v>95</v>
      </c>
      <c r="B8" s="23" t="s">
        <v>96</v>
      </c>
      <c r="C8" s="23" t="s">
        <v>97</v>
      </c>
      <c r="D8" s="225"/>
    </row>
    <row r="9" spans="1:4" ht="22" x14ac:dyDescent="0.3">
      <c r="A9" s="222"/>
      <c r="B9" s="23" t="s">
        <v>98</v>
      </c>
      <c r="C9" s="23" t="s">
        <v>99</v>
      </c>
      <c r="D9" s="225"/>
    </row>
    <row r="10" spans="1:4" ht="22" x14ac:dyDescent="0.3">
      <c r="A10" s="223"/>
      <c r="B10" s="23" t="s">
        <v>100</v>
      </c>
      <c r="C10" s="23" t="s">
        <v>101</v>
      </c>
      <c r="D10" s="225"/>
    </row>
    <row r="11" spans="1:4" ht="22" x14ac:dyDescent="0.3">
      <c r="A11" s="221" t="s">
        <v>102</v>
      </c>
      <c r="B11" s="23" t="s">
        <v>103</v>
      </c>
      <c r="C11" s="23" t="s">
        <v>104</v>
      </c>
      <c r="D11" s="225"/>
    </row>
    <row r="12" spans="1:4" ht="22" x14ac:dyDescent="0.3">
      <c r="A12" s="222"/>
      <c r="B12" s="23" t="s">
        <v>105</v>
      </c>
      <c r="C12" s="23" t="s">
        <v>106</v>
      </c>
      <c r="D12" s="225"/>
    </row>
    <row r="13" spans="1:4" ht="22" x14ac:dyDescent="0.3">
      <c r="A13" s="222"/>
      <c r="B13" s="23" t="s">
        <v>107</v>
      </c>
      <c r="C13" s="23" t="s">
        <v>108</v>
      </c>
      <c r="D13" s="225"/>
    </row>
    <row r="14" spans="1:4" ht="22" x14ac:dyDescent="0.3">
      <c r="A14" s="223"/>
      <c r="B14" s="23" t="s">
        <v>109</v>
      </c>
      <c r="C14" s="23" t="s">
        <v>110</v>
      </c>
      <c r="D14" s="226"/>
    </row>
    <row r="15" spans="1:4" ht="22" x14ac:dyDescent="0.3">
      <c r="A15" s="49"/>
      <c r="B15" s="50"/>
      <c r="C15" s="50"/>
      <c r="D15" s="48"/>
    </row>
    <row r="16" spans="1:4" ht="22" x14ac:dyDescent="0.3">
      <c r="A16" s="215" t="s">
        <v>82</v>
      </c>
      <c r="B16" s="216"/>
      <c r="C16" s="216"/>
      <c r="D16" s="217"/>
    </row>
    <row r="17" spans="1:4" ht="22" x14ac:dyDescent="0.25">
      <c r="A17" s="51" t="s">
        <v>83</v>
      </c>
      <c r="B17" s="218"/>
      <c r="C17" s="219"/>
      <c r="D17" s="220"/>
    </row>
    <row r="18" spans="1:4" ht="22" x14ac:dyDescent="0.25">
      <c r="A18" s="51" t="s">
        <v>135</v>
      </c>
      <c r="B18" s="57" t="s">
        <v>137</v>
      </c>
      <c r="C18" s="53"/>
      <c r="D18" s="54"/>
    </row>
    <row r="19" spans="1:4" ht="22" x14ac:dyDescent="0.3">
      <c r="A19" s="26" t="s">
        <v>84</v>
      </c>
      <c r="B19" s="22" t="s">
        <v>5</v>
      </c>
      <c r="C19" s="22" t="s">
        <v>85</v>
      </c>
      <c r="D19" s="24" t="s">
        <v>86</v>
      </c>
    </row>
    <row r="20" spans="1:4" ht="22" x14ac:dyDescent="0.3">
      <c r="A20" s="221" t="s">
        <v>87</v>
      </c>
      <c r="B20" s="23" t="s">
        <v>88</v>
      </c>
      <c r="C20" s="23" t="s">
        <v>89</v>
      </c>
      <c r="D20" s="224" t="s">
        <v>90</v>
      </c>
    </row>
    <row r="21" spans="1:4" ht="22" x14ac:dyDescent="0.3">
      <c r="A21" s="222"/>
      <c r="B21" s="23" t="s">
        <v>91</v>
      </c>
      <c r="C21" s="23" t="s">
        <v>92</v>
      </c>
      <c r="D21" s="225"/>
    </row>
    <row r="22" spans="1:4" ht="22" x14ac:dyDescent="0.3">
      <c r="A22" s="223"/>
      <c r="B22" s="23" t="s">
        <v>93</v>
      </c>
      <c r="C22" s="23" t="s">
        <v>94</v>
      </c>
      <c r="D22" s="225"/>
    </row>
    <row r="23" spans="1:4" ht="22" x14ac:dyDescent="0.3">
      <c r="A23" s="221" t="s">
        <v>95</v>
      </c>
      <c r="B23" s="23" t="s">
        <v>96</v>
      </c>
      <c r="C23" s="23" t="s">
        <v>97</v>
      </c>
      <c r="D23" s="225"/>
    </row>
    <row r="24" spans="1:4" ht="22" x14ac:dyDescent="0.3">
      <c r="A24" s="222"/>
      <c r="B24" s="23" t="s">
        <v>98</v>
      </c>
      <c r="C24" s="23" t="s">
        <v>99</v>
      </c>
      <c r="D24" s="225"/>
    </row>
    <row r="25" spans="1:4" ht="22" x14ac:dyDescent="0.3">
      <c r="A25" s="223"/>
      <c r="B25" s="23" t="s">
        <v>100</v>
      </c>
      <c r="C25" s="23" t="s">
        <v>101</v>
      </c>
      <c r="D25" s="225"/>
    </row>
    <row r="26" spans="1:4" ht="22" x14ac:dyDescent="0.3">
      <c r="A26" s="221" t="s">
        <v>102</v>
      </c>
      <c r="B26" s="23" t="s">
        <v>103</v>
      </c>
      <c r="C26" s="23" t="s">
        <v>104</v>
      </c>
      <c r="D26" s="225"/>
    </row>
    <row r="27" spans="1:4" ht="22" x14ac:dyDescent="0.3">
      <c r="A27" s="222"/>
      <c r="B27" s="23" t="s">
        <v>105</v>
      </c>
      <c r="C27" s="23" t="s">
        <v>106</v>
      </c>
      <c r="D27" s="225"/>
    </row>
    <row r="28" spans="1:4" ht="22" x14ac:dyDescent="0.3">
      <c r="A28" s="222"/>
      <c r="B28" s="23" t="s">
        <v>107</v>
      </c>
      <c r="C28" s="23" t="s">
        <v>108</v>
      </c>
      <c r="D28" s="225"/>
    </row>
    <row r="29" spans="1:4" ht="22" x14ac:dyDescent="0.3">
      <c r="A29" s="223"/>
      <c r="B29" s="23" t="s">
        <v>109</v>
      </c>
      <c r="C29" s="23" t="s">
        <v>110</v>
      </c>
      <c r="D29" s="226"/>
    </row>
    <row r="30" spans="1:4" ht="22" x14ac:dyDescent="0.3">
      <c r="A30" s="49"/>
      <c r="B30" s="50"/>
      <c r="C30" s="50"/>
      <c r="D30" s="48"/>
    </row>
    <row r="31" spans="1:4" ht="22" x14ac:dyDescent="0.3">
      <c r="A31" s="215" t="s">
        <v>82</v>
      </c>
      <c r="B31" s="216"/>
      <c r="C31" s="216"/>
      <c r="D31" s="217"/>
    </row>
    <row r="32" spans="1:4" ht="22" x14ac:dyDescent="0.25">
      <c r="A32" s="51" t="s">
        <v>83</v>
      </c>
      <c r="B32" s="218"/>
      <c r="C32" s="219"/>
      <c r="D32" s="220"/>
    </row>
    <row r="33" spans="1:4" ht="22" x14ac:dyDescent="0.25">
      <c r="A33" s="51" t="s">
        <v>135</v>
      </c>
      <c r="B33" s="58" t="s">
        <v>48</v>
      </c>
      <c r="C33" s="53"/>
      <c r="D33" s="54"/>
    </row>
    <row r="34" spans="1:4" ht="22" x14ac:dyDescent="0.3">
      <c r="A34" s="26" t="s">
        <v>84</v>
      </c>
      <c r="B34" s="22" t="s">
        <v>5</v>
      </c>
      <c r="C34" s="22" t="s">
        <v>85</v>
      </c>
      <c r="D34" s="24" t="s">
        <v>86</v>
      </c>
    </row>
    <row r="35" spans="1:4" ht="22" x14ac:dyDescent="0.3">
      <c r="A35" s="221" t="s">
        <v>87</v>
      </c>
      <c r="B35" s="23" t="s">
        <v>88</v>
      </c>
      <c r="C35" s="23" t="s">
        <v>89</v>
      </c>
      <c r="D35" s="224" t="s">
        <v>90</v>
      </c>
    </row>
    <row r="36" spans="1:4" ht="22" x14ac:dyDescent="0.3">
      <c r="A36" s="222"/>
      <c r="B36" s="23" t="s">
        <v>91</v>
      </c>
      <c r="C36" s="23" t="s">
        <v>92</v>
      </c>
      <c r="D36" s="225"/>
    </row>
    <row r="37" spans="1:4" ht="22" x14ac:dyDescent="0.3">
      <c r="A37" s="223"/>
      <c r="B37" s="23" t="s">
        <v>93</v>
      </c>
      <c r="C37" s="23" t="s">
        <v>94</v>
      </c>
      <c r="D37" s="225"/>
    </row>
    <row r="38" spans="1:4" ht="22" x14ac:dyDescent="0.3">
      <c r="A38" s="221" t="s">
        <v>95</v>
      </c>
      <c r="B38" s="23" t="s">
        <v>96</v>
      </c>
      <c r="C38" s="23" t="s">
        <v>97</v>
      </c>
      <c r="D38" s="225"/>
    </row>
    <row r="39" spans="1:4" ht="22" x14ac:dyDescent="0.3">
      <c r="A39" s="222"/>
      <c r="B39" s="23" t="s">
        <v>98</v>
      </c>
      <c r="C39" s="23" t="s">
        <v>99</v>
      </c>
      <c r="D39" s="225"/>
    </row>
    <row r="40" spans="1:4" ht="22" x14ac:dyDescent="0.3">
      <c r="A40" s="223"/>
      <c r="B40" s="23" t="s">
        <v>100</v>
      </c>
      <c r="C40" s="23" t="s">
        <v>101</v>
      </c>
      <c r="D40" s="225"/>
    </row>
    <row r="41" spans="1:4" ht="22" x14ac:dyDescent="0.3">
      <c r="A41" s="221" t="s">
        <v>102</v>
      </c>
      <c r="B41" s="23" t="s">
        <v>103</v>
      </c>
      <c r="C41" s="23" t="s">
        <v>104</v>
      </c>
      <c r="D41" s="225"/>
    </row>
    <row r="42" spans="1:4" ht="22" x14ac:dyDescent="0.3">
      <c r="A42" s="222"/>
      <c r="B42" s="23" t="s">
        <v>105</v>
      </c>
      <c r="C42" s="23" t="s">
        <v>106</v>
      </c>
      <c r="D42" s="225"/>
    </row>
    <row r="43" spans="1:4" ht="22" x14ac:dyDescent="0.3">
      <c r="A43" s="222"/>
      <c r="B43" s="23" t="s">
        <v>107</v>
      </c>
      <c r="C43" s="23" t="s">
        <v>108</v>
      </c>
      <c r="D43" s="225"/>
    </row>
    <row r="44" spans="1:4" ht="22" x14ac:dyDescent="0.3">
      <c r="A44" s="223"/>
      <c r="B44" s="23" t="s">
        <v>109</v>
      </c>
      <c r="C44" s="23" t="s">
        <v>110</v>
      </c>
      <c r="D44" s="226"/>
    </row>
    <row r="45" spans="1:4" ht="22" x14ac:dyDescent="0.3">
      <c r="A45" s="49"/>
      <c r="B45" s="50"/>
      <c r="C45" s="50"/>
      <c r="D45" s="59"/>
    </row>
    <row r="46" spans="1:4" ht="22" x14ac:dyDescent="0.3">
      <c r="A46" s="215" t="s">
        <v>82</v>
      </c>
      <c r="B46" s="216"/>
      <c r="C46" s="216"/>
      <c r="D46" s="217"/>
    </row>
    <row r="47" spans="1:4" ht="22" x14ac:dyDescent="0.25">
      <c r="A47" s="51" t="s">
        <v>83</v>
      </c>
      <c r="B47" s="218"/>
      <c r="C47" s="219"/>
      <c r="D47" s="220"/>
    </row>
    <row r="48" spans="1:4" ht="22" x14ac:dyDescent="0.25">
      <c r="A48" s="51" t="s">
        <v>135</v>
      </c>
      <c r="B48" s="58" t="s">
        <v>49</v>
      </c>
      <c r="C48" s="53"/>
      <c r="D48" s="54"/>
    </row>
    <row r="49" spans="1:4" ht="22" x14ac:dyDescent="0.3">
      <c r="A49" s="26" t="s">
        <v>84</v>
      </c>
      <c r="B49" s="22" t="s">
        <v>5</v>
      </c>
      <c r="C49" s="22" t="s">
        <v>85</v>
      </c>
      <c r="D49" s="24" t="s">
        <v>86</v>
      </c>
    </row>
    <row r="50" spans="1:4" ht="22" x14ac:dyDescent="0.3">
      <c r="A50" s="221" t="s">
        <v>87</v>
      </c>
      <c r="B50" s="23" t="s">
        <v>88</v>
      </c>
      <c r="C50" s="23" t="s">
        <v>89</v>
      </c>
      <c r="D50" s="224" t="s">
        <v>90</v>
      </c>
    </row>
    <row r="51" spans="1:4" ht="22" x14ac:dyDescent="0.3">
      <c r="A51" s="222"/>
      <c r="B51" s="23" t="s">
        <v>91</v>
      </c>
      <c r="C51" s="23" t="s">
        <v>92</v>
      </c>
      <c r="D51" s="225"/>
    </row>
    <row r="52" spans="1:4" ht="22" x14ac:dyDescent="0.3">
      <c r="A52" s="223"/>
      <c r="B52" s="23" t="s">
        <v>93</v>
      </c>
      <c r="C52" s="23" t="s">
        <v>94</v>
      </c>
      <c r="D52" s="225"/>
    </row>
    <row r="53" spans="1:4" ht="22" x14ac:dyDescent="0.3">
      <c r="A53" s="221" t="s">
        <v>95</v>
      </c>
      <c r="B53" s="23" t="s">
        <v>96</v>
      </c>
      <c r="C53" s="23" t="s">
        <v>97</v>
      </c>
      <c r="D53" s="225"/>
    </row>
    <row r="54" spans="1:4" ht="22" x14ac:dyDescent="0.3">
      <c r="A54" s="222"/>
      <c r="B54" s="23" t="s">
        <v>98</v>
      </c>
      <c r="C54" s="23" t="s">
        <v>99</v>
      </c>
      <c r="D54" s="225"/>
    </row>
    <row r="55" spans="1:4" ht="22" x14ac:dyDescent="0.3">
      <c r="A55" s="223"/>
      <c r="B55" s="23" t="s">
        <v>100</v>
      </c>
      <c r="C55" s="23" t="s">
        <v>101</v>
      </c>
      <c r="D55" s="225"/>
    </row>
    <row r="56" spans="1:4" ht="22" x14ac:dyDescent="0.3">
      <c r="A56" s="221" t="s">
        <v>102</v>
      </c>
      <c r="B56" s="23" t="s">
        <v>103</v>
      </c>
      <c r="C56" s="23" t="s">
        <v>104</v>
      </c>
      <c r="D56" s="225"/>
    </row>
    <row r="57" spans="1:4" ht="22" x14ac:dyDescent="0.3">
      <c r="A57" s="222"/>
      <c r="B57" s="23" t="s">
        <v>105</v>
      </c>
      <c r="C57" s="23" t="s">
        <v>106</v>
      </c>
      <c r="D57" s="225"/>
    </row>
    <row r="58" spans="1:4" ht="22" x14ac:dyDescent="0.3">
      <c r="A58" s="222"/>
      <c r="B58" s="23" t="s">
        <v>107</v>
      </c>
      <c r="C58" s="23" t="s">
        <v>108</v>
      </c>
      <c r="D58" s="225"/>
    </row>
    <row r="59" spans="1:4" ht="22" x14ac:dyDescent="0.3">
      <c r="A59" s="223"/>
      <c r="B59" s="23" t="s">
        <v>109</v>
      </c>
      <c r="C59" s="23" t="s">
        <v>110</v>
      </c>
      <c r="D59" s="226"/>
    </row>
    <row r="61" spans="1:4" ht="22" x14ac:dyDescent="0.3">
      <c r="A61" s="215" t="s">
        <v>82</v>
      </c>
      <c r="B61" s="216"/>
      <c r="C61" s="216"/>
      <c r="D61" s="217"/>
    </row>
    <row r="62" spans="1:4" ht="22" x14ac:dyDescent="0.25">
      <c r="A62" s="51" t="s">
        <v>83</v>
      </c>
      <c r="B62" s="218"/>
      <c r="C62" s="219"/>
      <c r="D62" s="220"/>
    </row>
    <row r="63" spans="1:4" ht="22" x14ac:dyDescent="0.25">
      <c r="A63" s="51" t="s">
        <v>135</v>
      </c>
      <c r="B63" s="58" t="s">
        <v>50</v>
      </c>
      <c r="C63" s="53"/>
      <c r="D63" s="54"/>
    </row>
    <row r="64" spans="1:4" ht="22" x14ac:dyDescent="0.3">
      <c r="A64" s="26" t="s">
        <v>84</v>
      </c>
      <c r="B64" s="22" t="s">
        <v>5</v>
      </c>
      <c r="C64" s="22" t="s">
        <v>85</v>
      </c>
      <c r="D64" s="24" t="s">
        <v>86</v>
      </c>
    </row>
    <row r="65" spans="1:4" ht="22" x14ac:dyDescent="0.3">
      <c r="A65" s="221" t="s">
        <v>87</v>
      </c>
      <c r="B65" s="23" t="s">
        <v>88</v>
      </c>
      <c r="C65" s="23" t="s">
        <v>89</v>
      </c>
      <c r="D65" s="224" t="s">
        <v>90</v>
      </c>
    </row>
    <row r="66" spans="1:4" ht="22" x14ac:dyDescent="0.3">
      <c r="A66" s="222"/>
      <c r="B66" s="23" t="s">
        <v>91</v>
      </c>
      <c r="C66" s="23" t="s">
        <v>92</v>
      </c>
      <c r="D66" s="225"/>
    </row>
    <row r="67" spans="1:4" ht="22" x14ac:dyDescent="0.3">
      <c r="A67" s="223"/>
      <c r="B67" s="23" t="s">
        <v>93</v>
      </c>
      <c r="C67" s="23" t="s">
        <v>94</v>
      </c>
      <c r="D67" s="225"/>
    </row>
    <row r="68" spans="1:4" ht="22" x14ac:dyDescent="0.3">
      <c r="A68" s="221" t="s">
        <v>95</v>
      </c>
      <c r="B68" s="23" t="s">
        <v>96</v>
      </c>
      <c r="C68" s="23" t="s">
        <v>97</v>
      </c>
      <c r="D68" s="225"/>
    </row>
    <row r="69" spans="1:4" ht="22" x14ac:dyDescent="0.3">
      <c r="A69" s="222"/>
      <c r="B69" s="23" t="s">
        <v>98</v>
      </c>
      <c r="C69" s="23" t="s">
        <v>99</v>
      </c>
      <c r="D69" s="225"/>
    </row>
    <row r="70" spans="1:4" ht="22" x14ac:dyDescent="0.3">
      <c r="A70" s="223"/>
      <c r="B70" s="23" t="s">
        <v>100</v>
      </c>
      <c r="C70" s="23" t="s">
        <v>101</v>
      </c>
      <c r="D70" s="225"/>
    </row>
    <row r="71" spans="1:4" ht="22" x14ac:dyDescent="0.3">
      <c r="A71" s="221" t="s">
        <v>102</v>
      </c>
      <c r="B71" s="23" t="s">
        <v>103</v>
      </c>
      <c r="C71" s="23" t="s">
        <v>104</v>
      </c>
      <c r="D71" s="225"/>
    </row>
    <row r="72" spans="1:4" ht="22" x14ac:dyDescent="0.3">
      <c r="A72" s="222"/>
      <c r="B72" s="23" t="s">
        <v>105</v>
      </c>
      <c r="C72" s="23" t="s">
        <v>106</v>
      </c>
      <c r="D72" s="225"/>
    </row>
    <row r="73" spans="1:4" ht="22" x14ac:dyDescent="0.3">
      <c r="A73" s="222"/>
      <c r="B73" s="23" t="s">
        <v>107</v>
      </c>
      <c r="C73" s="23" t="s">
        <v>108</v>
      </c>
      <c r="D73" s="225"/>
    </row>
    <row r="74" spans="1:4" ht="22" x14ac:dyDescent="0.3">
      <c r="A74" s="223"/>
      <c r="B74" s="23" t="s">
        <v>109</v>
      </c>
      <c r="C74" s="23" t="s">
        <v>110</v>
      </c>
      <c r="D74" s="226"/>
    </row>
    <row r="76" spans="1:4" ht="22" x14ac:dyDescent="0.3">
      <c r="A76" s="215" t="s">
        <v>82</v>
      </c>
      <c r="B76" s="216"/>
      <c r="C76" s="216"/>
      <c r="D76" s="217"/>
    </row>
    <row r="77" spans="1:4" ht="22" x14ac:dyDescent="0.25">
      <c r="A77" s="51" t="s">
        <v>83</v>
      </c>
      <c r="B77" s="218"/>
      <c r="C77" s="219"/>
      <c r="D77" s="220"/>
    </row>
    <row r="78" spans="1:4" ht="22" x14ac:dyDescent="0.25">
      <c r="A78" s="51" t="s">
        <v>135</v>
      </c>
      <c r="B78" s="58" t="s">
        <v>51</v>
      </c>
      <c r="C78" s="53"/>
      <c r="D78" s="54"/>
    </row>
    <row r="79" spans="1:4" ht="22" x14ac:dyDescent="0.3">
      <c r="A79" s="26" t="s">
        <v>84</v>
      </c>
      <c r="B79" s="22" t="s">
        <v>5</v>
      </c>
      <c r="C79" s="22" t="s">
        <v>85</v>
      </c>
      <c r="D79" s="24" t="s">
        <v>86</v>
      </c>
    </row>
    <row r="80" spans="1:4" ht="22" x14ac:dyDescent="0.3">
      <c r="A80" s="221" t="s">
        <v>87</v>
      </c>
      <c r="B80" s="23" t="s">
        <v>88</v>
      </c>
      <c r="C80" s="23" t="s">
        <v>89</v>
      </c>
      <c r="D80" s="224" t="s">
        <v>90</v>
      </c>
    </row>
    <row r="81" spans="1:4" ht="22" x14ac:dyDescent="0.3">
      <c r="A81" s="222"/>
      <c r="B81" s="23" t="s">
        <v>91</v>
      </c>
      <c r="C81" s="23" t="s">
        <v>92</v>
      </c>
      <c r="D81" s="225"/>
    </row>
    <row r="82" spans="1:4" ht="22" x14ac:dyDescent="0.3">
      <c r="A82" s="223"/>
      <c r="B82" s="23" t="s">
        <v>93</v>
      </c>
      <c r="C82" s="23" t="s">
        <v>94</v>
      </c>
      <c r="D82" s="225"/>
    </row>
    <row r="83" spans="1:4" ht="22" x14ac:dyDescent="0.3">
      <c r="A83" s="221" t="s">
        <v>95</v>
      </c>
      <c r="B83" s="23" t="s">
        <v>96</v>
      </c>
      <c r="C83" s="23" t="s">
        <v>97</v>
      </c>
      <c r="D83" s="225"/>
    </row>
    <row r="84" spans="1:4" ht="22" x14ac:dyDescent="0.3">
      <c r="A84" s="222"/>
      <c r="B84" s="23" t="s">
        <v>98</v>
      </c>
      <c r="C84" s="23" t="s">
        <v>99</v>
      </c>
      <c r="D84" s="225"/>
    </row>
    <row r="85" spans="1:4" ht="22" x14ac:dyDescent="0.3">
      <c r="A85" s="223"/>
      <c r="B85" s="23" t="s">
        <v>100</v>
      </c>
      <c r="C85" s="23" t="s">
        <v>101</v>
      </c>
      <c r="D85" s="225"/>
    </row>
    <row r="86" spans="1:4" ht="22" x14ac:dyDescent="0.3">
      <c r="A86" s="221" t="s">
        <v>102</v>
      </c>
      <c r="B86" s="23" t="s">
        <v>103</v>
      </c>
      <c r="C86" s="23" t="s">
        <v>104</v>
      </c>
      <c r="D86" s="225"/>
    </row>
    <row r="87" spans="1:4" ht="22" x14ac:dyDescent="0.3">
      <c r="A87" s="222"/>
      <c r="B87" s="23" t="s">
        <v>105</v>
      </c>
      <c r="C87" s="23" t="s">
        <v>106</v>
      </c>
      <c r="D87" s="225"/>
    </row>
    <row r="88" spans="1:4" ht="22" x14ac:dyDescent="0.3">
      <c r="A88" s="222"/>
      <c r="B88" s="23" t="s">
        <v>107</v>
      </c>
      <c r="C88" s="23" t="s">
        <v>108</v>
      </c>
      <c r="D88" s="225"/>
    </row>
    <row r="89" spans="1:4" ht="22" x14ac:dyDescent="0.3">
      <c r="A89" s="223"/>
      <c r="B89" s="23" t="s">
        <v>109</v>
      </c>
      <c r="C89" s="23" t="s">
        <v>110</v>
      </c>
      <c r="D89" s="226"/>
    </row>
    <row r="91" spans="1:4" ht="22" x14ac:dyDescent="0.3">
      <c r="A91" s="215" t="s">
        <v>82</v>
      </c>
      <c r="B91" s="216"/>
      <c r="C91" s="216"/>
      <c r="D91" s="217"/>
    </row>
    <row r="92" spans="1:4" ht="22" x14ac:dyDescent="0.25">
      <c r="A92" s="51" t="s">
        <v>83</v>
      </c>
      <c r="B92" s="218"/>
      <c r="C92" s="219"/>
      <c r="D92" s="220"/>
    </row>
    <row r="93" spans="1:4" ht="22" x14ac:dyDescent="0.25">
      <c r="A93" s="51" t="s">
        <v>135</v>
      </c>
      <c r="B93" s="58" t="s">
        <v>52</v>
      </c>
      <c r="C93" s="53"/>
      <c r="D93" s="54"/>
    </row>
    <row r="94" spans="1:4" ht="22" x14ac:dyDescent="0.3">
      <c r="A94" s="26" t="s">
        <v>84</v>
      </c>
      <c r="B94" s="22" t="s">
        <v>5</v>
      </c>
      <c r="C94" s="22" t="s">
        <v>85</v>
      </c>
      <c r="D94" s="24" t="s">
        <v>86</v>
      </c>
    </row>
    <row r="95" spans="1:4" ht="22" x14ac:dyDescent="0.3">
      <c r="A95" s="221" t="s">
        <v>87</v>
      </c>
      <c r="B95" s="23" t="s">
        <v>88</v>
      </c>
      <c r="C95" s="23" t="s">
        <v>89</v>
      </c>
      <c r="D95" s="224" t="s">
        <v>90</v>
      </c>
    </row>
    <row r="96" spans="1:4" ht="22" x14ac:dyDescent="0.3">
      <c r="A96" s="222"/>
      <c r="B96" s="23" t="s">
        <v>91</v>
      </c>
      <c r="C96" s="23" t="s">
        <v>92</v>
      </c>
      <c r="D96" s="225"/>
    </row>
    <row r="97" spans="1:4" ht="22" x14ac:dyDescent="0.3">
      <c r="A97" s="223"/>
      <c r="B97" s="23" t="s">
        <v>93</v>
      </c>
      <c r="C97" s="23" t="s">
        <v>94</v>
      </c>
      <c r="D97" s="225"/>
    </row>
    <row r="98" spans="1:4" ht="22" x14ac:dyDescent="0.3">
      <c r="A98" s="221" t="s">
        <v>95</v>
      </c>
      <c r="B98" s="23" t="s">
        <v>96</v>
      </c>
      <c r="C98" s="23" t="s">
        <v>97</v>
      </c>
      <c r="D98" s="225"/>
    </row>
    <row r="99" spans="1:4" ht="22" x14ac:dyDescent="0.3">
      <c r="A99" s="222"/>
      <c r="B99" s="23" t="s">
        <v>98</v>
      </c>
      <c r="C99" s="23" t="s">
        <v>99</v>
      </c>
      <c r="D99" s="225"/>
    </row>
    <row r="100" spans="1:4" ht="22" x14ac:dyDescent="0.3">
      <c r="A100" s="223"/>
      <c r="B100" s="23" t="s">
        <v>100</v>
      </c>
      <c r="C100" s="23" t="s">
        <v>101</v>
      </c>
      <c r="D100" s="225"/>
    </row>
    <row r="101" spans="1:4" ht="22" x14ac:dyDescent="0.3">
      <c r="A101" s="221" t="s">
        <v>102</v>
      </c>
      <c r="B101" s="23" t="s">
        <v>103</v>
      </c>
      <c r="C101" s="23" t="s">
        <v>104</v>
      </c>
      <c r="D101" s="225"/>
    </row>
    <row r="102" spans="1:4" ht="22" x14ac:dyDescent="0.3">
      <c r="A102" s="222"/>
      <c r="B102" s="23" t="s">
        <v>105</v>
      </c>
      <c r="C102" s="23" t="s">
        <v>106</v>
      </c>
      <c r="D102" s="225"/>
    </row>
    <row r="103" spans="1:4" ht="22" x14ac:dyDescent="0.3">
      <c r="A103" s="222"/>
      <c r="B103" s="23" t="s">
        <v>107</v>
      </c>
      <c r="C103" s="23" t="s">
        <v>108</v>
      </c>
      <c r="D103" s="225"/>
    </row>
    <row r="104" spans="1:4" ht="22" x14ac:dyDescent="0.3">
      <c r="A104" s="223"/>
      <c r="B104" s="23" t="s">
        <v>109</v>
      </c>
      <c r="C104" s="23" t="s">
        <v>110</v>
      </c>
      <c r="D104" s="226"/>
    </row>
    <row r="106" spans="1:4" ht="22" x14ac:dyDescent="0.3">
      <c r="A106" s="215" t="s">
        <v>82</v>
      </c>
      <c r="B106" s="216"/>
      <c r="C106" s="216"/>
      <c r="D106" s="217"/>
    </row>
    <row r="107" spans="1:4" ht="22" x14ac:dyDescent="0.25">
      <c r="A107" s="51" t="s">
        <v>83</v>
      </c>
      <c r="B107" s="218"/>
      <c r="C107" s="219"/>
      <c r="D107" s="220"/>
    </row>
    <row r="108" spans="1:4" ht="22" x14ac:dyDescent="0.25">
      <c r="A108" s="51" t="s">
        <v>135</v>
      </c>
      <c r="B108" s="58" t="s">
        <v>53</v>
      </c>
      <c r="C108" s="53"/>
      <c r="D108" s="54"/>
    </row>
    <row r="109" spans="1:4" ht="22" x14ac:dyDescent="0.3">
      <c r="A109" s="26" t="s">
        <v>84</v>
      </c>
      <c r="B109" s="22" t="s">
        <v>5</v>
      </c>
      <c r="C109" s="22" t="s">
        <v>85</v>
      </c>
      <c r="D109" s="24" t="s">
        <v>86</v>
      </c>
    </row>
    <row r="110" spans="1:4" ht="22" x14ac:dyDescent="0.3">
      <c r="A110" s="221" t="s">
        <v>87</v>
      </c>
      <c r="B110" s="23" t="s">
        <v>88</v>
      </c>
      <c r="C110" s="23" t="s">
        <v>89</v>
      </c>
      <c r="D110" s="224" t="s">
        <v>90</v>
      </c>
    </row>
    <row r="111" spans="1:4" ht="22" x14ac:dyDescent="0.3">
      <c r="A111" s="222"/>
      <c r="B111" s="23" t="s">
        <v>91</v>
      </c>
      <c r="C111" s="23" t="s">
        <v>92</v>
      </c>
      <c r="D111" s="225"/>
    </row>
    <row r="112" spans="1:4" ht="22" x14ac:dyDescent="0.3">
      <c r="A112" s="223"/>
      <c r="B112" s="23" t="s">
        <v>93</v>
      </c>
      <c r="C112" s="23" t="s">
        <v>94</v>
      </c>
      <c r="D112" s="225"/>
    </row>
    <row r="113" spans="1:4" ht="22" x14ac:dyDescent="0.3">
      <c r="A113" s="221" t="s">
        <v>95</v>
      </c>
      <c r="B113" s="23" t="s">
        <v>96</v>
      </c>
      <c r="C113" s="23" t="s">
        <v>97</v>
      </c>
      <c r="D113" s="225"/>
    </row>
    <row r="114" spans="1:4" ht="22" x14ac:dyDescent="0.3">
      <c r="A114" s="222"/>
      <c r="B114" s="23" t="s">
        <v>98</v>
      </c>
      <c r="C114" s="23" t="s">
        <v>99</v>
      </c>
      <c r="D114" s="225"/>
    </row>
    <row r="115" spans="1:4" ht="22" x14ac:dyDescent="0.3">
      <c r="A115" s="223"/>
      <c r="B115" s="23" t="s">
        <v>100</v>
      </c>
      <c r="C115" s="23" t="s">
        <v>101</v>
      </c>
      <c r="D115" s="225"/>
    </row>
    <row r="116" spans="1:4" ht="22" x14ac:dyDescent="0.3">
      <c r="A116" s="221" t="s">
        <v>102</v>
      </c>
      <c r="B116" s="23" t="s">
        <v>103</v>
      </c>
      <c r="C116" s="23" t="s">
        <v>104</v>
      </c>
      <c r="D116" s="225"/>
    </row>
    <row r="117" spans="1:4" ht="22" x14ac:dyDescent="0.3">
      <c r="A117" s="222"/>
      <c r="B117" s="23" t="s">
        <v>105</v>
      </c>
      <c r="C117" s="23" t="s">
        <v>106</v>
      </c>
      <c r="D117" s="225"/>
    </row>
    <row r="118" spans="1:4" ht="22" x14ac:dyDescent="0.3">
      <c r="A118" s="222"/>
      <c r="B118" s="23" t="s">
        <v>107</v>
      </c>
      <c r="C118" s="23" t="s">
        <v>108</v>
      </c>
      <c r="D118" s="225"/>
    </row>
    <row r="119" spans="1:4" ht="22" x14ac:dyDescent="0.3">
      <c r="A119" s="223"/>
      <c r="B119" s="23" t="s">
        <v>109</v>
      </c>
      <c r="C119" s="23" t="s">
        <v>110</v>
      </c>
      <c r="D119" s="226"/>
    </row>
    <row r="121" spans="1:4" ht="22" x14ac:dyDescent="0.3">
      <c r="A121" s="215" t="s">
        <v>82</v>
      </c>
      <c r="B121" s="216"/>
      <c r="C121" s="216"/>
      <c r="D121" s="217"/>
    </row>
    <row r="122" spans="1:4" ht="22" x14ac:dyDescent="0.25">
      <c r="A122" s="51" t="s">
        <v>83</v>
      </c>
      <c r="B122" s="218"/>
      <c r="C122" s="219"/>
      <c r="D122" s="220"/>
    </row>
    <row r="123" spans="1:4" ht="22" x14ac:dyDescent="0.25">
      <c r="A123" s="51" t="s">
        <v>135</v>
      </c>
      <c r="B123" s="58" t="s">
        <v>54</v>
      </c>
      <c r="C123" s="53"/>
      <c r="D123" s="54"/>
    </row>
    <row r="124" spans="1:4" ht="22" x14ac:dyDescent="0.3">
      <c r="A124" s="26" t="s">
        <v>84</v>
      </c>
      <c r="B124" s="22" t="s">
        <v>5</v>
      </c>
      <c r="C124" s="22" t="s">
        <v>85</v>
      </c>
      <c r="D124" s="24" t="s">
        <v>86</v>
      </c>
    </row>
    <row r="125" spans="1:4" ht="22" x14ac:dyDescent="0.3">
      <c r="A125" s="221" t="s">
        <v>87</v>
      </c>
      <c r="B125" s="23" t="s">
        <v>88</v>
      </c>
      <c r="C125" s="23" t="s">
        <v>89</v>
      </c>
      <c r="D125" s="224" t="s">
        <v>90</v>
      </c>
    </row>
    <row r="126" spans="1:4" ht="22" x14ac:dyDescent="0.3">
      <c r="A126" s="222"/>
      <c r="B126" s="23" t="s">
        <v>91</v>
      </c>
      <c r="C126" s="23" t="s">
        <v>92</v>
      </c>
      <c r="D126" s="225"/>
    </row>
    <row r="127" spans="1:4" ht="22" x14ac:dyDescent="0.3">
      <c r="A127" s="223"/>
      <c r="B127" s="23" t="s">
        <v>93</v>
      </c>
      <c r="C127" s="23" t="s">
        <v>94</v>
      </c>
      <c r="D127" s="225"/>
    </row>
    <row r="128" spans="1:4" ht="22" x14ac:dyDescent="0.3">
      <c r="A128" s="221" t="s">
        <v>95</v>
      </c>
      <c r="B128" s="23" t="s">
        <v>96</v>
      </c>
      <c r="C128" s="23" t="s">
        <v>97</v>
      </c>
      <c r="D128" s="225"/>
    </row>
    <row r="129" spans="1:4" ht="22" x14ac:dyDescent="0.3">
      <c r="A129" s="222"/>
      <c r="B129" s="23" t="s">
        <v>98</v>
      </c>
      <c r="C129" s="23" t="s">
        <v>99</v>
      </c>
      <c r="D129" s="225"/>
    </row>
    <row r="130" spans="1:4" ht="22" x14ac:dyDescent="0.3">
      <c r="A130" s="223"/>
      <c r="B130" s="23" t="s">
        <v>100</v>
      </c>
      <c r="C130" s="23" t="s">
        <v>101</v>
      </c>
      <c r="D130" s="225"/>
    </row>
    <row r="131" spans="1:4" ht="22" x14ac:dyDescent="0.3">
      <c r="A131" s="221" t="s">
        <v>102</v>
      </c>
      <c r="B131" s="23" t="s">
        <v>103</v>
      </c>
      <c r="C131" s="23" t="s">
        <v>104</v>
      </c>
      <c r="D131" s="225"/>
    </row>
    <row r="132" spans="1:4" ht="22" x14ac:dyDescent="0.3">
      <c r="A132" s="222"/>
      <c r="B132" s="23" t="s">
        <v>105</v>
      </c>
      <c r="C132" s="23" t="s">
        <v>106</v>
      </c>
      <c r="D132" s="225"/>
    </row>
    <row r="133" spans="1:4" ht="22" x14ac:dyDescent="0.3">
      <c r="A133" s="222"/>
      <c r="B133" s="23" t="s">
        <v>107</v>
      </c>
      <c r="C133" s="23" t="s">
        <v>108</v>
      </c>
      <c r="D133" s="225"/>
    </row>
    <row r="134" spans="1:4" ht="22" x14ac:dyDescent="0.3">
      <c r="A134" s="223"/>
      <c r="B134" s="23" t="s">
        <v>109</v>
      </c>
      <c r="C134" s="23" t="s">
        <v>110</v>
      </c>
      <c r="D134" s="226"/>
    </row>
  </sheetData>
  <mergeCells count="54">
    <mergeCell ref="A1:D1"/>
    <mergeCell ref="B2:D2"/>
    <mergeCell ref="A5:A7"/>
    <mergeCell ref="D5:D14"/>
    <mergeCell ref="A8:A10"/>
    <mergeCell ref="A11:A14"/>
    <mergeCell ref="A16:D16"/>
    <mergeCell ref="B17:D17"/>
    <mergeCell ref="A20:A22"/>
    <mergeCell ref="D20:D29"/>
    <mergeCell ref="A23:A25"/>
    <mergeCell ref="A26:A29"/>
    <mergeCell ref="A31:D31"/>
    <mergeCell ref="B32:D32"/>
    <mergeCell ref="A35:A37"/>
    <mergeCell ref="D35:D44"/>
    <mergeCell ref="A38:A40"/>
    <mergeCell ref="A41:A44"/>
    <mergeCell ref="A46:D46"/>
    <mergeCell ref="B47:D47"/>
    <mergeCell ref="A50:A52"/>
    <mergeCell ref="D50:D59"/>
    <mergeCell ref="A53:A55"/>
    <mergeCell ref="A56:A59"/>
    <mergeCell ref="A61:D61"/>
    <mergeCell ref="B62:D62"/>
    <mergeCell ref="A65:A67"/>
    <mergeCell ref="D65:D74"/>
    <mergeCell ref="A68:A70"/>
    <mergeCell ref="A71:A74"/>
    <mergeCell ref="A76:D76"/>
    <mergeCell ref="B77:D77"/>
    <mergeCell ref="A80:A82"/>
    <mergeCell ref="D80:D89"/>
    <mergeCell ref="A83:A85"/>
    <mergeCell ref="A86:A89"/>
    <mergeCell ref="A91:D91"/>
    <mergeCell ref="B92:D92"/>
    <mergeCell ref="A95:A97"/>
    <mergeCell ref="D95:D104"/>
    <mergeCell ref="A98:A100"/>
    <mergeCell ref="A101:A104"/>
    <mergeCell ref="A106:D106"/>
    <mergeCell ref="B107:D107"/>
    <mergeCell ref="A110:A112"/>
    <mergeCell ref="D110:D119"/>
    <mergeCell ref="A113:A115"/>
    <mergeCell ref="A116:A119"/>
    <mergeCell ref="A121:D121"/>
    <mergeCell ref="B122:D122"/>
    <mergeCell ref="A125:A127"/>
    <mergeCell ref="D125:D134"/>
    <mergeCell ref="A128:A130"/>
    <mergeCell ref="A131:A134"/>
  </mergeCells>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C4DCA-5796-499E-9F2B-11FB76E3D892}">
  <sheetPr>
    <tabColor theme="1"/>
  </sheetPr>
  <dimension ref="A1:A7"/>
  <sheetViews>
    <sheetView showGridLines="0" tabSelected="1" zoomScale="44" zoomScaleNormal="44" workbookViewId="0">
      <selection activeCell="E18" sqref="E18"/>
    </sheetView>
  </sheetViews>
  <sheetFormatPr baseColWidth="10" defaultColWidth="12.6640625" defaultRowHeight="15" x14ac:dyDescent="0.2"/>
  <cols>
    <col min="1" max="1" width="93.5" bestFit="1" customWidth="1"/>
  </cols>
  <sheetData>
    <row r="1" spans="1:1" ht="21" x14ac:dyDescent="0.25">
      <c r="A1" s="17" t="s">
        <v>75</v>
      </c>
    </row>
    <row r="2" spans="1:1" ht="21" x14ac:dyDescent="0.25">
      <c r="A2" s="16" t="s">
        <v>76</v>
      </c>
    </row>
    <row r="3" spans="1:1" ht="21" x14ac:dyDescent="0.25">
      <c r="A3" s="16" t="s">
        <v>77</v>
      </c>
    </row>
    <row r="4" spans="1:1" ht="21" x14ac:dyDescent="0.25">
      <c r="A4" s="16" t="s">
        <v>78</v>
      </c>
    </row>
    <row r="5" spans="1:1" ht="21" x14ac:dyDescent="0.25">
      <c r="A5" s="16" t="s">
        <v>79</v>
      </c>
    </row>
    <row r="6" spans="1:1" ht="21" x14ac:dyDescent="0.25">
      <c r="A6" s="16" t="s">
        <v>80</v>
      </c>
    </row>
    <row r="7" spans="1:1" ht="21" x14ac:dyDescent="0.25">
      <c r="A7" s="16" t="s">
        <v>81</v>
      </c>
    </row>
  </sheetData>
  <pageMargins left="0.511811024" right="0.511811024" top="0.78740157499999996" bottom="0.78740157499999996" header="0.31496062000000002" footer="0.31496062000000002"/>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96B65B-C70F-4016-A567-88EB13BA93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13</vt:i4>
      </vt:variant>
    </vt:vector>
  </HeadingPairs>
  <TitlesOfParts>
    <vt:vector size="13" baseType="lpstr">
      <vt:lpstr>Dashboard</vt:lpstr>
      <vt:lpstr>Explicação</vt:lpstr>
      <vt:lpstr>Dados do Forms</vt:lpstr>
      <vt:lpstr>Escala</vt:lpstr>
      <vt:lpstr>Resumo por Tópico</vt:lpstr>
      <vt:lpstr>Análise e Avaliação</vt:lpstr>
      <vt:lpstr>Dados Gráficos</vt:lpstr>
      <vt:lpstr>Planilha5</vt:lpstr>
      <vt:lpstr>Planilha2</vt:lpstr>
      <vt:lpstr>Medidas de Controle </vt:lpstr>
      <vt:lpstr>Monitoramento do desempenho</vt:lpstr>
      <vt:lpstr>Critérios de Probabilidade </vt:lpstr>
      <vt:lpstr>Revisão e Melhoria Continua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Felipe Maronesi</cp:lastModifiedBy>
  <cp:lastPrinted>2025-08-20T22:35:07Z</cp:lastPrinted>
  <dcterms:created xsi:type="dcterms:W3CDTF">2025-03-27T21:36:35Z</dcterms:created>
  <dcterms:modified xsi:type="dcterms:W3CDTF">2026-02-23T20:01:57Z</dcterms:modified>
</cp:coreProperties>
</file>