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0400 Líftækni &amp; lífefni\2395 - ThermoFactories\Þórdís - PhD\PhD\Manuscript_Rmarinus_Model\"/>
    </mc:Choice>
  </mc:AlternateContent>
  <xr:revisionPtr revIDLastSave="0" documentId="13_ncr:1_{986A98FB-9A08-4839-9717-5B66C4B2D1EC}" xr6:coauthVersionLast="37" xr6:coauthVersionMax="37" xr10:uidLastSave="{00000000-0000-0000-0000-000000000000}"/>
  <bookViews>
    <workbookView xWindow="0" yWindow="0" windowWidth="28800" windowHeight="8270" activeTab="1" xr2:uid="{DC69BF91-986F-4617-959D-6E25531524FE}"/>
  </bookViews>
  <sheets>
    <sheet name="Model Validation" sheetId="1" r:id="rId1"/>
    <sheet name="GAM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" i="1" l="1"/>
  <c r="R8" i="1"/>
  <c r="P8" i="1"/>
  <c r="P7" i="1"/>
  <c r="O8" i="1"/>
  <c r="O7" i="1"/>
  <c r="O3" i="1"/>
  <c r="S4" i="1"/>
  <c r="S3" i="1"/>
  <c r="R4" i="1"/>
  <c r="R3" i="1"/>
  <c r="P3" i="1"/>
  <c r="O4" i="1"/>
  <c r="P4" i="1"/>
  <c r="Q4" i="1" l="1"/>
  <c r="Q3" i="1"/>
  <c r="D4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3" i="2"/>
  <c r="P3" i="2" l="1"/>
  <c r="O3" i="2"/>
  <c r="E3" i="2"/>
  <c r="M3" i="2"/>
  <c r="E4" i="2"/>
  <c r="L3" i="2" s="1"/>
  <c r="M18" i="1"/>
  <c r="R23" i="1" s="1"/>
  <c r="M17" i="1"/>
  <c r="Q23" i="1" s="1"/>
  <c r="E3" i="1"/>
  <c r="E21" i="1"/>
  <c r="E39" i="1"/>
  <c r="E40" i="1"/>
  <c r="O25" i="1" s="1"/>
  <c r="E41" i="1"/>
  <c r="E42" i="1"/>
  <c r="E43" i="1"/>
  <c r="E44" i="1"/>
  <c r="E45" i="1"/>
  <c r="E46" i="1"/>
  <c r="E47" i="1"/>
  <c r="E48" i="1"/>
  <c r="O26" i="1" s="1"/>
  <c r="E49" i="1"/>
  <c r="E50" i="1"/>
  <c r="E51" i="1"/>
  <c r="E52" i="1"/>
  <c r="E53" i="1"/>
  <c r="E54" i="1"/>
  <c r="E55" i="1"/>
  <c r="E56" i="1"/>
  <c r="E57" i="1"/>
  <c r="O27" i="1" s="1"/>
  <c r="E58" i="1"/>
  <c r="E59" i="1"/>
  <c r="E60" i="1"/>
  <c r="E61" i="1"/>
  <c r="E62" i="1"/>
  <c r="E63" i="1"/>
  <c r="E64" i="1"/>
  <c r="E65" i="1"/>
  <c r="E66" i="1"/>
  <c r="E67" i="1"/>
  <c r="O28" i="1" s="1"/>
  <c r="E68" i="1"/>
  <c r="E69" i="1"/>
  <c r="E70" i="1"/>
  <c r="E71" i="1"/>
  <c r="E72" i="1"/>
  <c r="Q21" i="1" l="1"/>
  <c r="R21" i="1"/>
  <c r="Q27" i="1"/>
  <c r="R27" i="1"/>
  <c r="Q25" i="1"/>
  <c r="R25" i="1"/>
  <c r="F21" i="1" l="1"/>
  <c r="F39" i="1"/>
  <c r="F40" i="1"/>
  <c r="F41" i="1"/>
  <c r="F42" i="1"/>
  <c r="F43" i="1"/>
  <c r="F44" i="1"/>
  <c r="F45" i="1"/>
  <c r="F46" i="1"/>
  <c r="F47" i="1"/>
  <c r="F48" i="1"/>
  <c r="P26" i="1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P28" i="1" s="1"/>
  <c r="F68" i="1"/>
  <c r="F69" i="1"/>
  <c r="F70" i="1"/>
  <c r="F71" i="1"/>
  <c r="F72" i="1"/>
  <c r="F3" i="1"/>
  <c r="P27" i="1" l="1"/>
  <c r="S8" i="1"/>
  <c r="R9" i="1"/>
  <c r="P25" i="1"/>
  <c r="S7" i="1"/>
  <c r="D38" i="1"/>
  <c r="E38" i="1" s="1"/>
  <c r="F38" i="1" s="1"/>
  <c r="D37" i="1"/>
  <c r="E37" i="1" s="1"/>
  <c r="F37" i="1" s="1"/>
  <c r="D36" i="1"/>
  <c r="E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D24" i="1"/>
  <c r="E24" i="1" s="1"/>
  <c r="F24" i="1" s="1"/>
  <c r="D23" i="1"/>
  <c r="E23" i="1" s="1"/>
  <c r="F23" i="1" s="1"/>
  <c r="D22" i="1"/>
  <c r="E22" i="1" s="1"/>
  <c r="D20" i="1"/>
  <c r="E20" i="1" s="1"/>
  <c r="F20" i="1" s="1"/>
  <c r="D19" i="1"/>
  <c r="E19" i="1" s="1"/>
  <c r="F19" i="1" s="1"/>
  <c r="D18" i="1"/>
  <c r="E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D6" i="1"/>
  <c r="E6" i="1" s="1"/>
  <c r="F6" i="1" s="1"/>
  <c r="D5" i="1"/>
  <c r="E5" i="1" s="1"/>
  <c r="F5" i="1" s="1"/>
  <c r="D4" i="1"/>
  <c r="E4" i="1" s="1"/>
  <c r="O23" i="1" l="1"/>
  <c r="F22" i="1"/>
  <c r="O10" i="1"/>
  <c r="O9" i="1"/>
  <c r="F25" i="1"/>
  <c r="O22" i="1"/>
  <c r="F18" i="1"/>
  <c r="P22" i="1" s="1"/>
  <c r="S10" i="1"/>
  <c r="S9" i="1"/>
  <c r="O21" i="1"/>
  <c r="F4" i="1"/>
  <c r="P10" i="1"/>
  <c r="P9" i="1"/>
  <c r="F7" i="1"/>
  <c r="O24" i="1"/>
  <c r="F36" i="1"/>
  <c r="P24" i="1" s="1"/>
  <c r="R10" i="1"/>
  <c r="O6" i="1" l="1"/>
  <c r="O5" i="1"/>
  <c r="P21" i="1"/>
  <c r="P23" i="1"/>
  <c r="Q5" i="1" l="1"/>
  <c r="Q6" i="1"/>
  <c r="S6" i="1"/>
  <c r="S5" i="1"/>
  <c r="P5" i="1"/>
  <c r="P6" i="1"/>
  <c r="R5" i="1"/>
  <c r="R6" i="1"/>
</calcChain>
</file>

<file path=xl/sharedStrings.xml><?xml version="1.0" encoding="utf-8"?>
<sst xmlns="http://schemas.openxmlformats.org/spreadsheetml/2006/main" count="62" uniqueCount="30">
  <si>
    <t>Replicate</t>
  </si>
  <si>
    <t>Time</t>
  </si>
  <si>
    <t>OD</t>
  </si>
  <si>
    <t>CDW</t>
  </si>
  <si>
    <t>ln(CDW)</t>
  </si>
  <si>
    <t>Glucose</t>
  </si>
  <si>
    <t>Pyruvate</t>
  </si>
  <si>
    <t>Lactate</t>
  </si>
  <si>
    <t>Acetate</t>
  </si>
  <si>
    <t>Strain</t>
  </si>
  <si>
    <t>All data point (mM)</t>
  </si>
  <si>
    <t>Growth rate</t>
  </si>
  <si>
    <t>CDW (g/l)</t>
  </si>
  <si>
    <t>Average</t>
  </si>
  <si>
    <t>St.dev.</t>
  </si>
  <si>
    <t>0,002 g/l asparagine and glutamine in the medium. Assumed to be all consumed.</t>
  </si>
  <si>
    <t>Asparagine: 132.12 g/mol</t>
  </si>
  <si>
    <t>Glutamine: 146.14 g/mol</t>
  </si>
  <si>
    <t>Asparagine:</t>
  </si>
  <si>
    <t>mM</t>
  </si>
  <si>
    <t xml:space="preserve">Glutamine: </t>
  </si>
  <si>
    <t>Asn</t>
  </si>
  <si>
    <t>Gln</t>
  </si>
  <si>
    <t>Data points</t>
  </si>
  <si>
    <t>t4 - t6</t>
  </si>
  <si>
    <t>t1 - t5</t>
  </si>
  <si>
    <t>Rates (mmol/gDW/h)</t>
  </si>
  <si>
    <t>Glucose and pyruvate concentrations in the medium fluctuate, so calculating uptake over short period can give misleading values. Uptake rates was calculated over longer time</t>
  </si>
  <si>
    <t>Model was constraint with these values and pyruvate assumed the same as in the dataset used for model validation (same strain, same conditions)</t>
  </si>
  <si>
    <t>Model with GAM=20 predicted growth rate 0,24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</si>
</sst>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2" borderId="1" xfId="0" applyFill="1" applyBorder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64" fontId="2" fillId="2" borderId="1" xfId="0" applyNumberFormat="1" applyFont="1" applyFill="1" applyBorder="1"/>
    <xf numFmtId="164" fontId="0" fillId="0" borderId="1" xfId="0" applyNumberFormat="1" applyFont="1" applyBorder="1" applyAlignment="1"/>
    <xf numFmtId="164" fontId="0" fillId="2" borderId="1" xfId="0" applyNumberFormat="1" applyFont="1" applyFill="1" applyBorder="1" applyAlignment="1"/>
    <xf numFmtId="0" fontId="0" fillId="0" borderId="0" xfId="0" applyNumberFormat="1" applyFill="1" applyBorder="1"/>
    <xf numFmtId="2" fontId="1" fillId="0" borderId="1" xfId="0" applyNumberFormat="1" applyFont="1" applyBorder="1"/>
    <xf numFmtId="0" fontId="1" fillId="0" borderId="0" xfId="0" applyFont="1"/>
    <xf numFmtId="0" fontId="0" fillId="0" borderId="1" xfId="0" applyFont="1" applyBorder="1"/>
    <xf numFmtId="0" fontId="0" fillId="0" borderId="1" xfId="0" applyNumberFormat="1" applyFont="1" applyFill="1" applyBorder="1"/>
    <xf numFmtId="2" fontId="0" fillId="0" borderId="1" xfId="0" applyNumberFormat="1" applyFont="1" applyBorder="1"/>
    <xf numFmtId="0" fontId="1" fillId="0" borderId="1" xfId="0" applyFont="1" applyBorder="1"/>
    <xf numFmtId="0" fontId="0" fillId="2" borderId="1" xfId="0" applyNumberFormat="1" applyFont="1" applyFill="1" applyBorder="1"/>
    <xf numFmtId="2" fontId="0" fillId="2" borderId="1" xfId="0" applyNumberFormat="1" applyFont="1" applyFill="1" applyBorder="1"/>
    <xf numFmtId="0" fontId="1" fillId="0" borderId="1" xfId="0" applyFont="1" applyFill="1" applyBorder="1"/>
    <xf numFmtId="0" fontId="0" fillId="0" borderId="10" xfId="0" applyNumberFormat="1" applyFont="1" applyFill="1" applyBorder="1"/>
    <xf numFmtId="2" fontId="0" fillId="0" borderId="10" xfId="0" applyNumberFormat="1" applyFont="1" applyBorder="1"/>
    <xf numFmtId="0" fontId="0" fillId="0" borderId="14" xfId="0" applyFont="1" applyBorder="1"/>
    <xf numFmtId="2" fontId="0" fillId="0" borderId="14" xfId="0" applyNumberFormat="1" applyFont="1" applyBorder="1"/>
    <xf numFmtId="0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8" xfId="0" applyNumberFormat="1" applyFill="1" applyBorder="1"/>
    <xf numFmtId="165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4" xfId="0" applyBorder="1"/>
    <xf numFmtId="165" fontId="0" fillId="0" borderId="1" xfId="0" applyNumberFormat="1" applyFont="1" applyBorder="1"/>
    <xf numFmtId="165" fontId="0" fillId="2" borderId="1" xfId="0" applyNumberFormat="1" applyFont="1" applyFill="1" applyBorder="1"/>
    <xf numFmtId="164" fontId="0" fillId="0" borderId="1" xfId="0" applyNumberFormat="1" applyFont="1" applyBorder="1"/>
    <xf numFmtId="164" fontId="0" fillId="2" borderId="1" xfId="0" applyNumberFormat="1" applyFont="1" applyFill="1" applyBorder="1"/>
    <xf numFmtId="0" fontId="0" fillId="0" borderId="1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166" fontId="0" fillId="0" borderId="0" xfId="0" applyNumberFormat="1" applyFont="1" applyBorder="1"/>
    <xf numFmtId="0" fontId="1" fillId="0" borderId="11" xfId="0" applyFont="1" applyBorder="1"/>
    <xf numFmtId="2" fontId="0" fillId="0" borderId="11" xfId="0" applyNumberFormat="1" applyFont="1" applyBorder="1"/>
    <xf numFmtId="0" fontId="0" fillId="0" borderId="0" xfId="0" applyFont="1" applyBorder="1" applyAlignment="1"/>
    <xf numFmtId="0" fontId="1" fillId="0" borderId="0" xfId="0" applyFont="1" applyFill="1" applyBorder="1"/>
    <xf numFmtId="0" fontId="1" fillId="0" borderId="5" xfId="0" applyFont="1" applyFill="1" applyBorder="1"/>
    <xf numFmtId="166" fontId="0" fillId="0" borderId="5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DSM</a:t>
            </a:r>
            <a:r>
              <a:rPr lang="en-US" baseline="0"/>
              <a:t> 4252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Replicate 1</c:v>
          </c:tx>
          <c:spPr>
            <a:ln w="19050">
              <a:noFill/>
            </a:ln>
          </c:spP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Validation'!$F$3:$F$20</c:f>
              <c:numCache>
                <c:formatCode>0.0</c:formatCode>
                <c:ptCount val="18"/>
                <c:pt idx="0">
                  <c:v>-1.3813068196088514</c:v>
                </c:pt>
                <c:pt idx="1">
                  <c:v>-1.2605431558143303</c:v>
                </c:pt>
                <c:pt idx="2">
                  <c:v>-0.98483727440926505</c:v>
                </c:pt>
                <c:pt idx="3">
                  <c:v>-0.8891620644859024</c:v>
                </c:pt>
                <c:pt idx="4">
                  <c:v>-0.70927656248982895</c:v>
                </c:pt>
                <c:pt idx="5">
                  <c:v>-0.45255671564201488</c:v>
                </c:pt>
                <c:pt idx="6">
                  <c:v>-0.24079848655293046</c:v>
                </c:pt>
                <c:pt idx="7">
                  <c:v>-0.15315117949417492</c:v>
                </c:pt>
                <c:pt idx="8">
                  <c:v>-9.706171284313124E-2</c:v>
                </c:pt>
                <c:pt idx="9">
                  <c:v>4.5212342821548145E-2</c:v>
                </c:pt>
                <c:pt idx="10">
                  <c:v>0.14084830858737946</c:v>
                </c:pt>
                <c:pt idx="11">
                  <c:v>0.31663389440154871</c:v>
                </c:pt>
                <c:pt idx="12">
                  <c:v>0.47778576968779041</c:v>
                </c:pt>
                <c:pt idx="13">
                  <c:v>0.62460063802483545</c:v>
                </c:pt>
                <c:pt idx="14">
                  <c:v>0.72754860727727788</c:v>
                </c:pt>
                <c:pt idx="15">
                  <c:v>0.81757475893499743</c:v>
                </c:pt>
                <c:pt idx="16">
                  <c:v>0.82417544296634948</c:v>
                </c:pt>
                <c:pt idx="17">
                  <c:v>0.74193734472937733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71-4056-860E-1F3FD6A004C5}"/>
            </c:ext>
          </c:extLst>
        </c:ser>
        <c:ser>
          <c:idx val="3"/>
          <c:order val="1"/>
          <c:tx>
            <c:v>Replicate 2</c:v>
          </c:tx>
          <c:spPr>
            <a:ln w="25400">
              <a:noFill/>
            </a:ln>
          </c:spP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Validation'!$F$21:$F$38</c:f>
              <c:numCache>
                <c:formatCode>0.0</c:formatCode>
                <c:ptCount val="18"/>
                <c:pt idx="0">
                  <c:v>-1.2115010707467275</c:v>
                </c:pt>
                <c:pt idx="1">
                  <c:v>-1.0861897686695525</c:v>
                </c:pt>
                <c:pt idx="2">
                  <c:v>-1.0555527992076625</c:v>
                </c:pt>
                <c:pt idx="3">
                  <c:v>-1.0174932373833177</c:v>
                </c:pt>
                <c:pt idx="4">
                  <c:v>-0.76571787339478081</c:v>
                </c:pt>
                <c:pt idx="5">
                  <c:v>-0.56211891815354109</c:v>
                </c:pt>
                <c:pt idx="6">
                  <c:v>-0.29169009384931976</c:v>
                </c:pt>
                <c:pt idx="7">
                  <c:v>0.12044615307586726</c:v>
                </c:pt>
                <c:pt idx="8">
                  <c:v>0.30010459245033799</c:v>
                </c:pt>
                <c:pt idx="9">
                  <c:v>0.52324814376454787</c:v>
                </c:pt>
                <c:pt idx="10">
                  <c:v>0.6562238264553476</c:v>
                </c:pt>
                <c:pt idx="11">
                  <c:v>0.75963692182877807</c:v>
                </c:pt>
                <c:pt idx="12">
                  <c:v>0.88789125735245711</c:v>
                </c:pt>
                <c:pt idx="13">
                  <c:v>0.97644465469390229</c:v>
                </c:pt>
                <c:pt idx="14">
                  <c:v>1.0629851110249586</c:v>
                </c:pt>
                <c:pt idx="15">
                  <c:v>1.0986122886681098</c:v>
                </c:pt>
                <c:pt idx="16">
                  <c:v>1.1085626195212779</c:v>
                </c:pt>
                <c:pt idx="17">
                  <c:v>1.0681530811834012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71-4056-860E-1F3FD6A004C5}"/>
            </c:ext>
          </c:extLst>
        </c:ser>
        <c:ser>
          <c:idx val="0"/>
          <c:order val="2"/>
          <c:tx>
            <c:v>Replicate 1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Validation'!$F$3:$F$20</c:f>
              <c:numCache>
                <c:formatCode>0.0</c:formatCode>
                <c:ptCount val="18"/>
                <c:pt idx="0">
                  <c:v>-1.3813068196088514</c:v>
                </c:pt>
                <c:pt idx="1">
                  <c:v>-1.2605431558143303</c:v>
                </c:pt>
                <c:pt idx="2">
                  <c:v>-0.98483727440926505</c:v>
                </c:pt>
                <c:pt idx="3">
                  <c:v>-0.8891620644859024</c:v>
                </c:pt>
                <c:pt idx="4">
                  <c:v>-0.70927656248982895</c:v>
                </c:pt>
                <c:pt idx="5">
                  <c:v>-0.45255671564201488</c:v>
                </c:pt>
                <c:pt idx="6">
                  <c:v>-0.24079848655293046</c:v>
                </c:pt>
                <c:pt idx="7">
                  <c:v>-0.15315117949417492</c:v>
                </c:pt>
                <c:pt idx="8">
                  <c:v>-9.706171284313124E-2</c:v>
                </c:pt>
                <c:pt idx="9">
                  <c:v>4.5212342821548145E-2</c:v>
                </c:pt>
                <c:pt idx="10">
                  <c:v>0.14084830858737946</c:v>
                </c:pt>
                <c:pt idx="11">
                  <c:v>0.31663389440154871</c:v>
                </c:pt>
                <c:pt idx="12">
                  <c:v>0.47778576968779041</c:v>
                </c:pt>
                <c:pt idx="13">
                  <c:v>0.62460063802483545</c:v>
                </c:pt>
                <c:pt idx="14">
                  <c:v>0.72754860727727788</c:v>
                </c:pt>
                <c:pt idx="15">
                  <c:v>0.81757475893499743</c:v>
                </c:pt>
                <c:pt idx="16">
                  <c:v>0.82417544296634948</c:v>
                </c:pt>
                <c:pt idx="17">
                  <c:v>0.74193734472937733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1-4056-860E-1F3FD6A004C5}"/>
            </c:ext>
          </c:extLst>
        </c:ser>
        <c:ser>
          <c:idx val="1"/>
          <c:order val="3"/>
          <c:tx>
            <c:v>Replicate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Validation'!$F$21:$F$38</c:f>
              <c:numCache>
                <c:formatCode>0.0</c:formatCode>
                <c:ptCount val="18"/>
                <c:pt idx="0">
                  <c:v>-1.2115010707467275</c:v>
                </c:pt>
                <c:pt idx="1">
                  <c:v>-1.0861897686695525</c:v>
                </c:pt>
                <c:pt idx="2">
                  <c:v>-1.0555527992076625</c:v>
                </c:pt>
                <c:pt idx="3">
                  <c:v>-1.0174932373833177</c:v>
                </c:pt>
                <c:pt idx="4">
                  <c:v>-0.76571787339478081</c:v>
                </c:pt>
                <c:pt idx="5">
                  <c:v>-0.56211891815354109</c:v>
                </c:pt>
                <c:pt idx="6">
                  <c:v>-0.29169009384931976</c:v>
                </c:pt>
                <c:pt idx="7">
                  <c:v>0.12044615307586726</c:v>
                </c:pt>
                <c:pt idx="8">
                  <c:v>0.30010459245033799</c:v>
                </c:pt>
                <c:pt idx="9">
                  <c:v>0.52324814376454787</c:v>
                </c:pt>
                <c:pt idx="10">
                  <c:v>0.6562238264553476</c:v>
                </c:pt>
                <c:pt idx="11">
                  <c:v>0.75963692182877807</c:v>
                </c:pt>
                <c:pt idx="12">
                  <c:v>0.88789125735245711</c:v>
                </c:pt>
                <c:pt idx="13">
                  <c:v>0.97644465469390229</c:v>
                </c:pt>
                <c:pt idx="14">
                  <c:v>1.0629851110249586</c:v>
                </c:pt>
                <c:pt idx="15">
                  <c:v>1.0986122886681098</c:v>
                </c:pt>
                <c:pt idx="16">
                  <c:v>1.1085626195212779</c:v>
                </c:pt>
                <c:pt idx="17">
                  <c:v>1.0681530811834012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1-4056-860E-1F3FD6A0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10792"/>
        <c:axId val="788912760"/>
      </c:scatterChart>
      <c:valAx>
        <c:axId val="78891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2760"/>
        <c:crossesAt val="-2"/>
        <c:crossBetween val="midCat"/>
      </c:valAx>
      <c:valAx>
        <c:axId val="788912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0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ISCAR 493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Validation'!$F$39:$F$55</c:f>
              <c:numCache>
                <c:formatCode>0.0</c:formatCode>
                <c:ptCount val="17"/>
                <c:pt idx="0">
                  <c:v>-1.2955399978514266</c:v>
                </c:pt>
                <c:pt idx="1">
                  <c:v>-1.2658482080440234</c:v>
                </c:pt>
                <c:pt idx="2">
                  <c:v>-1.0010319603292457</c:v>
                </c:pt>
                <c:pt idx="3">
                  <c:v>-0.73553289705638314</c:v>
                </c:pt>
                <c:pt idx="4">
                  <c:v>-0.45728485683796083</c:v>
                </c:pt>
                <c:pt idx="5">
                  <c:v>-0.22470727329039253</c:v>
                </c:pt>
                <c:pt idx="6">
                  <c:v>-0.1264139248556588</c:v>
                </c:pt>
                <c:pt idx="7">
                  <c:v>-1.0050335853501451E-2</c:v>
                </c:pt>
                <c:pt idx="8">
                  <c:v>8.7119406020215364E-3</c:v>
                </c:pt>
                <c:pt idx="9">
                  <c:v>0.1026693978463353</c:v>
                </c:pt>
                <c:pt idx="10">
                  <c:v>9.4173170017249605E-2</c:v>
                </c:pt>
                <c:pt idx="11">
                  <c:v>0.12773336650955153</c:v>
                </c:pt>
                <c:pt idx="12">
                  <c:v>8.3881483980702234E-2</c:v>
                </c:pt>
                <c:pt idx="13">
                  <c:v>8.732382817167475E-2</c:v>
                </c:pt>
                <c:pt idx="14">
                  <c:v>6.2974799161388595E-2</c:v>
                </c:pt>
                <c:pt idx="15">
                  <c:v>-0.10536051565782641</c:v>
                </c:pt>
                <c:pt idx="16">
                  <c:v>0.21611893637724527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1-4E1B-B5EC-2FD15AB69B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Validation'!$F$56:$F$72</c:f>
              <c:numCache>
                <c:formatCode>0.0</c:formatCode>
                <c:ptCount val="17"/>
                <c:pt idx="0">
                  <c:v>-1.8627185581685488</c:v>
                </c:pt>
                <c:pt idx="1">
                  <c:v>-1.3024128771391885</c:v>
                </c:pt>
                <c:pt idx="2">
                  <c:v>-1.0906441190189327</c:v>
                </c:pt>
                <c:pt idx="3">
                  <c:v>-0.86038309993585893</c:v>
                </c:pt>
                <c:pt idx="4">
                  <c:v>-0.52975363365150951</c:v>
                </c:pt>
                <c:pt idx="5">
                  <c:v>-0.25231492861448956</c:v>
                </c:pt>
                <c:pt idx="6">
                  <c:v>6.8514749491017379E-3</c:v>
                </c:pt>
                <c:pt idx="7">
                  <c:v>0.33289441527332897</c:v>
                </c:pt>
                <c:pt idx="8">
                  <c:v>0.63855899027554208</c:v>
                </c:pt>
                <c:pt idx="9">
                  <c:v>0.72391883922669897</c:v>
                </c:pt>
                <c:pt idx="10">
                  <c:v>0.93462168855887873</c:v>
                </c:pt>
                <c:pt idx="11">
                  <c:v>1.070727085178574</c:v>
                </c:pt>
                <c:pt idx="12">
                  <c:v>1.070727085178574</c:v>
                </c:pt>
                <c:pt idx="13">
                  <c:v>1.0986122886681098</c:v>
                </c:pt>
                <c:pt idx="14">
                  <c:v>1.1085626195212779</c:v>
                </c:pt>
                <c:pt idx="15">
                  <c:v>1.0885619528146082</c:v>
                </c:pt>
                <c:pt idx="16">
                  <c:v>1.2767584740515836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1-4E1B-B5EC-2FD15AB6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10792"/>
        <c:axId val="788912760"/>
      </c:scatterChart>
      <c:valAx>
        <c:axId val="78891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2760"/>
        <c:crossesAt val="-2"/>
        <c:crossBetween val="midCat"/>
      </c:valAx>
      <c:valAx>
        <c:axId val="788912760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DSM</a:t>
            </a:r>
            <a:r>
              <a:rPr lang="is-IS" i="0" baseline="0"/>
              <a:t> 4252 Replicate 1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Validation'!$G$3:$G$20</c:f>
              <c:numCache>
                <c:formatCode>0.00</c:formatCode>
                <c:ptCount val="18"/>
                <c:pt idx="0">
                  <c:v>45.46504140855702</c:v>
                </c:pt>
                <c:pt idx="1">
                  <c:v>44.190035302737627</c:v>
                </c:pt>
                <c:pt idx="2">
                  <c:v>43.315237904926839</c:v>
                </c:pt>
                <c:pt idx="3">
                  <c:v>42.608628077888049</c:v>
                </c:pt>
                <c:pt idx="4">
                  <c:v>31.588734208130727</c:v>
                </c:pt>
                <c:pt idx="5">
                  <c:v>29.756433313350652</c:v>
                </c:pt>
                <c:pt idx="6">
                  <c:v>28.324341126579188</c:v>
                </c:pt>
                <c:pt idx="7">
                  <c:v>25.827616066076068</c:v>
                </c:pt>
                <c:pt idx="8">
                  <c:v>26.242256710850594</c:v>
                </c:pt>
                <c:pt idx="9">
                  <c:v>23.450232021137239</c:v>
                </c:pt>
                <c:pt idx="10">
                  <c:v>20.675414640644775</c:v>
                </c:pt>
                <c:pt idx="11">
                  <c:v>17.67301671884367</c:v>
                </c:pt>
                <c:pt idx="12">
                  <c:v>20.466706632030018</c:v>
                </c:pt>
                <c:pt idx="13">
                  <c:v>13.937920468926929</c:v>
                </c:pt>
                <c:pt idx="14">
                  <c:v>9.1098825462377047</c:v>
                </c:pt>
                <c:pt idx="15">
                  <c:v>4.4344901085725708</c:v>
                </c:pt>
                <c:pt idx="16">
                  <c:v>0.59892537578543037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32D-B645-A050EAD0C661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Validation'!$I$3:$I$20</c:f>
              <c:numCache>
                <c:formatCode>0.00</c:formatCode>
                <c:ptCount val="18"/>
                <c:pt idx="0">
                  <c:v>0</c:v>
                </c:pt>
                <c:pt idx="1">
                  <c:v>0.31083481349911191</c:v>
                </c:pt>
                <c:pt idx="2">
                  <c:v>0.37744227353463589</c:v>
                </c:pt>
                <c:pt idx="3">
                  <c:v>0.42184724689165187</c:v>
                </c:pt>
                <c:pt idx="4">
                  <c:v>0.43294849023090598</c:v>
                </c:pt>
                <c:pt idx="5">
                  <c:v>0.72158081705150978</c:v>
                </c:pt>
                <c:pt idx="6">
                  <c:v>1.8095026642984016</c:v>
                </c:pt>
                <c:pt idx="7">
                  <c:v>3.519094138543517</c:v>
                </c:pt>
                <c:pt idx="8">
                  <c:v>5.8836589698046184</c:v>
                </c:pt>
                <c:pt idx="9">
                  <c:v>7.3379218472468919</c:v>
                </c:pt>
                <c:pt idx="10">
                  <c:v>9.1585257548845469</c:v>
                </c:pt>
                <c:pt idx="11">
                  <c:v>12.522202486678509</c:v>
                </c:pt>
                <c:pt idx="12">
                  <c:v>24.356127886323268</c:v>
                </c:pt>
                <c:pt idx="13">
                  <c:v>29.151865008880996</c:v>
                </c:pt>
                <c:pt idx="14">
                  <c:v>37.322380106571934</c:v>
                </c:pt>
                <c:pt idx="15">
                  <c:v>46.325488454706928</c:v>
                </c:pt>
                <c:pt idx="16">
                  <c:v>54.384991119005328</c:v>
                </c:pt>
                <c:pt idx="17">
                  <c:v>38.243783303730019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3-432D-B645-A050EAD0C661}"/>
            </c:ext>
          </c:extLst>
        </c:ser>
        <c:ser>
          <c:idx val="8"/>
          <c:order val="3"/>
          <c:tx>
            <c:v>Pyruvate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Validation'!$H$3:$H$20</c:f>
              <c:numCache>
                <c:formatCode>0.00</c:formatCode>
                <c:ptCount val="18"/>
                <c:pt idx="0">
                  <c:v>9.5699795536069754</c:v>
                </c:pt>
                <c:pt idx="1">
                  <c:v>8.7952915163479091</c:v>
                </c:pt>
                <c:pt idx="2">
                  <c:v>7.7881970679111223</c:v>
                </c:pt>
                <c:pt idx="3">
                  <c:v>6.7552796848990324</c:v>
                </c:pt>
                <c:pt idx="4">
                  <c:v>6.2129980588176856</c:v>
                </c:pt>
                <c:pt idx="5">
                  <c:v>5.9805916476399661</c:v>
                </c:pt>
                <c:pt idx="6">
                  <c:v>5.8772999093387579</c:v>
                </c:pt>
                <c:pt idx="7">
                  <c:v>6.0064145822152684</c:v>
                </c:pt>
                <c:pt idx="8">
                  <c:v>7.065154899802657</c:v>
                </c:pt>
                <c:pt idx="9">
                  <c:v>6.7036338157484279</c:v>
                </c:pt>
                <c:pt idx="10">
                  <c:v>6.5512785017541493</c:v>
                </c:pt>
                <c:pt idx="11">
                  <c:v>5.1310171001125315</c:v>
                </c:pt>
                <c:pt idx="12">
                  <c:v>4.6920272123323929</c:v>
                </c:pt>
                <c:pt idx="13">
                  <c:v>3.8269589040597727</c:v>
                </c:pt>
                <c:pt idx="14">
                  <c:v>3.0538202428752341</c:v>
                </c:pt>
                <c:pt idx="15">
                  <c:v>1.5276848094748754</c:v>
                </c:pt>
                <c:pt idx="16">
                  <c:v>1.7471797533649431</c:v>
                </c:pt>
                <c:pt idx="17">
                  <c:v>0.56707164327363402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3-432D-B645-A050EAD0C661}"/>
            </c:ext>
          </c:extLst>
        </c:ser>
        <c:ser>
          <c:idx val="9"/>
          <c:order val="4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Validation'!$J$3:$J$20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0.26643575567841205</c:v>
                </c:pt>
                <c:pt idx="6">
                  <c:v>0.59948045027642705</c:v>
                </c:pt>
                <c:pt idx="7">
                  <c:v>0.76600279757543466</c:v>
                </c:pt>
                <c:pt idx="8">
                  <c:v>0.96582961433424364</c:v>
                </c:pt>
                <c:pt idx="9">
                  <c:v>1.2322653700126558</c:v>
                </c:pt>
                <c:pt idx="10">
                  <c:v>2.1814427496169988</c:v>
                </c:pt>
                <c:pt idx="11">
                  <c:v>4.2962765603143946</c:v>
                </c:pt>
                <c:pt idx="12">
                  <c:v>10.224472124159062</c:v>
                </c:pt>
                <c:pt idx="13">
                  <c:v>13.155265436621594</c:v>
                </c:pt>
                <c:pt idx="14">
                  <c:v>16.868713781389459</c:v>
                </c:pt>
                <c:pt idx="15">
                  <c:v>19.966029441151001</c:v>
                </c:pt>
                <c:pt idx="16">
                  <c:v>24.045826949976686</c:v>
                </c:pt>
                <c:pt idx="17">
                  <c:v>17.501498701125691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3-432D-B645-A050EAD0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Validation'!$D$3:$D$20</c:f>
              <c:numCache>
                <c:formatCode>#,##0.000</c:formatCode>
                <c:ptCount val="18"/>
                <c:pt idx="0">
                  <c:v>0.33500000000000002</c:v>
                </c:pt>
                <c:pt idx="1">
                  <c:v>0.378</c:v>
                </c:pt>
                <c:pt idx="2">
                  <c:v>0.498</c:v>
                </c:pt>
                <c:pt idx="3">
                  <c:v>0.54800000000000004</c:v>
                </c:pt>
                <c:pt idx="4">
                  <c:v>0.65600000000000003</c:v>
                </c:pt>
                <c:pt idx="5">
                  <c:v>0.84799999999999998</c:v>
                </c:pt>
                <c:pt idx="6">
                  <c:v>1.048</c:v>
                </c:pt>
                <c:pt idx="7">
                  <c:v>1.1439999999999999</c:v>
                </c:pt>
                <c:pt idx="8">
                  <c:v>1.21</c:v>
                </c:pt>
                <c:pt idx="9">
                  <c:v>1.395</c:v>
                </c:pt>
                <c:pt idx="10">
                  <c:v>1.5349999999999999</c:v>
                </c:pt>
                <c:pt idx="11">
                  <c:v>1.83</c:v>
                </c:pt>
                <c:pt idx="12">
                  <c:v>2.15</c:v>
                </c:pt>
                <c:pt idx="13">
                  <c:v>2.4900000000000002</c:v>
                </c:pt>
                <c:pt idx="14">
                  <c:v>2.7600000000000002</c:v>
                </c:pt>
                <c:pt idx="15">
                  <c:v>3.02</c:v>
                </c:pt>
                <c:pt idx="16">
                  <c:v>3.04</c:v>
                </c:pt>
                <c:pt idx="17">
                  <c:v>2.8000000000000003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3-432D-B645-A050EAD0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DSM</a:t>
            </a:r>
            <a:r>
              <a:rPr lang="is-IS" i="0" baseline="0"/>
              <a:t> 4252 Replicate 2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Validation'!$G$21:$G$38</c:f>
              <c:numCache>
                <c:formatCode>0.00</c:formatCode>
                <c:ptCount val="18"/>
                <c:pt idx="0">
                  <c:v>46.446413108639177</c:v>
                </c:pt>
                <c:pt idx="1">
                  <c:v>45.775883123515179</c:v>
                </c:pt>
                <c:pt idx="2">
                  <c:v>42.857856524345564</c:v>
                </c:pt>
                <c:pt idx="3">
                  <c:v>34.772641488487757</c:v>
                </c:pt>
                <c:pt idx="4">
                  <c:v>32.132707209307483</c:v>
                </c:pt>
                <c:pt idx="5">
                  <c:v>31.350052177002151</c:v>
                </c:pt>
                <c:pt idx="6">
                  <c:v>29.29905193276938</c:v>
                </c:pt>
                <c:pt idx="7">
                  <c:v>31.138568795932414</c:v>
                </c:pt>
                <c:pt idx="8">
                  <c:v>27.054330691178755</c:v>
                </c:pt>
                <c:pt idx="9">
                  <c:v>23.200448500188728</c:v>
                </c:pt>
                <c:pt idx="10">
                  <c:v>26.052421234929728</c:v>
                </c:pt>
                <c:pt idx="11">
                  <c:v>13.704789182708319</c:v>
                </c:pt>
                <c:pt idx="12">
                  <c:v>9.7398920935189484</c:v>
                </c:pt>
                <c:pt idx="13">
                  <c:v>9.6188858544816718</c:v>
                </c:pt>
                <c:pt idx="14">
                  <c:v>6.743599991118808</c:v>
                </c:pt>
                <c:pt idx="15">
                  <c:v>2.8547481071959853</c:v>
                </c:pt>
                <c:pt idx="16">
                  <c:v>0.48846555207708875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A-48B8-839A-F05D52CC41F4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Validation'!$I$21:$I$38</c:f>
              <c:numCache>
                <c:formatCode>0.00</c:formatCode>
                <c:ptCount val="18"/>
                <c:pt idx="0">
                  <c:v>0</c:v>
                </c:pt>
                <c:pt idx="1">
                  <c:v>0.36634103019538189</c:v>
                </c:pt>
                <c:pt idx="2">
                  <c:v>0.56616341030195383</c:v>
                </c:pt>
                <c:pt idx="3">
                  <c:v>0.42184724689165187</c:v>
                </c:pt>
                <c:pt idx="4">
                  <c:v>0.55506216696269983</c:v>
                </c:pt>
                <c:pt idx="5">
                  <c:v>0.63277087033747781</c:v>
                </c:pt>
                <c:pt idx="6">
                  <c:v>0.81039076376554176</c:v>
                </c:pt>
                <c:pt idx="7">
                  <c:v>1.3543516873889876</c:v>
                </c:pt>
                <c:pt idx="8">
                  <c:v>2.5199822380106571</c:v>
                </c:pt>
                <c:pt idx="9">
                  <c:v>4.8068383658969802</c:v>
                </c:pt>
                <c:pt idx="10">
                  <c:v>11.445381882770871</c:v>
                </c:pt>
                <c:pt idx="11">
                  <c:v>12.5</c:v>
                </c:pt>
                <c:pt idx="12">
                  <c:v>14.964476021314388</c:v>
                </c:pt>
                <c:pt idx="13">
                  <c:v>24.167406749555951</c:v>
                </c:pt>
                <c:pt idx="14">
                  <c:v>27.764209591474245</c:v>
                </c:pt>
                <c:pt idx="15">
                  <c:v>31.782859680284194</c:v>
                </c:pt>
                <c:pt idx="16">
                  <c:v>29.273978685612789</c:v>
                </c:pt>
                <c:pt idx="17">
                  <c:v>20.737122557726465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A-48B8-839A-F05D52CC41F4}"/>
            </c:ext>
          </c:extLst>
        </c:ser>
        <c:ser>
          <c:idx val="8"/>
          <c:order val="3"/>
          <c:tx>
            <c:v>Pyruvate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Validation'!$H$21:$H$38</c:f>
              <c:numCache>
                <c:formatCode>0.00</c:formatCode>
                <c:ptCount val="18"/>
                <c:pt idx="0">
                  <c:v>8.382124563143071</c:v>
                </c:pt>
                <c:pt idx="1">
                  <c:v>8.5887080397454856</c:v>
                </c:pt>
                <c:pt idx="2">
                  <c:v>7.8656658716370256</c:v>
                </c:pt>
                <c:pt idx="3">
                  <c:v>7.5816135913087042</c:v>
                </c:pt>
                <c:pt idx="4">
                  <c:v>6.0064145822152657</c:v>
                </c:pt>
                <c:pt idx="5">
                  <c:v>6.1871751242423807</c:v>
                </c:pt>
                <c:pt idx="6">
                  <c:v>6.7294567503237301</c:v>
                </c:pt>
                <c:pt idx="7">
                  <c:v>6.0838833859411787</c:v>
                </c:pt>
                <c:pt idx="8">
                  <c:v>4.1538772557831063</c:v>
                </c:pt>
                <c:pt idx="9">
                  <c:v>3.079643177450536</c:v>
                </c:pt>
                <c:pt idx="10">
                  <c:v>1.8737121327839239</c:v>
                </c:pt>
                <c:pt idx="11">
                  <c:v>1.0577074002043758</c:v>
                </c:pt>
                <c:pt idx="12">
                  <c:v>0.70393319652273567</c:v>
                </c:pt>
                <c:pt idx="13">
                  <c:v>0.42504550310947192</c:v>
                </c:pt>
                <c:pt idx="14">
                  <c:v>0.27527248257271936</c:v>
                </c:pt>
                <c:pt idx="15">
                  <c:v>0.22657042796370114</c:v>
                </c:pt>
                <c:pt idx="16">
                  <c:v>0.27666692103978724</c:v>
                </c:pt>
                <c:pt idx="17">
                  <c:v>0.23173501487876144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A-48B8-839A-F05D52CC41F4}"/>
            </c:ext>
          </c:extLst>
        </c:ser>
        <c:ser>
          <c:idx val="9"/>
          <c:order val="4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Validation'!$J$21:$J$38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8.3261173649503764E-2</c:v>
                </c:pt>
                <c:pt idx="6">
                  <c:v>0.38300139878771733</c:v>
                </c:pt>
                <c:pt idx="7">
                  <c:v>1.0823952574435489</c:v>
                </c:pt>
                <c:pt idx="8">
                  <c:v>2.1980949843468993</c:v>
                </c:pt>
                <c:pt idx="9">
                  <c:v>3.6468394058482647</c:v>
                </c:pt>
                <c:pt idx="10">
                  <c:v>7.5601145673749421</c:v>
                </c:pt>
                <c:pt idx="11">
                  <c:v>6.6109371877705989</c:v>
                </c:pt>
                <c:pt idx="12">
                  <c:v>7.6766802104842471</c:v>
                </c:pt>
                <c:pt idx="13">
                  <c:v>13.205222140811298</c:v>
                </c:pt>
                <c:pt idx="14">
                  <c:v>15.4699260640778</c:v>
                </c:pt>
                <c:pt idx="15">
                  <c:v>18.483980550189834</c:v>
                </c:pt>
                <c:pt idx="16">
                  <c:v>18.667155132218745</c:v>
                </c:pt>
                <c:pt idx="17">
                  <c:v>14.254312928795045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A-48B8-839A-F05D52CC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Validation'!$D$21:$D$38</c:f>
              <c:numCache>
                <c:formatCode>#,##0.000</c:formatCode>
                <c:ptCount val="18"/>
                <c:pt idx="0">
                  <c:v>0.39700000000000002</c:v>
                </c:pt>
                <c:pt idx="1">
                  <c:v>0.45</c:v>
                </c:pt>
                <c:pt idx="2">
                  <c:v>0.46400000000000002</c:v>
                </c:pt>
                <c:pt idx="3">
                  <c:v>0.48199999999999998</c:v>
                </c:pt>
                <c:pt idx="4">
                  <c:v>0.62</c:v>
                </c:pt>
                <c:pt idx="5">
                  <c:v>0.76</c:v>
                </c:pt>
                <c:pt idx="6">
                  <c:v>0.996</c:v>
                </c:pt>
                <c:pt idx="7">
                  <c:v>1.504</c:v>
                </c:pt>
                <c:pt idx="8">
                  <c:v>1.7999999999999998</c:v>
                </c:pt>
                <c:pt idx="9">
                  <c:v>2.25</c:v>
                </c:pt>
                <c:pt idx="10">
                  <c:v>2.5700000000000003</c:v>
                </c:pt>
                <c:pt idx="11">
                  <c:v>2.8499999999999996</c:v>
                </c:pt>
                <c:pt idx="12">
                  <c:v>3.24</c:v>
                </c:pt>
                <c:pt idx="13">
                  <c:v>3.54</c:v>
                </c:pt>
                <c:pt idx="14">
                  <c:v>3.8600000000000003</c:v>
                </c:pt>
                <c:pt idx="15">
                  <c:v>4</c:v>
                </c:pt>
                <c:pt idx="16">
                  <c:v>4.04</c:v>
                </c:pt>
                <c:pt idx="17">
                  <c:v>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7A-48B8-839A-F05D52CC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ISCAR 493 </a:t>
            </a:r>
            <a:r>
              <a:rPr lang="is-IS" i="0" baseline="0"/>
              <a:t>Replicate 1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Validation'!$G$39:$G$55</c:f>
              <c:numCache>
                <c:formatCode>0.00</c:formatCode>
                <c:ptCount val="17"/>
                <c:pt idx="0">
                  <c:v>80.258775727702641</c:v>
                </c:pt>
                <c:pt idx="1">
                  <c:v>47.637602966318084</c:v>
                </c:pt>
                <c:pt idx="2">
                  <c:v>47.470525544528066</c:v>
                </c:pt>
                <c:pt idx="3">
                  <c:v>47.714758320566624</c:v>
                </c:pt>
                <c:pt idx="4">
                  <c:v>41.814316481271788</c:v>
                </c:pt>
                <c:pt idx="5">
                  <c:v>41.11325739914296</c:v>
                </c:pt>
                <c:pt idx="6">
                  <c:v>38.738648726659115</c:v>
                </c:pt>
                <c:pt idx="7">
                  <c:v>54.17193987433113</c:v>
                </c:pt>
                <c:pt idx="8">
                  <c:v>34.286951308865646</c:v>
                </c:pt>
                <c:pt idx="9">
                  <c:v>31.660338817469306</c:v>
                </c:pt>
                <c:pt idx="10">
                  <c:v>29.18415151313306</c:v>
                </c:pt>
                <c:pt idx="11">
                  <c:v>34.553387064544062</c:v>
                </c:pt>
                <c:pt idx="12">
                  <c:v>24.099114101112367</c:v>
                </c:pt>
                <c:pt idx="13">
                  <c:v>21.268234197029241</c:v>
                </c:pt>
                <c:pt idx="14">
                  <c:v>19.296609605008992</c:v>
                </c:pt>
                <c:pt idx="15">
                  <c:v>28.182242056884036</c:v>
                </c:pt>
                <c:pt idx="16">
                  <c:v>26.703523612868846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E-40BB-8880-8DCC0FF67E57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Validation'!$I$39:$I$55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2.616563055062167</c:v>
                </c:pt>
                <c:pt idx="6">
                  <c:v>4.1529751332149196</c:v>
                </c:pt>
                <c:pt idx="7">
                  <c:v>9.4149644760213143</c:v>
                </c:pt>
                <c:pt idx="8">
                  <c:v>8.87544404973357</c:v>
                </c:pt>
                <c:pt idx="9">
                  <c:v>11.423179396092362</c:v>
                </c:pt>
                <c:pt idx="10">
                  <c:v>13.520204262877444</c:v>
                </c:pt>
                <c:pt idx="11">
                  <c:v>19.276198934280639</c:v>
                </c:pt>
                <c:pt idx="12">
                  <c:v>16.664076376554174</c:v>
                </c:pt>
                <c:pt idx="13">
                  <c:v>18.284857904085257</c:v>
                </c:pt>
                <c:pt idx="14">
                  <c:v>19.761323268206038</c:v>
                </c:pt>
                <c:pt idx="15">
                  <c:v>22.383436944937834</c:v>
                </c:pt>
                <c:pt idx="16">
                  <c:v>23.743339253996446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E-40BB-8880-8DCC0FF67E57}"/>
            </c:ext>
          </c:extLst>
        </c:ser>
        <c:ser>
          <c:idx val="9"/>
          <c:order val="3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Validation'!$J$39:$J$55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3.6135349363884632</c:v>
                </c:pt>
                <c:pt idx="16">
                  <c:v>4.1963631519349898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E-40BB-8880-8DCC0FF6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Validation'!$D$39:$D$55</c:f>
              <c:numCache>
                <c:formatCode>#,##0.000</c:formatCode>
                <c:ptCount val="17"/>
                <c:pt idx="0">
                  <c:v>0.36499999999999999</c:v>
                </c:pt>
                <c:pt idx="1">
                  <c:v>0.376</c:v>
                </c:pt>
                <c:pt idx="2">
                  <c:v>0.49</c:v>
                </c:pt>
                <c:pt idx="3">
                  <c:v>0.63900000000000001</c:v>
                </c:pt>
                <c:pt idx="4">
                  <c:v>0.84399999999999997</c:v>
                </c:pt>
                <c:pt idx="5">
                  <c:v>1.0649999999999999</c:v>
                </c:pt>
                <c:pt idx="6">
                  <c:v>1.1749999999999998</c:v>
                </c:pt>
                <c:pt idx="7">
                  <c:v>1.32</c:v>
                </c:pt>
                <c:pt idx="8">
                  <c:v>1.3450000000000002</c:v>
                </c:pt>
                <c:pt idx="9">
                  <c:v>1.4775</c:v>
                </c:pt>
                <c:pt idx="10">
                  <c:v>1.4649999999999999</c:v>
                </c:pt>
                <c:pt idx="11">
                  <c:v>1.5149999999999999</c:v>
                </c:pt>
                <c:pt idx="12">
                  <c:v>1.4500000000000002</c:v>
                </c:pt>
                <c:pt idx="13">
                  <c:v>1.4549999999999998</c:v>
                </c:pt>
                <c:pt idx="14">
                  <c:v>1.4200000000000002</c:v>
                </c:pt>
                <c:pt idx="15">
                  <c:v>1.2</c:v>
                </c:pt>
                <c:pt idx="16">
                  <c:v>1.655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3E-40BB-8880-8DCC0FF6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  <c:max val="5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ISCAR 493 </a:t>
            </a:r>
            <a:r>
              <a:rPr lang="is-IS" i="0" baseline="0"/>
              <a:t>Replicate 2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Validation'!$G$56:$G$72</c:f>
              <c:numCache>
                <c:formatCode>0.00</c:formatCode>
                <c:ptCount val="17"/>
                <c:pt idx="0">
                  <c:v>53.02793134838695</c:v>
                </c:pt>
                <c:pt idx="1">
                  <c:v>45.348475765447724</c:v>
                </c:pt>
                <c:pt idx="2">
                  <c:v>46.285996580741127</c:v>
                </c:pt>
                <c:pt idx="3">
                  <c:v>46.700637225515663</c:v>
                </c:pt>
                <c:pt idx="4">
                  <c:v>41.335287195541639</c:v>
                </c:pt>
                <c:pt idx="5">
                  <c:v>40.670863029818598</c:v>
                </c:pt>
                <c:pt idx="6">
                  <c:v>37.599635871133898</c:v>
                </c:pt>
                <c:pt idx="7">
                  <c:v>51.848953129509979</c:v>
                </c:pt>
                <c:pt idx="8">
                  <c:v>29.462798907613397</c:v>
                </c:pt>
                <c:pt idx="9">
                  <c:v>26.419325473478537</c:v>
                </c:pt>
                <c:pt idx="10">
                  <c:v>22.81189635649104</c:v>
                </c:pt>
                <c:pt idx="11">
                  <c:v>28.649614778303249</c:v>
                </c:pt>
                <c:pt idx="12">
                  <c:v>16.605053398166035</c:v>
                </c:pt>
                <c:pt idx="13">
                  <c:v>13.547148027265258</c:v>
                </c:pt>
                <c:pt idx="14">
                  <c:v>11.407890938964011</c:v>
                </c:pt>
                <c:pt idx="15">
                  <c:v>9.8864317591420754</c:v>
                </c:pt>
                <c:pt idx="16">
                  <c:v>7.9669841692755163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8-4A50-8FAB-8D5C685E03D9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Validation'!$I$56:$I$72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2.5543960923623446</c:v>
                </c:pt>
                <c:pt idx="7">
                  <c:v>4.9433836589698039</c:v>
                </c:pt>
                <c:pt idx="8">
                  <c:v>7.2613232682060396</c:v>
                </c:pt>
                <c:pt idx="9">
                  <c:v>6.6685168738898764</c:v>
                </c:pt>
                <c:pt idx="10">
                  <c:v>7.5921403197158082</c:v>
                </c:pt>
                <c:pt idx="11">
                  <c:v>10.656083481349912</c:v>
                </c:pt>
                <c:pt idx="12">
                  <c:v>8.0783747779751334</c:v>
                </c:pt>
                <c:pt idx="13">
                  <c:v>8.2215808170515103</c:v>
                </c:pt>
                <c:pt idx="14">
                  <c:v>8.6423179396092369</c:v>
                </c:pt>
                <c:pt idx="15">
                  <c:v>9.5015541740674951</c:v>
                </c:pt>
                <c:pt idx="16">
                  <c:v>9.7402309058614556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8-4A50-8FAB-8D5C685E03D9}"/>
            </c:ext>
          </c:extLst>
        </c:ser>
        <c:ser>
          <c:idx val="9"/>
          <c:order val="3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Validation'!$J$56:$J$72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3.8133617531472725</c:v>
                </c:pt>
                <c:pt idx="9">
                  <c:v>4.5294078465330045</c:v>
                </c:pt>
                <c:pt idx="10">
                  <c:v>4.9457137147805232</c:v>
                </c:pt>
                <c:pt idx="11">
                  <c:v>3.913275161526677</c:v>
                </c:pt>
                <c:pt idx="12">
                  <c:v>5.4619329914074468</c:v>
                </c:pt>
                <c:pt idx="13">
                  <c:v>6.1613268500632783</c:v>
                </c:pt>
                <c:pt idx="14">
                  <c:v>7.1105042296676215</c:v>
                </c:pt>
                <c:pt idx="15">
                  <c:v>6.6109371877705989</c:v>
                </c:pt>
                <c:pt idx="16">
                  <c:v>7.1771131685872245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8-4A50-8FAB-8D5C685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Validation'!$D$56:$D$72</c:f>
              <c:numCache>
                <c:formatCode>#,##0.000</c:formatCode>
                <c:ptCount val="17"/>
                <c:pt idx="0">
                  <c:v>0.20699999999999999</c:v>
                </c:pt>
                <c:pt idx="1">
                  <c:v>0.36249999999999999</c:v>
                </c:pt>
                <c:pt idx="2">
                  <c:v>0.44800000000000001</c:v>
                </c:pt>
                <c:pt idx="3">
                  <c:v>0.56400000000000006</c:v>
                </c:pt>
                <c:pt idx="4">
                  <c:v>0.78500000000000003</c:v>
                </c:pt>
                <c:pt idx="5">
                  <c:v>1.036</c:v>
                </c:pt>
                <c:pt idx="6">
                  <c:v>1.3425</c:v>
                </c:pt>
                <c:pt idx="7">
                  <c:v>1.8599999999999999</c:v>
                </c:pt>
                <c:pt idx="8">
                  <c:v>2.5249999999999999</c:v>
                </c:pt>
                <c:pt idx="9">
                  <c:v>2.75</c:v>
                </c:pt>
                <c:pt idx="10">
                  <c:v>3.3950000000000005</c:v>
                </c:pt>
                <c:pt idx="11">
                  <c:v>3.89</c:v>
                </c:pt>
                <c:pt idx="12">
                  <c:v>3.89</c:v>
                </c:pt>
                <c:pt idx="13">
                  <c:v>4</c:v>
                </c:pt>
                <c:pt idx="14">
                  <c:v>4.04</c:v>
                </c:pt>
                <c:pt idx="15">
                  <c:v>3.96</c:v>
                </c:pt>
                <c:pt idx="16">
                  <c:v>4.7799999999999994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8-4A50-8FAB-8D5C685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  <c:max val="5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GAM!$E$2</c:f>
              <c:strCache>
                <c:ptCount val="1"/>
                <c:pt idx="0">
                  <c:v>ln(CDW)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GAM!$B$3:$B$21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GAM!$E$3:$E$21</c:f>
              <c:numCache>
                <c:formatCode>General</c:formatCode>
                <c:ptCount val="19"/>
                <c:pt idx="0">
                  <c:v>-1.3461125714870588</c:v>
                </c:pt>
                <c:pt idx="1">
                  <c:v>-1.1623511296351163</c:v>
                </c:pt>
                <c:pt idx="2">
                  <c:v>-1.0154206977813454</c:v>
                </c:pt>
                <c:pt idx="3">
                  <c:v>-0.72929262719629862</c:v>
                </c:pt>
                <c:pt idx="4">
                  <c:v>-0.49532143723002542</c:v>
                </c:pt>
                <c:pt idx="5">
                  <c:v>-0.23177444051348484</c:v>
                </c:pt>
                <c:pt idx="6">
                  <c:v>-0.10953588706830707</c:v>
                </c:pt>
                <c:pt idx="7">
                  <c:v>-1.3845406822052982E-2</c:v>
                </c:pt>
                <c:pt idx="8">
                  <c:v>1.980262729617973E-2</c:v>
                </c:pt>
                <c:pt idx="9">
                  <c:v>7.6961041136128394E-2</c:v>
                </c:pt>
                <c:pt idx="10">
                  <c:v>8.3881483980702026E-2</c:v>
                </c:pt>
                <c:pt idx="11">
                  <c:v>8.3881483980702026E-2</c:v>
                </c:pt>
                <c:pt idx="12">
                  <c:v>7.6961041136128394E-2</c:v>
                </c:pt>
                <c:pt idx="13">
                  <c:v>0.10773269980288203</c:v>
                </c:pt>
                <c:pt idx="14">
                  <c:v>0.13431233760759387</c:v>
                </c:pt>
                <c:pt idx="15">
                  <c:v>0.29173634277982141</c:v>
                </c:pt>
                <c:pt idx="16">
                  <c:v>8.7323828171674958E-2</c:v>
                </c:pt>
                <c:pt idx="17">
                  <c:v>-1.3845406822053095E-2</c:v>
                </c:pt>
                <c:pt idx="18">
                  <c:v>0.1144441343908689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27B-8DA0-4E8097B1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8656"/>
        <c:axId val="813795544"/>
      </c:scatterChart>
      <c:valAx>
        <c:axId val="8137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95544"/>
        <c:crosses val="autoZero"/>
        <c:crossBetween val="midCat"/>
      </c:valAx>
      <c:valAx>
        <c:axId val="8137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28</xdr:row>
      <xdr:rowOff>119061</xdr:rowOff>
    </xdr:from>
    <xdr:to>
      <xdr:col>17</xdr:col>
      <xdr:colOff>581025</xdr:colOff>
      <xdr:row>42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BDCA2-AB24-4FCF-8FE3-17A326F3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43</xdr:row>
      <xdr:rowOff>57150</xdr:rowOff>
    </xdr:from>
    <xdr:to>
      <xdr:col>18</xdr:col>
      <xdr:colOff>0</xdr:colOff>
      <xdr:row>57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B41C8-A7F5-4AB3-BAEF-A22126306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12</xdr:row>
      <xdr:rowOff>171451</xdr:rowOff>
    </xdr:from>
    <xdr:to>
      <xdr:col>25</xdr:col>
      <xdr:colOff>285750</xdr:colOff>
      <xdr:row>30</xdr:row>
      <xdr:rowOff>120651</xdr:rowOff>
    </xdr:to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3A79C28A-BAE3-4336-99C2-05290665C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19</xdr:col>
      <xdr:colOff>0</xdr:colOff>
      <xdr:row>32</xdr:row>
      <xdr:rowOff>0</xdr:rowOff>
    </xdr:from>
    <xdr:to>
      <xdr:col>25</xdr:col>
      <xdr:colOff>393700</xdr:colOff>
      <xdr:row>49</xdr:row>
      <xdr:rowOff>133350</xdr:rowOff>
    </xdr:to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D5F2B769-5BA3-416A-B940-FCE828621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18</xdr:col>
      <xdr:colOff>704850</xdr:colOff>
      <xdr:row>51</xdr:row>
      <xdr:rowOff>107950</xdr:rowOff>
    </xdr:from>
    <xdr:to>
      <xdr:col>25</xdr:col>
      <xdr:colOff>330200</xdr:colOff>
      <xdr:row>69</xdr:row>
      <xdr:rowOff>57150</xdr:rowOff>
    </xdr:to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9464AE50-C9E7-4801-82A1-C6CB0EF4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19</xdr:col>
      <xdr:colOff>0</xdr:colOff>
      <xdr:row>70</xdr:row>
      <xdr:rowOff>0</xdr:rowOff>
    </xdr:from>
    <xdr:to>
      <xdr:col>25</xdr:col>
      <xdr:colOff>393700</xdr:colOff>
      <xdr:row>87</xdr:row>
      <xdr:rowOff>133350</xdr:rowOff>
    </xdr:to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3B3DE715-D93F-49A6-90D4-114F870B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119062</xdr:rowOff>
    </xdr:from>
    <xdr:to>
      <xdr:col>16</xdr:col>
      <xdr:colOff>95250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DFB4C-0E53-41D3-B382-6F3B1B3C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6F87-05E6-47BE-80E1-99E81EB5369C}">
  <dimension ref="A1:S72"/>
  <sheetViews>
    <sheetView zoomScaleNormal="100" workbookViewId="0">
      <selection activeCell="L21" sqref="L21:L24"/>
    </sheetView>
  </sheetViews>
  <sheetFormatPr defaultRowHeight="14.5" x14ac:dyDescent="0.35"/>
  <cols>
    <col min="12" max="12" width="12.1796875" customWidth="1"/>
    <col min="14" max="15" width="11.7265625" bestFit="1" customWidth="1"/>
    <col min="19" max="19" width="11" customWidth="1"/>
    <col min="20" max="20" width="11.26953125" customWidth="1"/>
    <col min="21" max="21" width="10.453125" bestFit="1" customWidth="1"/>
    <col min="25" max="25" width="11" bestFit="1" customWidth="1"/>
    <col min="26" max="26" width="11.7265625" bestFit="1" customWidth="1"/>
  </cols>
  <sheetData>
    <row r="1" spans="1:19" x14ac:dyDescent="0.35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5"/>
      <c r="L1" s="73" t="s">
        <v>26</v>
      </c>
      <c r="M1" s="74"/>
      <c r="N1" s="74"/>
      <c r="O1" s="74"/>
      <c r="P1" s="74"/>
      <c r="Q1" s="74"/>
      <c r="R1" s="74"/>
      <c r="S1" s="75"/>
    </row>
    <row r="2" spans="1:19" x14ac:dyDescent="0.35">
      <c r="A2" s="24" t="s">
        <v>9</v>
      </c>
      <c r="B2" s="24" t="s">
        <v>0</v>
      </c>
      <c r="C2" s="24" t="s">
        <v>1</v>
      </c>
      <c r="D2" s="24" t="s">
        <v>2</v>
      </c>
      <c r="E2" s="24" t="s">
        <v>12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0"/>
      <c r="L2" s="24" t="s">
        <v>9</v>
      </c>
      <c r="M2" s="24" t="s">
        <v>0</v>
      </c>
      <c r="N2" s="27" t="s">
        <v>23</v>
      </c>
      <c r="O2" s="24" t="s">
        <v>11</v>
      </c>
      <c r="P2" s="24" t="s">
        <v>5</v>
      </c>
      <c r="Q2" s="24" t="s">
        <v>6</v>
      </c>
      <c r="R2" s="24" t="s">
        <v>7</v>
      </c>
      <c r="S2" s="24" t="s">
        <v>8</v>
      </c>
    </row>
    <row r="3" spans="1:19" x14ac:dyDescent="0.35">
      <c r="A3" s="60">
        <v>4252</v>
      </c>
      <c r="B3" s="4">
        <v>1</v>
      </c>
      <c r="C3" s="1">
        <v>0</v>
      </c>
      <c r="D3" s="2">
        <v>0.33500000000000002</v>
      </c>
      <c r="E3" s="42">
        <f>D3*0.75</f>
        <v>0.25125000000000003</v>
      </c>
      <c r="F3" s="42">
        <f>LN(E3)</f>
        <v>-1.3813068196088514</v>
      </c>
      <c r="G3" s="23">
        <v>45.46504140855702</v>
      </c>
      <c r="H3" s="23">
        <v>9.5699795536069754</v>
      </c>
      <c r="I3" s="23">
        <v>0</v>
      </c>
      <c r="J3" s="23">
        <v>0</v>
      </c>
      <c r="L3" s="68">
        <v>4252</v>
      </c>
      <c r="M3" s="22">
        <v>1</v>
      </c>
      <c r="N3" s="4" t="s">
        <v>24</v>
      </c>
      <c r="O3" s="23">
        <f>SLOPE(F6:F9,C6:C9)</f>
        <v>0.22018105806467297</v>
      </c>
      <c r="P3" s="23">
        <f>SLOPE(G4:G18,$E$4:$E$18)*SLOPE($F$4:$F$18,$C$4:$C$18)</f>
        <v>-2.5701413678415372</v>
      </c>
      <c r="Q3" s="23">
        <f>SLOPE(H4:H18,$E$4:$E$18)*SLOPE($F$4:$F$18,$C$4:$C$18)</f>
        <v>-0.38545647541634032</v>
      </c>
      <c r="R3" s="23">
        <f>SLOPE(I6:I9,$E$6:$E$9)*SLOPE($F$6:$F$9,$C$6:$C$9)</f>
        <v>0.80558063441278782</v>
      </c>
      <c r="S3" s="23">
        <f>SLOPE(J6:J9,$E$6:$E$9)*SLOPE($F$6:$F$9,$C$6:$C$9)</f>
        <v>0.36933435251629587</v>
      </c>
    </row>
    <row r="4" spans="1:19" x14ac:dyDescent="0.35">
      <c r="A4" s="61"/>
      <c r="B4" s="4">
        <v>1</v>
      </c>
      <c r="C4" s="1">
        <v>1</v>
      </c>
      <c r="D4" s="3">
        <f>0.189*2</f>
        <v>0.378</v>
      </c>
      <c r="E4" s="42">
        <f t="shared" ref="E4:E67" si="0">D4*0.75</f>
        <v>0.28349999999999997</v>
      </c>
      <c r="F4" s="42">
        <f t="shared" ref="F4:F67" si="1">LN(E4)</f>
        <v>-1.2605431558143303</v>
      </c>
      <c r="G4" s="23">
        <v>44.190035302737627</v>
      </c>
      <c r="H4" s="23">
        <v>8.7952915163479091</v>
      </c>
      <c r="I4" s="23">
        <v>0.31083481349911191</v>
      </c>
      <c r="J4" s="23">
        <v>0</v>
      </c>
      <c r="L4" s="69"/>
      <c r="M4" s="25">
        <v>2</v>
      </c>
      <c r="N4" s="12" t="s">
        <v>24</v>
      </c>
      <c r="O4" s="26">
        <f>SLOPE(F24:F27,C24:C27)</f>
        <v>0.23810083858432335</v>
      </c>
      <c r="P4" s="26">
        <f>SLOPE(G22:G36,$E$22:$E$36)*SLOPE($F$22:$F$36,$C$22:$C$36)</f>
        <v>-2.3023931500214858</v>
      </c>
      <c r="Q4" s="26">
        <f>SLOPE(H22:H36,$E$22:$E$36)*SLOPE($F$22:$F$36,$C$22:$C$36)</f>
        <v>-0.55656758893956182</v>
      </c>
      <c r="R4" s="26">
        <f>SLOPE(I24:I27,$E$24:$E$27)*SLOPE($F$24:$F$27,$C$24:$C$27)</f>
        <v>0.2340504340179323</v>
      </c>
      <c r="S4" s="26">
        <f>SLOPE(J24:J27,$E$24:$E$27)*SLOPE($F$24:$F$27,$C$24:$C$27)</f>
        <v>0.2455349321478856</v>
      </c>
    </row>
    <row r="5" spans="1:19" x14ac:dyDescent="0.35">
      <c r="A5" s="61"/>
      <c r="B5" s="4">
        <v>1</v>
      </c>
      <c r="C5" s="1">
        <v>2</v>
      </c>
      <c r="D5" s="3">
        <f>0.249*2</f>
        <v>0.498</v>
      </c>
      <c r="E5" s="42">
        <f t="shared" si="0"/>
        <v>0.3735</v>
      </c>
      <c r="F5" s="42">
        <f t="shared" si="1"/>
        <v>-0.98483727440926505</v>
      </c>
      <c r="G5" s="23">
        <v>43.315237904926839</v>
      </c>
      <c r="H5" s="23">
        <v>7.7881970679111223</v>
      </c>
      <c r="I5" s="23">
        <v>0.37744227353463589</v>
      </c>
      <c r="J5" s="23">
        <v>0</v>
      </c>
      <c r="L5" s="69"/>
      <c r="M5" s="24" t="s">
        <v>13</v>
      </c>
      <c r="N5" s="4"/>
      <c r="O5" s="19">
        <f>AVERAGE(O3:O4)</f>
        <v>0.22914094832449816</v>
      </c>
      <c r="P5" s="19">
        <f t="shared" ref="P5:S5" si="2">AVERAGE(P3:P4)</f>
        <v>-2.4362672589315117</v>
      </c>
      <c r="Q5" s="19">
        <f t="shared" si="2"/>
        <v>-0.47101203217795107</v>
      </c>
      <c r="R5" s="19">
        <f t="shared" si="2"/>
        <v>0.51981553421536009</v>
      </c>
      <c r="S5" s="19">
        <f t="shared" si="2"/>
        <v>0.30743464233209072</v>
      </c>
    </row>
    <row r="6" spans="1:19" ht="15" thickBot="1" x14ac:dyDescent="0.4">
      <c r="A6" s="61"/>
      <c r="B6" s="4">
        <v>1</v>
      </c>
      <c r="C6" s="1">
        <v>3</v>
      </c>
      <c r="D6" s="3">
        <f>0.274*2</f>
        <v>0.54800000000000004</v>
      </c>
      <c r="E6" s="42">
        <f t="shared" si="0"/>
        <v>0.41100000000000003</v>
      </c>
      <c r="F6" s="42">
        <f t="shared" si="1"/>
        <v>-0.8891620644859024</v>
      </c>
      <c r="G6" s="23">
        <v>42.608628077888049</v>
      </c>
      <c r="H6" s="23">
        <v>6.7552796848990324</v>
      </c>
      <c r="I6" s="23">
        <v>0.42184724689165187</v>
      </c>
      <c r="J6" s="23">
        <v>0</v>
      </c>
      <c r="L6" s="70"/>
      <c r="M6" s="30" t="s">
        <v>14</v>
      </c>
      <c r="N6" s="41"/>
      <c r="O6" s="31">
        <f>STDEV(O3:O4)</f>
        <v>1.2671198322819375E-2</v>
      </c>
      <c r="P6" s="31">
        <f t="shared" ref="P6:S6" si="3">STDEV(P3:P4)</f>
        <v>0.18932658047117115</v>
      </c>
      <c r="Q6" s="31">
        <f t="shared" si="3"/>
        <v>0.12099382870865104</v>
      </c>
      <c r="R6" s="31">
        <f t="shared" si="3"/>
        <v>0.40413288035210865</v>
      </c>
      <c r="S6" s="31">
        <f t="shared" si="3"/>
        <v>8.7539409649466965E-2</v>
      </c>
    </row>
    <row r="7" spans="1:19" ht="15" thickTop="1" x14ac:dyDescent="0.35">
      <c r="A7" s="61"/>
      <c r="B7" s="4">
        <v>1</v>
      </c>
      <c r="C7" s="1">
        <v>4</v>
      </c>
      <c r="D7" s="3">
        <f>0.328*2</f>
        <v>0.65600000000000003</v>
      </c>
      <c r="E7" s="42">
        <f t="shared" si="0"/>
        <v>0.49199999999999999</v>
      </c>
      <c r="F7" s="42">
        <f t="shared" si="1"/>
        <v>-0.70927656248982895</v>
      </c>
      <c r="G7" s="23">
        <v>31.588734208130727</v>
      </c>
      <c r="H7" s="23">
        <v>6.2129980588176856</v>
      </c>
      <c r="I7" s="23">
        <v>0.43294849023090598</v>
      </c>
      <c r="J7" s="23">
        <v>0</v>
      </c>
      <c r="L7" s="71">
        <v>493</v>
      </c>
      <c r="M7" s="28">
        <v>1</v>
      </c>
      <c r="N7" s="40" t="s">
        <v>25</v>
      </c>
      <c r="O7" s="29">
        <f>SLOPE(F40:F44,C40:C44)</f>
        <v>0.26260289729985464</v>
      </c>
      <c r="P7" s="29">
        <f>SLOPE(G40:G48,$E$40:$E$48)*SLOPE($F$40:$F$48,$C$40:$C$48)</f>
        <v>-2.2270809714865947</v>
      </c>
      <c r="Q7" s="29"/>
      <c r="R7" s="29">
        <f>SLOPE(I40:I44,$E$40:$E$44)*SLOPE($F$40:$F$44,$C$40:$C$44)</f>
        <v>1.1470001951990183</v>
      </c>
      <c r="S7" s="29">
        <f>SLOPE(J40:J44,$E$40:$E$44)*SLOPE($F$40:$F$44,$C$40:$C$44)</f>
        <v>0</v>
      </c>
    </row>
    <row r="8" spans="1:19" x14ac:dyDescent="0.35">
      <c r="A8" s="61"/>
      <c r="B8" s="4">
        <v>1</v>
      </c>
      <c r="C8" s="1">
        <v>5</v>
      </c>
      <c r="D8" s="3">
        <f>0.212*4</f>
        <v>0.84799999999999998</v>
      </c>
      <c r="E8" s="42">
        <f t="shared" si="0"/>
        <v>0.63600000000000001</v>
      </c>
      <c r="F8" s="42">
        <f t="shared" si="1"/>
        <v>-0.45255671564201488</v>
      </c>
      <c r="G8" s="23">
        <v>29.756433313350652</v>
      </c>
      <c r="H8" s="23">
        <v>5.9805916476399661</v>
      </c>
      <c r="I8" s="23">
        <v>0.72158081705150978</v>
      </c>
      <c r="J8" s="23">
        <v>0.26643575567841205</v>
      </c>
      <c r="L8" s="69"/>
      <c r="M8" s="25">
        <v>2</v>
      </c>
      <c r="N8" s="12" t="s">
        <v>25</v>
      </c>
      <c r="O8" s="26">
        <f>SLOPE(F57:F61,C57:C61)</f>
        <v>0.26610863824168207</v>
      </c>
      <c r="P8" s="26">
        <f>SLOPE(G57:G65,$E$57:$E$65)*SLOPE($F$57:$F$65,$C$57:$C$65)</f>
        <v>-2.3770521407097407</v>
      </c>
      <c r="Q8" s="26"/>
      <c r="R8" s="26">
        <f>SLOPE(I57:I61,$E$57:$E$61)*SLOPE($F$57:$F$61,$C$57:$C$61)</f>
        <v>0</v>
      </c>
      <c r="S8" s="26">
        <f>SLOPE(J57:J61,$E$57:$E$61)*SLOPE($F$57:$F$61,$C$57:$C$61)</f>
        <v>0</v>
      </c>
    </row>
    <row r="9" spans="1:19" x14ac:dyDescent="0.35">
      <c r="A9" s="61"/>
      <c r="B9" s="4">
        <v>1</v>
      </c>
      <c r="C9" s="1">
        <v>6</v>
      </c>
      <c r="D9" s="3">
        <f>0.262*4</f>
        <v>1.048</v>
      </c>
      <c r="E9" s="42">
        <f t="shared" si="0"/>
        <v>0.78600000000000003</v>
      </c>
      <c r="F9" s="42">
        <f t="shared" si="1"/>
        <v>-0.24079848655293046</v>
      </c>
      <c r="G9" s="23">
        <v>28.324341126579188</v>
      </c>
      <c r="H9" s="23">
        <v>5.8772999093387579</v>
      </c>
      <c r="I9" s="23">
        <v>1.8095026642984016</v>
      </c>
      <c r="J9" s="23">
        <v>0.59948045027642705</v>
      </c>
      <c r="L9" s="69"/>
      <c r="M9" s="24" t="s">
        <v>13</v>
      </c>
      <c r="N9" s="4"/>
      <c r="O9" s="19">
        <f>AVERAGE(O7:O8)</f>
        <v>0.26435576777076836</v>
      </c>
      <c r="P9" s="19">
        <f t="shared" ref="P9" si="4">AVERAGE(P7:P8)</f>
        <v>-2.3020665560981675</v>
      </c>
      <c r="Q9" s="19"/>
      <c r="R9" s="19">
        <f t="shared" ref="R9:S9" si="5">AVERAGE(R7:R8)</f>
        <v>0.57350009759950915</v>
      </c>
      <c r="S9" s="19">
        <f t="shared" si="5"/>
        <v>0</v>
      </c>
    </row>
    <row r="10" spans="1:19" x14ac:dyDescent="0.35">
      <c r="A10" s="61"/>
      <c r="B10" s="4">
        <v>1</v>
      </c>
      <c r="C10" s="1">
        <v>7</v>
      </c>
      <c r="D10" s="3">
        <f>0.286*4</f>
        <v>1.1439999999999999</v>
      </c>
      <c r="E10" s="42">
        <f t="shared" si="0"/>
        <v>0.85799999999999987</v>
      </c>
      <c r="F10" s="42">
        <f t="shared" si="1"/>
        <v>-0.15315117949417492</v>
      </c>
      <c r="G10" s="23">
        <v>25.827616066076068</v>
      </c>
      <c r="H10" s="23">
        <v>6.0064145822152684</v>
      </c>
      <c r="I10" s="23">
        <v>3.519094138543517</v>
      </c>
      <c r="J10" s="23">
        <v>0.76600279757543466</v>
      </c>
      <c r="L10" s="72"/>
      <c r="M10" s="21" t="s">
        <v>14</v>
      </c>
      <c r="N10" s="4"/>
      <c r="O10" s="23">
        <f>STDEV(O7:O8)</f>
        <v>2.4789331930494887E-3</v>
      </c>
      <c r="P10" s="23">
        <f t="shared" ref="P10" si="6">STDEV(P7:P8)</f>
        <v>0.10604563074016179</v>
      </c>
      <c r="Q10" s="23"/>
      <c r="R10" s="23">
        <f t="shared" ref="R10:S10" si="7">STDEV(R7:R8)</f>
        <v>0.81105161604751952</v>
      </c>
      <c r="S10" s="23">
        <f t="shared" si="7"/>
        <v>0</v>
      </c>
    </row>
    <row r="11" spans="1:19" x14ac:dyDescent="0.35">
      <c r="A11" s="61"/>
      <c r="B11" s="4">
        <v>1</v>
      </c>
      <c r="C11" s="1">
        <v>8</v>
      </c>
      <c r="D11" s="3">
        <f>0.242*5</f>
        <v>1.21</v>
      </c>
      <c r="E11" s="42">
        <f t="shared" si="0"/>
        <v>0.90749999999999997</v>
      </c>
      <c r="F11" s="42">
        <f t="shared" si="1"/>
        <v>-9.706171284313124E-2</v>
      </c>
      <c r="G11" s="23">
        <v>26.242256710850594</v>
      </c>
      <c r="H11" s="23">
        <v>7.065154899802657</v>
      </c>
      <c r="I11" s="23">
        <v>5.8836589698046184</v>
      </c>
      <c r="J11" s="23">
        <v>0.96582961433424364</v>
      </c>
    </row>
    <row r="12" spans="1:19" x14ac:dyDescent="0.35">
      <c r="A12" s="61"/>
      <c r="B12" s="4">
        <v>1</v>
      </c>
      <c r="C12" s="1">
        <v>9</v>
      </c>
      <c r="D12" s="3">
        <f>0.279*5</f>
        <v>1.395</v>
      </c>
      <c r="E12" s="42">
        <f t="shared" si="0"/>
        <v>1.0462500000000001</v>
      </c>
      <c r="F12" s="42">
        <f t="shared" si="1"/>
        <v>4.5212342821548145E-2</v>
      </c>
      <c r="G12" s="23">
        <v>23.450232021137239</v>
      </c>
      <c r="H12" s="23">
        <v>6.7036338157484279</v>
      </c>
      <c r="I12" s="23">
        <v>7.3379218472468919</v>
      </c>
      <c r="J12" s="23">
        <v>1.2322653700126558</v>
      </c>
      <c r="L12" t="s">
        <v>27</v>
      </c>
    </row>
    <row r="13" spans="1:19" x14ac:dyDescent="0.35">
      <c r="A13" s="61"/>
      <c r="B13" s="4">
        <v>1</v>
      </c>
      <c r="C13" s="1">
        <v>10</v>
      </c>
      <c r="D13" s="3">
        <f>0.307*5</f>
        <v>1.5349999999999999</v>
      </c>
      <c r="E13" s="42">
        <f t="shared" si="0"/>
        <v>1.1512499999999999</v>
      </c>
      <c r="F13" s="42">
        <f t="shared" si="1"/>
        <v>0.14084830858737946</v>
      </c>
      <c r="G13" s="23">
        <v>20.675414640644775</v>
      </c>
      <c r="H13" s="23">
        <v>6.5512785017541493</v>
      </c>
      <c r="I13" s="23">
        <v>9.1585257548845469</v>
      </c>
      <c r="J13" s="23">
        <v>2.1814427496169988</v>
      </c>
    </row>
    <row r="14" spans="1:19" x14ac:dyDescent="0.35">
      <c r="A14" s="61"/>
      <c r="B14" s="4">
        <v>1</v>
      </c>
      <c r="C14" s="1">
        <v>11</v>
      </c>
      <c r="D14" s="3">
        <f>0.183*10</f>
        <v>1.83</v>
      </c>
      <c r="E14" s="42">
        <f t="shared" si="0"/>
        <v>1.3725000000000001</v>
      </c>
      <c r="F14" s="42">
        <f t="shared" si="1"/>
        <v>0.31663389440154871</v>
      </c>
      <c r="G14" s="23">
        <v>17.67301671884367</v>
      </c>
      <c r="H14" s="23">
        <v>5.1310171001125315</v>
      </c>
      <c r="I14" s="23">
        <v>12.522202486678509</v>
      </c>
      <c r="J14" s="23">
        <v>4.2962765603143946</v>
      </c>
      <c r="L14" s="5" t="s">
        <v>15</v>
      </c>
      <c r="M14" s="6"/>
      <c r="N14" s="6"/>
      <c r="O14" s="6"/>
      <c r="P14" s="6"/>
      <c r="Q14" s="6"/>
      <c r="R14" s="7"/>
    </row>
    <row r="15" spans="1:19" x14ac:dyDescent="0.35">
      <c r="A15" s="61"/>
      <c r="B15" s="4">
        <v>1</v>
      </c>
      <c r="C15" s="1">
        <v>12</v>
      </c>
      <c r="D15" s="3">
        <f>0.215*10</f>
        <v>2.15</v>
      </c>
      <c r="E15" s="42">
        <f t="shared" si="0"/>
        <v>1.6124999999999998</v>
      </c>
      <c r="F15" s="42">
        <f t="shared" si="1"/>
        <v>0.47778576968779041</v>
      </c>
      <c r="G15" s="23">
        <v>20.466706632030018</v>
      </c>
      <c r="H15" s="23">
        <v>4.6920272123323929</v>
      </c>
      <c r="I15" s="23">
        <v>24.356127886323268</v>
      </c>
      <c r="J15" s="23">
        <v>10.224472124159062</v>
      </c>
      <c r="L15" s="8" t="s">
        <v>16</v>
      </c>
      <c r="M15" s="9"/>
      <c r="N15" s="9"/>
      <c r="O15" s="9"/>
      <c r="P15" s="9"/>
      <c r="Q15" s="9"/>
      <c r="R15" s="10"/>
    </row>
    <row r="16" spans="1:19" x14ac:dyDescent="0.35">
      <c r="A16" s="61"/>
      <c r="B16" s="4">
        <v>1</v>
      </c>
      <c r="C16" s="1">
        <v>13</v>
      </c>
      <c r="D16" s="3">
        <f>0.249*10</f>
        <v>2.4900000000000002</v>
      </c>
      <c r="E16" s="42">
        <f t="shared" si="0"/>
        <v>1.8675000000000002</v>
      </c>
      <c r="F16" s="42">
        <f t="shared" si="1"/>
        <v>0.62460063802483545</v>
      </c>
      <c r="G16" s="23">
        <v>13.937920468926929</v>
      </c>
      <c r="H16" s="23">
        <v>3.8269589040597727</v>
      </c>
      <c r="I16" s="23">
        <v>29.151865008880996</v>
      </c>
      <c r="J16" s="23">
        <v>13.155265436621594</v>
      </c>
      <c r="L16" s="8" t="s">
        <v>17</v>
      </c>
      <c r="M16" s="9"/>
      <c r="N16" s="9"/>
      <c r="O16" s="9"/>
      <c r="P16" s="9"/>
      <c r="Q16" s="9"/>
      <c r="R16" s="10"/>
    </row>
    <row r="17" spans="1:18" x14ac:dyDescent="0.35">
      <c r="A17" s="61"/>
      <c r="B17" s="4">
        <v>1</v>
      </c>
      <c r="C17" s="1">
        <v>14</v>
      </c>
      <c r="D17" s="3">
        <f>0.138*20</f>
        <v>2.7600000000000002</v>
      </c>
      <c r="E17" s="42">
        <f t="shared" si="0"/>
        <v>2.0700000000000003</v>
      </c>
      <c r="F17" s="42">
        <f t="shared" si="1"/>
        <v>0.72754860727727788</v>
      </c>
      <c r="G17" s="23">
        <v>9.1098825462377047</v>
      </c>
      <c r="H17" s="23">
        <v>3.0538202428752341</v>
      </c>
      <c r="I17" s="23">
        <v>37.322380106571934</v>
      </c>
      <c r="J17" s="23">
        <v>16.868713781389459</v>
      </c>
      <c r="L17" s="8" t="s">
        <v>18</v>
      </c>
      <c r="M17" s="9">
        <f>0.002/132.12*1000</f>
        <v>1.5137753557372086E-2</v>
      </c>
      <c r="N17" s="9" t="s">
        <v>19</v>
      </c>
      <c r="O17" s="9"/>
      <c r="P17" s="9"/>
      <c r="Q17" s="9"/>
      <c r="R17" s="10"/>
    </row>
    <row r="18" spans="1:18" x14ac:dyDescent="0.35">
      <c r="A18" s="61"/>
      <c r="B18" s="4">
        <v>1</v>
      </c>
      <c r="C18" s="1">
        <v>15</v>
      </c>
      <c r="D18" s="3">
        <f>0.151*20</f>
        <v>3.02</v>
      </c>
      <c r="E18" s="42">
        <f t="shared" si="0"/>
        <v>2.2650000000000001</v>
      </c>
      <c r="F18" s="42">
        <f t="shared" si="1"/>
        <v>0.81757475893499743</v>
      </c>
      <c r="G18" s="23">
        <v>4.4344901085725708</v>
      </c>
      <c r="H18" s="23">
        <v>1.5276848094748754</v>
      </c>
      <c r="I18" s="23">
        <v>46.325488454706928</v>
      </c>
      <c r="J18" s="23">
        <v>19.966029441151001</v>
      </c>
      <c r="L18" s="8" t="s">
        <v>20</v>
      </c>
      <c r="M18" s="9">
        <f>0.002/146.14*1000</f>
        <v>1.3685507048036132E-2</v>
      </c>
      <c r="N18" s="9" t="s">
        <v>19</v>
      </c>
      <c r="O18" s="9"/>
      <c r="P18" s="9"/>
      <c r="Q18" s="9"/>
      <c r="R18" s="10"/>
    </row>
    <row r="19" spans="1:18" x14ac:dyDescent="0.35">
      <c r="A19" s="61"/>
      <c r="B19" s="4">
        <v>1</v>
      </c>
      <c r="C19" s="1">
        <v>16</v>
      </c>
      <c r="D19" s="3">
        <f>0.152*20</f>
        <v>3.04</v>
      </c>
      <c r="E19" s="42">
        <f t="shared" si="0"/>
        <v>2.2800000000000002</v>
      </c>
      <c r="F19" s="42">
        <f t="shared" si="1"/>
        <v>0.82417544296634948</v>
      </c>
      <c r="G19" s="23">
        <v>0.59892537578543037</v>
      </c>
      <c r="H19" s="23">
        <v>1.7471797533649431</v>
      </c>
      <c r="I19" s="23">
        <v>54.384991119005328</v>
      </c>
      <c r="J19" s="23">
        <v>24.045826949976686</v>
      </c>
      <c r="L19" s="8"/>
      <c r="M19" s="9"/>
      <c r="N19" s="9"/>
      <c r="O19" s="9"/>
      <c r="P19" s="9"/>
      <c r="Q19" s="9"/>
      <c r="R19" s="10"/>
    </row>
    <row r="20" spans="1:18" x14ac:dyDescent="0.35">
      <c r="A20" s="61"/>
      <c r="B20" s="4">
        <v>1</v>
      </c>
      <c r="C20" s="1">
        <v>17</v>
      </c>
      <c r="D20" s="16">
        <f>0.14*20</f>
        <v>2.8000000000000003</v>
      </c>
      <c r="E20" s="42">
        <f t="shared" si="0"/>
        <v>2.1</v>
      </c>
      <c r="F20" s="42">
        <f t="shared" si="1"/>
        <v>0.74193734472937733</v>
      </c>
      <c r="G20" s="23">
        <v>0</v>
      </c>
      <c r="H20" s="23">
        <v>0.56707164327363402</v>
      </c>
      <c r="I20" s="23">
        <v>38.243783303730019</v>
      </c>
      <c r="J20" s="23">
        <v>17.501498701125691</v>
      </c>
      <c r="L20" s="8"/>
      <c r="M20" s="32" t="s">
        <v>0</v>
      </c>
      <c r="N20" s="9" t="s">
        <v>1</v>
      </c>
      <c r="O20" s="9" t="s">
        <v>3</v>
      </c>
      <c r="P20" s="9" t="s">
        <v>4</v>
      </c>
      <c r="Q20" s="9" t="s">
        <v>21</v>
      </c>
      <c r="R20" s="10" t="s">
        <v>22</v>
      </c>
    </row>
    <row r="21" spans="1:18" x14ac:dyDescent="0.35">
      <c r="A21" s="61"/>
      <c r="B21" s="12">
        <v>2</v>
      </c>
      <c r="C21" s="13">
        <v>0</v>
      </c>
      <c r="D21" s="14">
        <v>0.39700000000000002</v>
      </c>
      <c r="E21" s="43">
        <f t="shared" si="0"/>
        <v>0.29775000000000001</v>
      </c>
      <c r="F21" s="43">
        <f t="shared" si="1"/>
        <v>-1.2115010707467275</v>
      </c>
      <c r="G21" s="26">
        <v>46.446413108639177</v>
      </c>
      <c r="H21" s="26">
        <v>8.382124563143071</v>
      </c>
      <c r="I21" s="26">
        <v>0</v>
      </c>
      <c r="J21" s="26">
        <v>0</v>
      </c>
      <c r="L21" s="66">
        <v>4252</v>
      </c>
      <c r="M21" s="18">
        <v>1</v>
      </c>
      <c r="N21" s="9">
        <v>1</v>
      </c>
      <c r="O21" s="33">
        <f>E4</f>
        <v>0.28349999999999997</v>
      </c>
      <c r="P21" s="33">
        <f>F4</f>
        <v>-1.2605431558143303</v>
      </c>
      <c r="Q21" s="34">
        <f>$M$17</f>
        <v>1.5137753557372086E-2</v>
      </c>
      <c r="R21" s="35">
        <f>$M$18</f>
        <v>1.3685507048036132E-2</v>
      </c>
    </row>
    <row r="22" spans="1:18" x14ac:dyDescent="0.35">
      <c r="A22" s="61"/>
      <c r="B22" s="12">
        <v>2</v>
      </c>
      <c r="C22" s="13">
        <v>1</v>
      </c>
      <c r="D22" s="15">
        <f>0.225*2</f>
        <v>0.45</v>
      </c>
      <c r="E22" s="43">
        <f t="shared" si="0"/>
        <v>0.33750000000000002</v>
      </c>
      <c r="F22" s="43">
        <f t="shared" si="1"/>
        <v>-1.0861897686695525</v>
      </c>
      <c r="G22" s="26">
        <v>45.775883123515179</v>
      </c>
      <c r="H22" s="26">
        <v>8.5887080397454856</v>
      </c>
      <c r="I22" s="26">
        <v>0.36634103019538189</v>
      </c>
      <c r="J22" s="26">
        <v>0</v>
      </c>
      <c r="L22" s="66"/>
      <c r="M22" s="18">
        <v>1</v>
      </c>
      <c r="N22" s="9">
        <v>15</v>
      </c>
      <c r="O22" s="33">
        <f>E18</f>
        <v>2.2650000000000001</v>
      </c>
      <c r="P22" s="33">
        <f>F18</f>
        <v>0.81757475893499743</v>
      </c>
      <c r="Q22" s="34">
        <v>0</v>
      </c>
      <c r="R22" s="35">
        <v>0</v>
      </c>
    </row>
    <row r="23" spans="1:18" x14ac:dyDescent="0.35">
      <c r="A23" s="61"/>
      <c r="B23" s="12">
        <v>2</v>
      </c>
      <c r="C23" s="13">
        <v>2</v>
      </c>
      <c r="D23" s="15">
        <f>0.232*2</f>
        <v>0.46400000000000002</v>
      </c>
      <c r="E23" s="43">
        <f t="shared" si="0"/>
        <v>0.34800000000000003</v>
      </c>
      <c r="F23" s="43">
        <f t="shared" si="1"/>
        <v>-1.0555527992076625</v>
      </c>
      <c r="G23" s="26">
        <v>42.857856524345564</v>
      </c>
      <c r="H23" s="26">
        <v>7.8656658716370256</v>
      </c>
      <c r="I23" s="26">
        <v>0.56616341030195383</v>
      </c>
      <c r="J23" s="26">
        <v>0</v>
      </c>
      <c r="L23" s="66"/>
      <c r="M23" s="18">
        <v>2</v>
      </c>
      <c r="N23" s="9">
        <v>1</v>
      </c>
      <c r="O23" s="33">
        <f>E22</f>
        <v>0.33750000000000002</v>
      </c>
      <c r="P23" s="33">
        <f>F22</f>
        <v>-1.0861897686695525</v>
      </c>
      <c r="Q23" s="34">
        <f>$M$17</f>
        <v>1.5137753557372086E-2</v>
      </c>
      <c r="R23" s="35">
        <f>$M$18</f>
        <v>1.3685507048036132E-2</v>
      </c>
    </row>
    <row r="24" spans="1:18" x14ac:dyDescent="0.35">
      <c r="A24" s="61"/>
      <c r="B24" s="12">
        <v>2</v>
      </c>
      <c r="C24" s="13">
        <v>3</v>
      </c>
      <c r="D24" s="15">
        <f>0.241*2</f>
        <v>0.48199999999999998</v>
      </c>
      <c r="E24" s="43">
        <f t="shared" si="0"/>
        <v>0.36149999999999999</v>
      </c>
      <c r="F24" s="43">
        <f t="shared" si="1"/>
        <v>-1.0174932373833177</v>
      </c>
      <c r="G24" s="26">
        <v>34.772641488487757</v>
      </c>
      <c r="H24" s="26">
        <v>7.5816135913087042</v>
      </c>
      <c r="I24" s="26">
        <v>0.42184724689165187</v>
      </c>
      <c r="J24" s="26">
        <v>0</v>
      </c>
      <c r="L24" s="66"/>
      <c r="M24" s="18">
        <v>2</v>
      </c>
      <c r="N24" s="9">
        <v>15</v>
      </c>
      <c r="O24" s="33">
        <f>E36</f>
        <v>3</v>
      </c>
      <c r="P24" s="34">
        <f>F36</f>
        <v>1.0986122886681098</v>
      </c>
      <c r="Q24" s="34">
        <v>0</v>
      </c>
      <c r="R24" s="35">
        <v>0</v>
      </c>
    </row>
    <row r="25" spans="1:18" x14ac:dyDescent="0.35">
      <c r="A25" s="61"/>
      <c r="B25" s="12">
        <v>2</v>
      </c>
      <c r="C25" s="13">
        <v>4</v>
      </c>
      <c r="D25" s="15">
        <f>0.31*2</f>
        <v>0.62</v>
      </c>
      <c r="E25" s="43">
        <f t="shared" si="0"/>
        <v>0.46499999999999997</v>
      </c>
      <c r="F25" s="43">
        <f t="shared" si="1"/>
        <v>-0.76571787339478081</v>
      </c>
      <c r="G25" s="26">
        <v>32.132707209307483</v>
      </c>
      <c r="H25" s="26">
        <v>6.0064145822152657</v>
      </c>
      <c r="I25" s="26">
        <v>0.55506216696269983</v>
      </c>
      <c r="J25" s="26">
        <v>0</v>
      </c>
      <c r="L25" s="66">
        <v>493</v>
      </c>
      <c r="M25" s="18">
        <v>1</v>
      </c>
      <c r="N25" s="9">
        <v>1</v>
      </c>
      <c r="O25" s="33">
        <f>E40</f>
        <v>0.28200000000000003</v>
      </c>
      <c r="P25" s="33">
        <f>F40</f>
        <v>-1.2658482080440234</v>
      </c>
      <c r="Q25" s="34">
        <f>$M$17</f>
        <v>1.5137753557372086E-2</v>
      </c>
      <c r="R25" s="35">
        <f>$M$18</f>
        <v>1.3685507048036132E-2</v>
      </c>
    </row>
    <row r="26" spans="1:18" x14ac:dyDescent="0.35">
      <c r="A26" s="61"/>
      <c r="B26" s="12">
        <v>2</v>
      </c>
      <c r="C26" s="13">
        <v>5</v>
      </c>
      <c r="D26" s="15">
        <f>0.19*4</f>
        <v>0.76</v>
      </c>
      <c r="E26" s="43">
        <f t="shared" si="0"/>
        <v>0.57000000000000006</v>
      </c>
      <c r="F26" s="43">
        <f t="shared" si="1"/>
        <v>-0.56211891815354109</v>
      </c>
      <c r="G26" s="26">
        <v>31.350052177002151</v>
      </c>
      <c r="H26" s="26">
        <v>6.1871751242423807</v>
      </c>
      <c r="I26" s="26">
        <v>0.63277087033747781</v>
      </c>
      <c r="J26" s="26">
        <v>8.3261173649503764E-2</v>
      </c>
      <c r="L26" s="66"/>
      <c r="M26" s="18">
        <v>1</v>
      </c>
      <c r="N26" s="9">
        <v>9</v>
      </c>
      <c r="O26" s="33">
        <f>E48</f>
        <v>1.108125</v>
      </c>
      <c r="P26" s="33">
        <f>F48</f>
        <v>0.1026693978463353</v>
      </c>
      <c r="Q26" s="34">
        <v>0</v>
      </c>
      <c r="R26" s="35">
        <v>0</v>
      </c>
    </row>
    <row r="27" spans="1:18" x14ac:dyDescent="0.35">
      <c r="A27" s="61"/>
      <c r="B27" s="12">
        <v>2</v>
      </c>
      <c r="C27" s="13">
        <v>6</v>
      </c>
      <c r="D27" s="15">
        <f>0.249*4</f>
        <v>0.996</v>
      </c>
      <c r="E27" s="43">
        <f t="shared" si="0"/>
        <v>0.747</v>
      </c>
      <c r="F27" s="43">
        <f t="shared" si="1"/>
        <v>-0.29169009384931976</v>
      </c>
      <c r="G27" s="26">
        <v>29.29905193276938</v>
      </c>
      <c r="H27" s="26">
        <v>6.7294567503237301</v>
      </c>
      <c r="I27" s="26">
        <v>0.81039076376554176</v>
      </c>
      <c r="J27" s="26">
        <v>0.38300139878771733</v>
      </c>
      <c r="L27" s="66"/>
      <c r="M27" s="18">
        <v>2</v>
      </c>
      <c r="N27" s="9">
        <v>1</v>
      </c>
      <c r="O27" s="33">
        <f>E57</f>
        <v>0.27187499999999998</v>
      </c>
      <c r="P27" s="33">
        <f>F57</f>
        <v>-1.3024128771391885</v>
      </c>
      <c r="Q27" s="34">
        <f>$M$17</f>
        <v>1.5137753557372086E-2</v>
      </c>
      <c r="R27" s="35">
        <f>$M$18</f>
        <v>1.3685507048036132E-2</v>
      </c>
    </row>
    <row r="28" spans="1:18" x14ac:dyDescent="0.35">
      <c r="A28" s="61"/>
      <c r="B28" s="12">
        <v>2</v>
      </c>
      <c r="C28" s="13">
        <v>7</v>
      </c>
      <c r="D28" s="15">
        <f>0.376*4</f>
        <v>1.504</v>
      </c>
      <c r="E28" s="43">
        <f t="shared" si="0"/>
        <v>1.1280000000000001</v>
      </c>
      <c r="F28" s="43">
        <f t="shared" si="1"/>
        <v>0.12044615307586726</v>
      </c>
      <c r="G28" s="26">
        <v>31.138568795932414</v>
      </c>
      <c r="H28" s="26">
        <v>6.0838833859411787</v>
      </c>
      <c r="I28" s="26">
        <v>1.3543516873889876</v>
      </c>
      <c r="J28" s="26">
        <v>1.0823952574435489</v>
      </c>
      <c r="L28" s="67"/>
      <c r="M28" s="36">
        <v>2</v>
      </c>
      <c r="N28" s="11">
        <v>11</v>
      </c>
      <c r="O28" s="37">
        <f>E67</f>
        <v>2.9175</v>
      </c>
      <c r="P28" s="37">
        <f>F67</f>
        <v>1.070727085178574</v>
      </c>
      <c r="Q28" s="38">
        <v>0</v>
      </c>
      <c r="R28" s="39">
        <v>0</v>
      </c>
    </row>
    <row r="29" spans="1:18" x14ac:dyDescent="0.35">
      <c r="A29" s="61"/>
      <c r="B29" s="12">
        <v>2</v>
      </c>
      <c r="C29" s="13">
        <v>8</v>
      </c>
      <c r="D29" s="15">
        <f>0.36*5</f>
        <v>1.7999999999999998</v>
      </c>
      <c r="E29" s="43">
        <f t="shared" si="0"/>
        <v>1.3499999999999999</v>
      </c>
      <c r="F29" s="43">
        <f t="shared" si="1"/>
        <v>0.30010459245033799</v>
      </c>
      <c r="G29" s="26">
        <v>27.054330691178755</v>
      </c>
      <c r="H29" s="26">
        <v>4.1538772557831063</v>
      </c>
      <c r="I29" s="26">
        <v>2.5199822380106571</v>
      </c>
      <c r="J29" s="26">
        <v>2.1980949843468993</v>
      </c>
    </row>
    <row r="30" spans="1:18" x14ac:dyDescent="0.35">
      <c r="A30" s="61"/>
      <c r="B30" s="12">
        <v>2</v>
      </c>
      <c r="C30" s="13">
        <v>9</v>
      </c>
      <c r="D30" s="15">
        <f>0.225*10</f>
        <v>2.25</v>
      </c>
      <c r="E30" s="43">
        <f t="shared" si="0"/>
        <v>1.6875</v>
      </c>
      <c r="F30" s="43">
        <f t="shared" si="1"/>
        <v>0.52324814376454787</v>
      </c>
      <c r="G30" s="26">
        <v>23.200448500188728</v>
      </c>
      <c r="H30" s="26">
        <v>3.079643177450536</v>
      </c>
      <c r="I30" s="26">
        <v>4.8068383658969802</v>
      </c>
      <c r="J30" s="26">
        <v>3.6468394058482647</v>
      </c>
    </row>
    <row r="31" spans="1:18" x14ac:dyDescent="0.35">
      <c r="A31" s="61"/>
      <c r="B31" s="12">
        <v>2</v>
      </c>
      <c r="C31" s="13">
        <v>10</v>
      </c>
      <c r="D31" s="15">
        <f>0.257*10</f>
        <v>2.5700000000000003</v>
      </c>
      <c r="E31" s="43">
        <f t="shared" si="0"/>
        <v>1.9275000000000002</v>
      </c>
      <c r="F31" s="43">
        <f t="shared" si="1"/>
        <v>0.6562238264553476</v>
      </c>
      <c r="G31" s="26">
        <v>26.052421234929728</v>
      </c>
      <c r="H31" s="26">
        <v>1.8737121327839239</v>
      </c>
      <c r="I31" s="26">
        <v>11.445381882770871</v>
      </c>
      <c r="J31" s="26">
        <v>7.5601145673749421</v>
      </c>
    </row>
    <row r="32" spans="1:18" x14ac:dyDescent="0.35">
      <c r="A32" s="61"/>
      <c r="B32" s="12">
        <v>2</v>
      </c>
      <c r="C32" s="13">
        <v>11</v>
      </c>
      <c r="D32" s="15">
        <f>0.285*10</f>
        <v>2.8499999999999996</v>
      </c>
      <c r="E32" s="43">
        <f t="shared" si="0"/>
        <v>2.1374999999999997</v>
      </c>
      <c r="F32" s="43">
        <f t="shared" si="1"/>
        <v>0.75963692182877807</v>
      </c>
      <c r="G32" s="26">
        <v>13.704789182708319</v>
      </c>
      <c r="H32" s="26">
        <v>1.0577074002043758</v>
      </c>
      <c r="I32" s="26">
        <v>12.5</v>
      </c>
      <c r="J32" s="26">
        <v>6.6109371877705989</v>
      </c>
    </row>
    <row r="33" spans="1:10" x14ac:dyDescent="0.35">
      <c r="A33" s="61"/>
      <c r="B33" s="12">
        <v>2</v>
      </c>
      <c r="C33" s="13">
        <v>12</v>
      </c>
      <c r="D33" s="15">
        <f>0.162*20</f>
        <v>3.24</v>
      </c>
      <c r="E33" s="43">
        <f t="shared" si="0"/>
        <v>2.4300000000000002</v>
      </c>
      <c r="F33" s="43">
        <f t="shared" si="1"/>
        <v>0.88789125735245711</v>
      </c>
      <c r="G33" s="26">
        <v>9.7398920935189484</v>
      </c>
      <c r="H33" s="26">
        <v>0.70393319652273567</v>
      </c>
      <c r="I33" s="26">
        <v>14.964476021314388</v>
      </c>
      <c r="J33" s="26">
        <v>7.6766802104842471</v>
      </c>
    </row>
    <row r="34" spans="1:10" x14ac:dyDescent="0.35">
      <c r="A34" s="61"/>
      <c r="B34" s="12">
        <v>2</v>
      </c>
      <c r="C34" s="13">
        <v>13</v>
      </c>
      <c r="D34" s="15">
        <f>0.177*20</f>
        <v>3.54</v>
      </c>
      <c r="E34" s="43">
        <f t="shared" si="0"/>
        <v>2.6550000000000002</v>
      </c>
      <c r="F34" s="43">
        <f t="shared" si="1"/>
        <v>0.97644465469390229</v>
      </c>
      <c r="G34" s="26">
        <v>9.6188858544816718</v>
      </c>
      <c r="H34" s="26">
        <v>0.42504550310947192</v>
      </c>
      <c r="I34" s="26">
        <v>24.167406749555951</v>
      </c>
      <c r="J34" s="26">
        <v>13.205222140811298</v>
      </c>
    </row>
    <row r="35" spans="1:10" x14ac:dyDescent="0.35">
      <c r="A35" s="61"/>
      <c r="B35" s="12">
        <v>2</v>
      </c>
      <c r="C35" s="13">
        <v>14</v>
      </c>
      <c r="D35" s="15">
        <f>0.193*20</f>
        <v>3.8600000000000003</v>
      </c>
      <c r="E35" s="43">
        <f t="shared" si="0"/>
        <v>2.8950000000000005</v>
      </c>
      <c r="F35" s="43">
        <f t="shared" si="1"/>
        <v>1.0629851110249586</v>
      </c>
      <c r="G35" s="26">
        <v>6.743599991118808</v>
      </c>
      <c r="H35" s="26">
        <v>0.27527248257271936</v>
      </c>
      <c r="I35" s="26">
        <v>27.764209591474245</v>
      </c>
      <c r="J35" s="26">
        <v>15.4699260640778</v>
      </c>
    </row>
    <row r="36" spans="1:10" x14ac:dyDescent="0.35">
      <c r="A36" s="61"/>
      <c r="B36" s="12">
        <v>2</v>
      </c>
      <c r="C36" s="13">
        <v>15</v>
      </c>
      <c r="D36" s="15">
        <f>0.2*20</f>
        <v>4</v>
      </c>
      <c r="E36" s="43">
        <f t="shared" si="0"/>
        <v>3</v>
      </c>
      <c r="F36" s="43">
        <f t="shared" si="1"/>
        <v>1.0986122886681098</v>
      </c>
      <c r="G36" s="26">
        <v>2.8547481071959853</v>
      </c>
      <c r="H36" s="26">
        <v>0.22657042796370114</v>
      </c>
      <c r="I36" s="26">
        <v>31.782859680284194</v>
      </c>
      <c r="J36" s="26">
        <v>18.483980550189834</v>
      </c>
    </row>
    <row r="37" spans="1:10" x14ac:dyDescent="0.35">
      <c r="A37" s="61"/>
      <c r="B37" s="12">
        <v>2</v>
      </c>
      <c r="C37" s="13">
        <v>16</v>
      </c>
      <c r="D37" s="15">
        <f>0.202*20</f>
        <v>4.04</v>
      </c>
      <c r="E37" s="43">
        <f t="shared" si="0"/>
        <v>3.0300000000000002</v>
      </c>
      <c r="F37" s="43">
        <f t="shared" si="1"/>
        <v>1.1085626195212779</v>
      </c>
      <c r="G37" s="26">
        <v>0.48846555207708875</v>
      </c>
      <c r="H37" s="26">
        <v>0.27666692103978724</v>
      </c>
      <c r="I37" s="26">
        <v>29.273978685612789</v>
      </c>
      <c r="J37" s="26">
        <v>18.667155132218745</v>
      </c>
    </row>
    <row r="38" spans="1:10" x14ac:dyDescent="0.35">
      <c r="A38" s="62"/>
      <c r="B38" s="12">
        <v>2</v>
      </c>
      <c r="C38" s="13">
        <v>17</v>
      </c>
      <c r="D38" s="17">
        <f>0.194*20</f>
        <v>3.88</v>
      </c>
      <c r="E38" s="43">
        <f t="shared" si="0"/>
        <v>2.91</v>
      </c>
      <c r="F38" s="43">
        <f t="shared" si="1"/>
        <v>1.0681530811834012</v>
      </c>
      <c r="G38" s="26">
        <v>0</v>
      </c>
      <c r="H38" s="26">
        <v>0.23173501487876144</v>
      </c>
      <c r="I38" s="26">
        <v>20.737122557726465</v>
      </c>
      <c r="J38" s="26">
        <v>14.254312928795045</v>
      </c>
    </row>
    <row r="39" spans="1:10" x14ac:dyDescent="0.35">
      <c r="A39" s="60">
        <v>493</v>
      </c>
      <c r="B39" s="4">
        <v>1</v>
      </c>
      <c r="C39" s="1">
        <v>0</v>
      </c>
      <c r="D39" s="44">
        <v>0.36499999999999999</v>
      </c>
      <c r="E39" s="42">
        <f t="shared" si="0"/>
        <v>0.27374999999999999</v>
      </c>
      <c r="F39" s="42">
        <f t="shared" si="1"/>
        <v>-1.2955399978514266</v>
      </c>
      <c r="G39" s="23">
        <v>80.258775727702641</v>
      </c>
      <c r="H39" s="23"/>
      <c r="I39" s="23">
        <v>0</v>
      </c>
      <c r="J39" s="23">
        <v>0</v>
      </c>
    </row>
    <row r="40" spans="1:10" x14ac:dyDescent="0.35">
      <c r="A40" s="61"/>
      <c r="B40" s="4">
        <v>1</v>
      </c>
      <c r="C40" s="1">
        <v>1</v>
      </c>
      <c r="D40" s="44">
        <v>0.376</v>
      </c>
      <c r="E40" s="42">
        <f t="shared" si="0"/>
        <v>0.28200000000000003</v>
      </c>
      <c r="F40" s="42">
        <f t="shared" si="1"/>
        <v>-1.2658482080440234</v>
      </c>
      <c r="G40" s="23">
        <v>47.637602966318084</v>
      </c>
      <c r="H40" s="23"/>
      <c r="I40" s="23">
        <v>0</v>
      </c>
      <c r="J40" s="23">
        <v>0</v>
      </c>
    </row>
    <row r="41" spans="1:10" x14ac:dyDescent="0.35">
      <c r="A41" s="61"/>
      <c r="B41" s="4">
        <v>1</v>
      </c>
      <c r="C41" s="1">
        <v>2</v>
      </c>
      <c r="D41" s="44">
        <v>0.49</v>
      </c>
      <c r="E41" s="42">
        <f t="shared" si="0"/>
        <v>0.36749999999999999</v>
      </c>
      <c r="F41" s="42">
        <f t="shared" si="1"/>
        <v>-1.0010319603292457</v>
      </c>
      <c r="G41" s="23">
        <v>47.470525544528066</v>
      </c>
      <c r="H41" s="23"/>
      <c r="I41" s="23">
        <v>0</v>
      </c>
      <c r="J41" s="23">
        <v>0</v>
      </c>
    </row>
    <row r="42" spans="1:10" x14ac:dyDescent="0.35">
      <c r="A42" s="61"/>
      <c r="B42" s="4">
        <v>1</v>
      </c>
      <c r="C42" s="1">
        <v>3</v>
      </c>
      <c r="D42" s="44">
        <v>0.63900000000000001</v>
      </c>
      <c r="E42" s="42">
        <f t="shared" si="0"/>
        <v>0.47925000000000001</v>
      </c>
      <c r="F42" s="42">
        <f t="shared" si="1"/>
        <v>-0.73553289705638314</v>
      </c>
      <c r="G42" s="23">
        <v>47.714758320566624</v>
      </c>
      <c r="H42" s="23"/>
      <c r="I42" s="23">
        <v>0</v>
      </c>
      <c r="J42" s="23">
        <v>0</v>
      </c>
    </row>
    <row r="43" spans="1:10" x14ac:dyDescent="0.35">
      <c r="A43" s="61"/>
      <c r="B43" s="4">
        <v>1</v>
      </c>
      <c r="C43" s="1">
        <v>4</v>
      </c>
      <c r="D43" s="44">
        <v>0.84399999999999997</v>
      </c>
      <c r="E43" s="42">
        <f t="shared" si="0"/>
        <v>0.63300000000000001</v>
      </c>
      <c r="F43" s="42">
        <f t="shared" si="1"/>
        <v>-0.45728485683796083</v>
      </c>
      <c r="G43" s="23">
        <v>41.814316481271788</v>
      </c>
      <c r="H43" s="23"/>
      <c r="I43" s="23">
        <v>0</v>
      </c>
      <c r="J43" s="23">
        <v>0</v>
      </c>
    </row>
    <row r="44" spans="1:10" x14ac:dyDescent="0.35">
      <c r="A44" s="61"/>
      <c r="B44" s="4">
        <v>1</v>
      </c>
      <c r="C44" s="1">
        <v>5</v>
      </c>
      <c r="D44" s="44">
        <v>1.0649999999999999</v>
      </c>
      <c r="E44" s="42">
        <f t="shared" si="0"/>
        <v>0.79874999999999996</v>
      </c>
      <c r="F44" s="42">
        <f t="shared" si="1"/>
        <v>-0.22470727329039253</v>
      </c>
      <c r="G44" s="23">
        <v>41.11325739914296</v>
      </c>
      <c r="H44" s="23"/>
      <c r="I44" s="23">
        <v>2.616563055062167</v>
      </c>
      <c r="J44" s="23">
        <v>0</v>
      </c>
    </row>
    <row r="45" spans="1:10" x14ac:dyDescent="0.35">
      <c r="A45" s="61"/>
      <c r="B45" s="4">
        <v>1</v>
      </c>
      <c r="C45" s="1">
        <v>6</v>
      </c>
      <c r="D45" s="44">
        <v>1.1749999999999998</v>
      </c>
      <c r="E45" s="42">
        <f t="shared" si="0"/>
        <v>0.88124999999999987</v>
      </c>
      <c r="F45" s="42">
        <f t="shared" si="1"/>
        <v>-0.1264139248556588</v>
      </c>
      <c r="G45" s="23">
        <v>38.738648726659115</v>
      </c>
      <c r="H45" s="23"/>
      <c r="I45" s="23">
        <v>4.1529751332149196</v>
      </c>
      <c r="J45" s="23">
        <v>0</v>
      </c>
    </row>
    <row r="46" spans="1:10" x14ac:dyDescent="0.35">
      <c r="A46" s="61"/>
      <c r="B46" s="4">
        <v>1</v>
      </c>
      <c r="C46" s="1">
        <v>7</v>
      </c>
      <c r="D46" s="44">
        <v>1.32</v>
      </c>
      <c r="E46" s="42">
        <f t="shared" si="0"/>
        <v>0.99</v>
      </c>
      <c r="F46" s="42">
        <f t="shared" si="1"/>
        <v>-1.0050335853501451E-2</v>
      </c>
      <c r="G46" s="23">
        <v>54.17193987433113</v>
      </c>
      <c r="H46" s="23"/>
      <c r="I46" s="23">
        <v>9.4149644760213143</v>
      </c>
      <c r="J46" s="23">
        <v>0</v>
      </c>
    </row>
    <row r="47" spans="1:10" x14ac:dyDescent="0.35">
      <c r="A47" s="61"/>
      <c r="B47" s="4">
        <v>1</v>
      </c>
      <c r="C47" s="1">
        <v>8</v>
      </c>
      <c r="D47" s="44">
        <v>1.3450000000000002</v>
      </c>
      <c r="E47" s="42">
        <f t="shared" si="0"/>
        <v>1.00875</v>
      </c>
      <c r="F47" s="42">
        <f t="shared" si="1"/>
        <v>8.7119406020215364E-3</v>
      </c>
      <c r="G47" s="23">
        <v>34.286951308865646</v>
      </c>
      <c r="H47" s="23"/>
      <c r="I47" s="23">
        <v>8.87544404973357</v>
      </c>
      <c r="J47" s="23">
        <v>0</v>
      </c>
    </row>
    <row r="48" spans="1:10" x14ac:dyDescent="0.35">
      <c r="A48" s="61"/>
      <c r="B48" s="4">
        <v>1</v>
      </c>
      <c r="C48" s="1">
        <v>9</v>
      </c>
      <c r="D48" s="44">
        <v>1.4775</v>
      </c>
      <c r="E48" s="42">
        <f t="shared" si="0"/>
        <v>1.108125</v>
      </c>
      <c r="F48" s="42">
        <f t="shared" si="1"/>
        <v>0.1026693978463353</v>
      </c>
      <c r="G48" s="23">
        <v>31.660338817469306</v>
      </c>
      <c r="H48" s="23"/>
      <c r="I48" s="23">
        <v>11.423179396092362</v>
      </c>
      <c r="J48" s="23">
        <v>0</v>
      </c>
    </row>
    <row r="49" spans="1:10" x14ac:dyDescent="0.35">
      <c r="A49" s="61"/>
      <c r="B49" s="4">
        <v>1</v>
      </c>
      <c r="C49" s="1">
        <v>10</v>
      </c>
      <c r="D49" s="44">
        <v>1.4649999999999999</v>
      </c>
      <c r="E49" s="42">
        <f t="shared" si="0"/>
        <v>1.0987499999999999</v>
      </c>
      <c r="F49" s="42">
        <f t="shared" si="1"/>
        <v>9.4173170017249605E-2</v>
      </c>
      <c r="G49" s="23">
        <v>29.18415151313306</v>
      </c>
      <c r="H49" s="23"/>
      <c r="I49" s="23">
        <v>13.520204262877444</v>
      </c>
      <c r="J49" s="23">
        <v>0</v>
      </c>
    </row>
    <row r="50" spans="1:10" x14ac:dyDescent="0.35">
      <c r="A50" s="61"/>
      <c r="B50" s="4">
        <v>1</v>
      </c>
      <c r="C50" s="1">
        <v>11</v>
      </c>
      <c r="D50" s="44">
        <v>1.5149999999999999</v>
      </c>
      <c r="E50" s="42">
        <f t="shared" si="0"/>
        <v>1.13625</v>
      </c>
      <c r="F50" s="42">
        <f t="shared" si="1"/>
        <v>0.12773336650955153</v>
      </c>
      <c r="G50" s="23">
        <v>34.553387064544062</v>
      </c>
      <c r="H50" s="23"/>
      <c r="I50" s="23">
        <v>19.276198934280639</v>
      </c>
      <c r="J50" s="23">
        <v>0</v>
      </c>
    </row>
    <row r="51" spans="1:10" x14ac:dyDescent="0.35">
      <c r="A51" s="61"/>
      <c r="B51" s="4">
        <v>1</v>
      </c>
      <c r="C51" s="1">
        <v>12</v>
      </c>
      <c r="D51" s="44">
        <v>1.4500000000000002</v>
      </c>
      <c r="E51" s="42">
        <f t="shared" si="0"/>
        <v>1.0875000000000001</v>
      </c>
      <c r="F51" s="42">
        <f t="shared" si="1"/>
        <v>8.3881483980702234E-2</v>
      </c>
      <c r="G51" s="23">
        <v>24.099114101112367</v>
      </c>
      <c r="H51" s="23"/>
      <c r="I51" s="23">
        <v>16.664076376554174</v>
      </c>
      <c r="J51" s="23">
        <v>0</v>
      </c>
    </row>
    <row r="52" spans="1:10" x14ac:dyDescent="0.35">
      <c r="A52" s="61"/>
      <c r="B52" s="4">
        <v>1</v>
      </c>
      <c r="C52" s="1">
        <v>13</v>
      </c>
      <c r="D52" s="44">
        <v>1.4549999999999998</v>
      </c>
      <c r="E52" s="42">
        <f t="shared" si="0"/>
        <v>1.0912499999999998</v>
      </c>
      <c r="F52" s="42">
        <f t="shared" si="1"/>
        <v>8.732382817167475E-2</v>
      </c>
      <c r="G52" s="23">
        <v>21.268234197029241</v>
      </c>
      <c r="H52" s="23"/>
      <c r="I52" s="23">
        <v>18.284857904085257</v>
      </c>
      <c r="J52" s="23">
        <v>0</v>
      </c>
    </row>
    <row r="53" spans="1:10" x14ac:dyDescent="0.35">
      <c r="A53" s="61"/>
      <c r="B53" s="4">
        <v>1</v>
      </c>
      <c r="C53" s="1">
        <v>14</v>
      </c>
      <c r="D53" s="44">
        <v>1.4200000000000002</v>
      </c>
      <c r="E53" s="42">
        <f t="shared" si="0"/>
        <v>1.0650000000000002</v>
      </c>
      <c r="F53" s="42">
        <f t="shared" si="1"/>
        <v>6.2974799161388595E-2</v>
      </c>
      <c r="G53" s="23">
        <v>19.296609605008992</v>
      </c>
      <c r="H53" s="23"/>
      <c r="I53" s="23">
        <v>19.761323268206038</v>
      </c>
      <c r="J53" s="23">
        <v>0</v>
      </c>
    </row>
    <row r="54" spans="1:10" x14ac:dyDescent="0.35">
      <c r="A54" s="61"/>
      <c r="B54" s="4">
        <v>1</v>
      </c>
      <c r="C54" s="1">
        <v>15</v>
      </c>
      <c r="D54" s="44">
        <v>1.2</v>
      </c>
      <c r="E54" s="42">
        <f t="shared" si="0"/>
        <v>0.89999999999999991</v>
      </c>
      <c r="F54" s="42">
        <f t="shared" si="1"/>
        <v>-0.10536051565782641</v>
      </c>
      <c r="G54" s="23">
        <v>28.182242056884036</v>
      </c>
      <c r="H54" s="23"/>
      <c r="I54" s="23">
        <v>22.383436944937834</v>
      </c>
      <c r="J54" s="23">
        <v>3.6135349363884632</v>
      </c>
    </row>
    <row r="55" spans="1:10" x14ac:dyDescent="0.35">
      <c r="A55" s="61"/>
      <c r="B55" s="4">
        <v>1</v>
      </c>
      <c r="C55" s="1">
        <v>16</v>
      </c>
      <c r="D55" s="44">
        <v>1.655</v>
      </c>
      <c r="E55" s="42">
        <f t="shared" si="0"/>
        <v>1.24125</v>
      </c>
      <c r="F55" s="42">
        <f t="shared" si="1"/>
        <v>0.21611893637724527</v>
      </c>
      <c r="G55" s="23">
        <v>26.703523612868846</v>
      </c>
      <c r="H55" s="23"/>
      <c r="I55" s="23">
        <v>23.743339253996446</v>
      </c>
      <c r="J55" s="23">
        <v>4.1963631519349898</v>
      </c>
    </row>
    <row r="56" spans="1:10" x14ac:dyDescent="0.35">
      <c r="A56" s="61"/>
      <c r="B56" s="12">
        <v>2</v>
      </c>
      <c r="C56" s="13">
        <v>0</v>
      </c>
      <c r="D56" s="45">
        <v>0.20699999999999999</v>
      </c>
      <c r="E56" s="43">
        <f t="shared" si="0"/>
        <v>0.15525</v>
      </c>
      <c r="F56" s="43">
        <f t="shared" si="1"/>
        <v>-1.8627185581685488</v>
      </c>
      <c r="G56" s="26">
        <v>53.02793134838695</v>
      </c>
      <c r="H56" s="26"/>
      <c r="I56" s="26">
        <v>0</v>
      </c>
      <c r="J56" s="26">
        <v>0</v>
      </c>
    </row>
    <row r="57" spans="1:10" x14ac:dyDescent="0.35">
      <c r="A57" s="61"/>
      <c r="B57" s="12">
        <v>2</v>
      </c>
      <c r="C57" s="13">
        <v>1</v>
      </c>
      <c r="D57" s="45">
        <v>0.36249999999999999</v>
      </c>
      <c r="E57" s="43">
        <f t="shared" si="0"/>
        <v>0.27187499999999998</v>
      </c>
      <c r="F57" s="43">
        <f t="shared" si="1"/>
        <v>-1.3024128771391885</v>
      </c>
      <c r="G57" s="26">
        <v>45.348475765447724</v>
      </c>
      <c r="H57" s="26"/>
      <c r="I57" s="26">
        <v>0</v>
      </c>
      <c r="J57" s="26">
        <v>0</v>
      </c>
    </row>
    <row r="58" spans="1:10" x14ac:dyDescent="0.35">
      <c r="A58" s="61"/>
      <c r="B58" s="12">
        <v>2</v>
      </c>
      <c r="C58" s="13">
        <v>2</v>
      </c>
      <c r="D58" s="45">
        <v>0.44800000000000001</v>
      </c>
      <c r="E58" s="43">
        <f t="shared" si="0"/>
        <v>0.33600000000000002</v>
      </c>
      <c r="F58" s="43">
        <f t="shared" si="1"/>
        <v>-1.0906441190189327</v>
      </c>
      <c r="G58" s="26">
        <v>46.285996580741127</v>
      </c>
      <c r="H58" s="26"/>
      <c r="I58" s="26">
        <v>0</v>
      </c>
      <c r="J58" s="26">
        <v>0</v>
      </c>
    </row>
    <row r="59" spans="1:10" x14ac:dyDescent="0.35">
      <c r="A59" s="61"/>
      <c r="B59" s="12">
        <v>2</v>
      </c>
      <c r="C59" s="13">
        <v>3</v>
      </c>
      <c r="D59" s="45">
        <v>0.56400000000000006</v>
      </c>
      <c r="E59" s="43">
        <f t="shared" si="0"/>
        <v>0.42300000000000004</v>
      </c>
      <c r="F59" s="43">
        <f t="shared" si="1"/>
        <v>-0.86038309993585893</v>
      </c>
      <c r="G59" s="26">
        <v>46.700637225515663</v>
      </c>
      <c r="H59" s="26"/>
      <c r="I59" s="26">
        <v>0</v>
      </c>
      <c r="J59" s="26">
        <v>0</v>
      </c>
    </row>
    <row r="60" spans="1:10" x14ac:dyDescent="0.35">
      <c r="A60" s="61"/>
      <c r="B60" s="12">
        <v>2</v>
      </c>
      <c r="C60" s="13">
        <v>4</v>
      </c>
      <c r="D60" s="45">
        <v>0.78500000000000003</v>
      </c>
      <c r="E60" s="43">
        <f t="shared" si="0"/>
        <v>0.58875</v>
      </c>
      <c r="F60" s="43">
        <f t="shared" si="1"/>
        <v>-0.52975363365150951</v>
      </c>
      <c r="G60" s="26">
        <v>41.335287195541639</v>
      </c>
      <c r="H60" s="26"/>
      <c r="I60" s="26">
        <v>0</v>
      </c>
      <c r="J60" s="26">
        <v>0</v>
      </c>
    </row>
    <row r="61" spans="1:10" x14ac:dyDescent="0.35">
      <c r="A61" s="61"/>
      <c r="B61" s="12">
        <v>2</v>
      </c>
      <c r="C61" s="13">
        <v>5</v>
      </c>
      <c r="D61" s="45">
        <v>1.036</v>
      </c>
      <c r="E61" s="43">
        <f t="shared" si="0"/>
        <v>0.77700000000000002</v>
      </c>
      <c r="F61" s="43">
        <f t="shared" si="1"/>
        <v>-0.25231492861448956</v>
      </c>
      <c r="G61" s="26">
        <v>40.670863029818598</v>
      </c>
      <c r="H61" s="26"/>
      <c r="I61" s="26">
        <v>0</v>
      </c>
      <c r="J61" s="26">
        <v>0</v>
      </c>
    </row>
    <row r="62" spans="1:10" x14ac:dyDescent="0.35">
      <c r="A62" s="61"/>
      <c r="B62" s="12">
        <v>2</v>
      </c>
      <c r="C62" s="13">
        <v>6</v>
      </c>
      <c r="D62" s="45">
        <v>1.3425</v>
      </c>
      <c r="E62" s="43">
        <f t="shared" si="0"/>
        <v>1.006875</v>
      </c>
      <c r="F62" s="43">
        <f t="shared" si="1"/>
        <v>6.8514749491017379E-3</v>
      </c>
      <c r="G62" s="26">
        <v>37.599635871133898</v>
      </c>
      <c r="H62" s="26"/>
      <c r="I62" s="26">
        <v>2.5543960923623446</v>
      </c>
      <c r="J62" s="26">
        <v>0</v>
      </c>
    </row>
    <row r="63" spans="1:10" x14ac:dyDescent="0.35">
      <c r="A63" s="61"/>
      <c r="B63" s="12">
        <v>2</v>
      </c>
      <c r="C63" s="13">
        <v>7</v>
      </c>
      <c r="D63" s="45">
        <v>1.8599999999999999</v>
      </c>
      <c r="E63" s="43">
        <f t="shared" si="0"/>
        <v>1.395</v>
      </c>
      <c r="F63" s="43">
        <f t="shared" si="1"/>
        <v>0.33289441527332897</v>
      </c>
      <c r="G63" s="26">
        <v>51.848953129509979</v>
      </c>
      <c r="H63" s="26"/>
      <c r="I63" s="26">
        <v>4.9433836589698039</v>
      </c>
      <c r="J63" s="26">
        <v>0</v>
      </c>
    </row>
    <row r="64" spans="1:10" x14ac:dyDescent="0.35">
      <c r="A64" s="61"/>
      <c r="B64" s="12">
        <v>2</v>
      </c>
      <c r="C64" s="13">
        <v>8</v>
      </c>
      <c r="D64" s="45">
        <v>2.5249999999999999</v>
      </c>
      <c r="E64" s="43">
        <f t="shared" si="0"/>
        <v>1.8937499999999998</v>
      </c>
      <c r="F64" s="43">
        <f t="shared" si="1"/>
        <v>0.63855899027554208</v>
      </c>
      <c r="G64" s="26">
        <v>29.462798907613397</v>
      </c>
      <c r="H64" s="26"/>
      <c r="I64" s="26">
        <v>7.2613232682060396</v>
      </c>
      <c r="J64" s="26">
        <v>3.8133617531472725</v>
      </c>
    </row>
    <row r="65" spans="1:10" x14ac:dyDescent="0.35">
      <c r="A65" s="61"/>
      <c r="B65" s="12">
        <v>2</v>
      </c>
      <c r="C65" s="13">
        <v>9</v>
      </c>
      <c r="D65" s="45">
        <v>2.75</v>
      </c>
      <c r="E65" s="43">
        <f t="shared" si="0"/>
        <v>2.0625</v>
      </c>
      <c r="F65" s="43">
        <f t="shared" si="1"/>
        <v>0.72391883922669897</v>
      </c>
      <c r="G65" s="26">
        <v>26.419325473478537</v>
      </c>
      <c r="H65" s="26"/>
      <c r="I65" s="26">
        <v>6.6685168738898764</v>
      </c>
      <c r="J65" s="26">
        <v>4.5294078465330045</v>
      </c>
    </row>
    <row r="66" spans="1:10" x14ac:dyDescent="0.35">
      <c r="A66" s="61"/>
      <c r="B66" s="12">
        <v>2</v>
      </c>
      <c r="C66" s="13">
        <v>10</v>
      </c>
      <c r="D66" s="45">
        <v>3.3950000000000005</v>
      </c>
      <c r="E66" s="43">
        <f t="shared" si="0"/>
        <v>2.5462500000000006</v>
      </c>
      <c r="F66" s="43">
        <f t="shared" si="1"/>
        <v>0.93462168855887873</v>
      </c>
      <c r="G66" s="26">
        <v>22.81189635649104</v>
      </c>
      <c r="H66" s="26"/>
      <c r="I66" s="26">
        <v>7.5921403197158082</v>
      </c>
      <c r="J66" s="26">
        <v>4.9457137147805232</v>
      </c>
    </row>
    <row r="67" spans="1:10" x14ac:dyDescent="0.35">
      <c r="A67" s="61"/>
      <c r="B67" s="12">
        <v>2</v>
      </c>
      <c r="C67" s="13">
        <v>11</v>
      </c>
      <c r="D67" s="45">
        <v>3.89</v>
      </c>
      <c r="E67" s="43">
        <f t="shared" si="0"/>
        <v>2.9175</v>
      </c>
      <c r="F67" s="43">
        <f t="shared" si="1"/>
        <v>1.070727085178574</v>
      </c>
      <c r="G67" s="26">
        <v>28.649614778303249</v>
      </c>
      <c r="H67" s="26"/>
      <c r="I67" s="26">
        <v>10.656083481349912</v>
      </c>
      <c r="J67" s="26">
        <v>3.913275161526677</v>
      </c>
    </row>
    <row r="68" spans="1:10" x14ac:dyDescent="0.35">
      <c r="A68" s="61"/>
      <c r="B68" s="12">
        <v>2</v>
      </c>
      <c r="C68" s="13">
        <v>12</v>
      </c>
      <c r="D68" s="45">
        <v>3.89</v>
      </c>
      <c r="E68" s="43">
        <f t="shared" ref="E68:E72" si="8">D68*0.75</f>
        <v>2.9175</v>
      </c>
      <c r="F68" s="43">
        <f t="shared" ref="F68:F72" si="9">LN(E68)</f>
        <v>1.070727085178574</v>
      </c>
      <c r="G68" s="26">
        <v>16.605053398166035</v>
      </c>
      <c r="H68" s="26"/>
      <c r="I68" s="26">
        <v>8.0783747779751334</v>
      </c>
      <c r="J68" s="26">
        <v>5.4619329914074468</v>
      </c>
    </row>
    <row r="69" spans="1:10" x14ac:dyDescent="0.35">
      <c r="A69" s="61"/>
      <c r="B69" s="12">
        <v>2</v>
      </c>
      <c r="C69" s="13">
        <v>13</v>
      </c>
      <c r="D69" s="45">
        <v>4</v>
      </c>
      <c r="E69" s="43">
        <f t="shared" si="8"/>
        <v>3</v>
      </c>
      <c r="F69" s="43">
        <f t="shared" si="9"/>
        <v>1.0986122886681098</v>
      </c>
      <c r="G69" s="26">
        <v>13.547148027265258</v>
      </c>
      <c r="H69" s="26"/>
      <c r="I69" s="26">
        <v>8.2215808170515103</v>
      </c>
      <c r="J69" s="26">
        <v>6.1613268500632783</v>
      </c>
    </row>
    <row r="70" spans="1:10" x14ac:dyDescent="0.35">
      <c r="A70" s="61"/>
      <c r="B70" s="12">
        <v>2</v>
      </c>
      <c r="C70" s="13">
        <v>14</v>
      </c>
      <c r="D70" s="45">
        <v>4.04</v>
      </c>
      <c r="E70" s="43">
        <f t="shared" si="8"/>
        <v>3.0300000000000002</v>
      </c>
      <c r="F70" s="43">
        <f t="shared" si="9"/>
        <v>1.1085626195212779</v>
      </c>
      <c r="G70" s="26">
        <v>11.407890938964011</v>
      </c>
      <c r="H70" s="26"/>
      <c r="I70" s="26">
        <v>8.6423179396092369</v>
      </c>
      <c r="J70" s="26">
        <v>7.1105042296676215</v>
      </c>
    </row>
    <row r="71" spans="1:10" x14ac:dyDescent="0.35">
      <c r="A71" s="61"/>
      <c r="B71" s="12">
        <v>2</v>
      </c>
      <c r="C71" s="13">
        <v>15</v>
      </c>
      <c r="D71" s="45">
        <v>3.96</v>
      </c>
      <c r="E71" s="43">
        <f t="shared" si="8"/>
        <v>2.9699999999999998</v>
      </c>
      <c r="F71" s="43">
        <f t="shared" si="9"/>
        <v>1.0885619528146082</v>
      </c>
      <c r="G71" s="26">
        <v>9.8864317591420754</v>
      </c>
      <c r="H71" s="26"/>
      <c r="I71" s="26">
        <v>9.5015541740674951</v>
      </c>
      <c r="J71" s="26">
        <v>6.6109371877705989</v>
      </c>
    </row>
    <row r="72" spans="1:10" x14ac:dyDescent="0.35">
      <c r="A72" s="62"/>
      <c r="B72" s="12">
        <v>2</v>
      </c>
      <c r="C72" s="13">
        <v>16</v>
      </c>
      <c r="D72" s="45">
        <v>4.7799999999999994</v>
      </c>
      <c r="E72" s="43">
        <f t="shared" si="8"/>
        <v>3.5849999999999995</v>
      </c>
      <c r="F72" s="43">
        <f t="shared" si="9"/>
        <v>1.2767584740515836</v>
      </c>
      <c r="G72" s="26">
        <v>7.9669841692755163</v>
      </c>
      <c r="H72" s="26"/>
      <c r="I72" s="26">
        <v>9.7402309058614556</v>
      </c>
      <c r="J72" s="26">
        <v>7.1771131685872245</v>
      </c>
    </row>
  </sheetData>
  <mergeCells count="8">
    <mergeCell ref="A3:A38"/>
    <mergeCell ref="A39:A72"/>
    <mergeCell ref="A1:J1"/>
    <mergeCell ref="L21:L24"/>
    <mergeCell ref="L25:L28"/>
    <mergeCell ref="L3:L6"/>
    <mergeCell ref="L7:L10"/>
    <mergeCell ref="L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9CA7-516C-412E-8832-260FEE22AC70}">
  <dimension ref="A1:S21"/>
  <sheetViews>
    <sheetView tabSelected="1" workbookViewId="0">
      <selection activeCell="J3" sqref="J3"/>
    </sheetView>
  </sheetViews>
  <sheetFormatPr defaultRowHeight="14.5" x14ac:dyDescent="0.35"/>
  <cols>
    <col min="11" max="11" width="11" bestFit="1" customWidth="1"/>
    <col min="12" max="12" width="11.7265625" bestFit="1" customWidth="1"/>
  </cols>
  <sheetData>
    <row r="1" spans="1:19" x14ac:dyDescent="0.35">
      <c r="A1" s="63" t="s">
        <v>10</v>
      </c>
      <c r="B1" s="64"/>
      <c r="C1" s="64"/>
      <c r="D1" s="64"/>
      <c r="E1" s="64"/>
      <c r="F1" s="64"/>
      <c r="G1" s="64"/>
      <c r="H1" s="65"/>
      <c r="J1" s="73" t="s">
        <v>26</v>
      </c>
      <c r="K1" s="74"/>
      <c r="L1" s="74"/>
      <c r="M1" s="74"/>
      <c r="N1" s="74"/>
      <c r="O1" s="74"/>
      <c r="P1" s="75"/>
      <c r="Q1" s="56"/>
      <c r="R1" s="56"/>
      <c r="S1" s="9"/>
    </row>
    <row r="2" spans="1:19" x14ac:dyDescent="0.35">
      <c r="A2" s="24" t="s">
        <v>9</v>
      </c>
      <c r="B2" s="24" t="s">
        <v>1</v>
      </c>
      <c r="C2" s="24" t="s">
        <v>2</v>
      </c>
      <c r="D2" s="24" t="s">
        <v>12</v>
      </c>
      <c r="E2" s="24" t="s">
        <v>4</v>
      </c>
      <c r="F2" s="24" t="s">
        <v>5</v>
      </c>
      <c r="G2" s="24" t="s">
        <v>7</v>
      </c>
      <c r="H2" s="24" t="s">
        <v>8</v>
      </c>
      <c r="J2" s="24" t="s">
        <v>9</v>
      </c>
      <c r="K2" s="27" t="s">
        <v>23</v>
      </c>
      <c r="L2" s="24" t="s">
        <v>11</v>
      </c>
      <c r="M2" s="24" t="s">
        <v>5</v>
      </c>
      <c r="N2" s="24" t="s">
        <v>6</v>
      </c>
      <c r="O2" s="24" t="s">
        <v>7</v>
      </c>
      <c r="P2" s="54" t="s">
        <v>8</v>
      </c>
      <c r="Q2" s="58"/>
      <c r="R2" s="57"/>
    </row>
    <row r="3" spans="1:19" x14ac:dyDescent="0.35">
      <c r="A3" s="76">
        <v>4252</v>
      </c>
      <c r="B3" s="4">
        <v>0</v>
      </c>
      <c r="C3" s="4">
        <v>0.34699999999999998</v>
      </c>
      <c r="D3" s="4">
        <f>C3*0.75</f>
        <v>0.26024999999999998</v>
      </c>
      <c r="E3" s="4">
        <f>LN(D3)</f>
        <v>-1.3461125714870588</v>
      </c>
      <c r="F3" s="4">
        <v>58.987211083727431</v>
      </c>
      <c r="G3" s="4">
        <v>0</v>
      </c>
      <c r="H3" s="4">
        <v>0</v>
      </c>
      <c r="J3" s="46">
        <v>4252</v>
      </c>
      <c r="K3" s="4" t="s">
        <v>25</v>
      </c>
      <c r="L3" s="23">
        <f>SLOPE(E4:E8,B4:B8)</f>
        <v>0.23812526387945829</v>
      </c>
      <c r="M3" s="23">
        <f>SLOPE(F3:F15,D3:D15)*SLOPE(E3:E15,B3:B15)</f>
        <v>-3.1536363369651581</v>
      </c>
      <c r="N3" s="23"/>
      <c r="O3" s="23">
        <f>SLOPE(G4:G8,D4:D8)*SLOPE(E4:E8,B4:B8)</f>
        <v>2.5102878374602429</v>
      </c>
      <c r="P3" s="55">
        <f>SLOPE(H4:H8,D4:D8)*SLOPE(E4:E8,B4:B8)</f>
        <v>0</v>
      </c>
      <c r="Q3" s="59"/>
      <c r="R3" s="53"/>
    </row>
    <row r="4" spans="1:19" x14ac:dyDescent="0.35">
      <c r="A4" s="77"/>
      <c r="B4" s="4">
        <v>1</v>
      </c>
      <c r="C4" s="4">
        <v>0.41700000000000004</v>
      </c>
      <c r="D4" s="4">
        <f t="shared" ref="D4:D21" si="0">C4*0.75</f>
        <v>0.31275000000000003</v>
      </c>
      <c r="E4" s="4">
        <f t="shared" ref="E4:E21" si="1">LN(D4)</f>
        <v>-1.1623511296351163</v>
      </c>
      <c r="F4" s="4">
        <v>58.421035102910814</v>
      </c>
      <c r="G4" s="4">
        <v>0</v>
      </c>
      <c r="H4" s="4">
        <v>0</v>
      </c>
      <c r="J4" s="47"/>
    </row>
    <row r="5" spans="1:19" x14ac:dyDescent="0.35">
      <c r="A5" s="77"/>
      <c r="B5" s="4">
        <v>2</v>
      </c>
      <c r="C5" s="4">
        <v>0.48299999999999998</v>
      </c>
      <c r="D5" s="4">
        <f t="shared" si="0"/>
        <v>0.36224999999999996</v>
      </c>
      <c r="E5" s="4">
        <f t="shared" si="1"/>
        <v>-1.0154206977813454</v>
      </c>
      <c r="F5" s="4">
        <v>54.10366571193854</v>
      </c>
      <c r="G5" s="4">
        <v>0</v>
      </c>
      <c r="H5" s="4">
        <v>0</v>
      </c>
      <c r="J5" s="47" t="s">
        <v>28</v>
      </c>
      <c r="K5" s="48"/>
      <c r="L5" s="49"/>
      <c r="M5" s="49"/>
      <c r="N5" s="49"/>
      <c r="O5" s="49"/>
      <c r="P5" s="49"/>
      <c r="Q5" s="50"/>
      <c r="R5" s="50"/>
    </row>
    <row r="6" spans="1:19" x14ac:dyDescent="0.35">
      <c r="A6" s="77"/>
      <c r="B6" s="4">
        <v>3</v>
      </c>
      <c r="C6" s="4">
        <v>0.64300000000000002</v>
      </c>
      <c r="D6" s="4">
        <f t="shared" si="0"/>
        <v>0.48225000000000001</v>
      </c>
      <c r="E6" s="4">
        <f t="shared" si="1"/>
        <v>-0.72929262719629862</v>
      </c>
      <c r="F6" s="4">
        <v>55.340371677879176</v>
      </c>
      <c r="G6" s="4">
        <v>0</v>
      </c>
      <c r="H6" s="4">
        <v>0</v>
      </c>
      <c r="J6" s="47" t="s">
        <v>29</v>
      </c>
      <c r="K6" s="51"/>
      <c r="L6" s="52"/>
      <c r="M6" s="52"/>
      <c r="N6" s="52"/>
      <c r="O6" s="52"/>
      <c r="P6" s="52"/>
      <c r="Q6" s="53"/>
      <c r="R6" s="53"/>
    </row>
    <row r="7" spans="1:19" x14ac:dyDescent="0.35">
      <c r="A7" s="77"/>
      <c r="B7" s="4">
        <v>4</v>
      </c>
      <c r="C7" s="4">
        <v>0.8125</v>
      </c>
      <c r="D7" s="4">
        <f t="shared" si="0"/>
        <v>0.609375</v>
      </c>
      <c r="E7" s="4">
        <f t="shared" si="1"/>
        <v>-0.49532143723002542</v>
      </c>
      <c r="F7" s="4">
        <v>53.136725948622313</v>
      </c>
      <c r="G7" s="4">
        <v>2.875222024866785</v>
      </c>
      <c r="H7" s="4">
        <v>0</v>
      </c>
    </row>
    <row r="8" spans="1:19" x14ac:dyDescent="0.35">
      <c r="A8" s="77"/>
      <c r="B8" s="4">
        <v>5</v>
      </c>
      <c r="C8" s="4">
        <v>1.0575000000000001</v>
      </c>
      <c r="D8" s="4">
        <f t="shared" si="0"/>
        <v>0.79312500000000008</v>
      </c>
      <c r="E8" s="4">
        <f t="shared" si="1"/>
        <v>-0.23177444051348484</v>
      </c>
      <c r="F8" s="4">
        <v>49.817380492462085</v>
      </c>
      <c r="G8" s="4">
        <v>4.6847246891651864</v>
      </c>
      <c r="H8" s="4">
        <v>0</v>
      </c>
    </row>
    <row r="9" spans="1:19" x14ac:dyDescent="0.35">
      <c r="A9" s="77"/>
      <c r="B9" s="4">
        <v>6</v>
      </c>
      <c r="C9" s="4">
        <v>1.1949999999999998</v>
      </c>
      <c r="D9" s="4">
        <f t="shared" si="0"/>
        <v>0.89624999999999988</v>
      </c>
      <c r="E9" s="4">
        <f t="shared" si="1"/>
        <v>-0.10953588706830707</v>
      </c>
      <c r="F9" s="4"/>
      <c r="G9" s="4"/>
      <c r="H9" s="4"/>
    </row>
    <row r="10" spans="1:19" x14ac:dyDescent="0.35">
      <c r="A10" s="77"/>
      <c r="B10" s="4">
        <v>7</v>
      </c>
      <c r="C10" s="4">
        <v>1.3150000000000002</v>
      </c>
      <c r="D10" s="4">
        <f t="shared" si="0"/>
        <v>0.98625000000000007</v>
      </c>
      <c r="E10" s="4">
        <f t="shared" si="1"/>
        <v>-1.3845406822052982E-2</v>
      </c>
      <c r="F10" s="4">
        <v>42.889495770332381</v>
      </c>
      <c r="G10" s="4">
        <v>9.180728241563056</v>
      </c>
      <c r="H10" s="4">
        <v>0</v>
      </c>
    </row>
    <row r="11" spans="1:19" x14ac:dyDescent="0.35">
      <c r="A11" s="77"/>
      <c r="B11" s="4">
        <v>8</v>
      </c>
      <c r="C11" s="4">
        <v>1.36</v>
      </c>
      <c r="D11" s="4">
        <f t="shared" si="0"/>
        <v>1.02</v>
      </c>
      <c r="E11" s="4">
        <f t="shared" si="1"/>
        <v>1.980262729617973E-2</v>
      </c>
      <c r="F11" s="4"/>
      <c r="G11" s="4"/>
      <c r="H11" s="4"/>
    </row>
    <row r="12" spans="1:19" x14ac:dyDescent="0.35">
      <c r="A12" s="77"/>
      <c r="B12" s="4">
        <v>9</v>
      </c>
      <c r="C12" s="4">
        <v>1.44</v>
      </c>
      <c r="D12" s="4">
        <f t="shared" si="0"/>
        <v>1.08</v>
      </c>
      <c r="E12" s="4">
        <f t="shared" si="1"/>
        <v>7.6961041136128394E-2</v>
      </c>
      <c r="F12" s="4"/>
      <c r="G12" s="4"/>
      <c r="H12" s="4"/>
    </row>
    <row r="13" spans="1:19" x14ac:dyDescent="0.35">
      <c r="A13" s="77"/>
      <c r="B13" s="4">
        <v>10</v>
      </c>
      <c r="C13" s="4">
        <v>1.45</v>
      </c>
      <c r="D13" s="4">
        <f t="shared" si="0"/>
        <v>1.0874999999999999</v>
      </c>
      <c r="E13" s="4">
        <f t="shared" si="1"/>
        <v>8.3881483980702026E-2</v>
      </c>
      <c r="F13" s="4"/>
      <c r="G13" s="4"/>
      <c r="H13" s="4"/>
    </row>
    <row r="14" spans="1:19" x14ac:dyDescent="0.35">
      <c r="A14" s="77"/>
      <c r="B14" s="4">
        <v>11</v>
      </c>
      <c r="C14" s="4">
        <v>1.45</v>
      </c>
      <c r="D14" s="4">
        <f t="shared" si="0"/>
        <v>1.0874999999999999</v>
      </c>
      <c r="E14" s="4">
        <f t="shared" si="1"/>
        <v>8.3881483980702026E-2</v>
      </c>
      <c r="F14" s="4"/>
      <c r="G14" s="4"/>
      <c r="H14" s="4"/>
    </row>
    <row r="15" spans="1:19" x14ac:dyDescent="0.35">
      <c r="A15" s="77"/>
      <c r="B15" s="4">
        <v>12</v>
      </c>
      <c r="C15" s="4">
        <v>1.44</v>
      </c>
      <c r="D15" s="4">
        <f t="shared" si="0"/>
        <v>1.08</v>
      </c>
      <c r="E15" s="4">
        <f t="shared" si="1"/>
        <v>7.6961041136128394E-2</v>
      </c>
      <c r="F15" s="4">
        <v>34.806501032438554</v>
      </c>
      <c r="G15" s="4">
        <v>19.52708703374778</v>
      </c>
      <c r="H15" s="4">
        <v>0</v>
      </c>
    </row>
    <row r="16" spans="1:19" x14ac:dyDescent="0.35">
      <c r="A16" s="77"/>
      <c r="B16" s="4">
        <v>13</v>
      </c>
      <c r="C16" s="4">
        <v>1.4850000000000001</v>
      </c>
      <c r="D16" s="4">
        <f t="shared" si="0"/>
        <v>1.11375</v>
      </c>
      <c r="E16" s="4">
        <f t="shared" si="1"/>
        <v>0.10773269980288203</v>
      </c>
      <c r="F16" s="4"/>
      <c r="G16" s="4"/>
      <c r="H16" s="4"/>
    </row>
    <row r="17" spans="1:8" x14ac:dyDescent="0.35">
      <c r="A17" s="77"/>
      <c r="B17" s="4">
        <v>14</v>
      </c>
      <c r="C17" s="4">
        <v>1.5249999999999999</v>
      </c>
      <c r="D17" s="4">
        <f t="shared" si="0"/>
        <v>1.1437499999999998</v>
      </c>
      <c r="E17" s="4">
        <f t="shared" si="1"/>
        <v>0.13431233760759387</v>
      </c>
      <c r="F17" s="4"/>
      <c r="G17" s="4"/>
      <c r="H17" s="4"/>
    </row>
    <row r="18" spans="1:8" x14ac:dyDescent="0.35">
      <c r="A18" s="77"/>
      <c r="B18" s="4">
        <v>15</v>
      </c>
      <c r="C18" s="4">
        <v>1.7849999999999999</v>
      </c>
      <c r="D18" s="4">
        <f t="shared" si="0"/>
        <v>1.3387499999999999</v>
      </c>
      <c r="E18" s="4">
        <f t="shared" si="1"/>
        <v>0.29173634277982141</v>
      </c>
      <c r="F18" s="4">
        <v>29.380647882945894</v>
      </c>
      <c r="G18" s="4">
        <v>25.022202486678509</v>
      </c>
      <c r="H18" s="4">
        <v>3.1805768334110436</v>
      </c>
    </row>
    <row r="19" spans="1:8" x14ac:dyDescent="0.35">
      <c r="A19" s="77"/>
      <c r="B19" s="4">
        <v>16</v>
      </c>
      <c r="C19" s="4">
        <v>1.4550000000000001</v>
      </c>
      <c r="D19" s="4">
        <f t="shared" si="0"/>
        <v>1.0912500000000001</v>
      </c>
      <c r="E19" s="4">
        <f t="shared" si="1"/>
        <v>8.7323828171674958E-2</v>
      </c>
      <c r="F19" s="4"/>
      <c r="G19" s="4"/>
      <c r="H19" s="4"/>
    </row>
    <row r="20" spans="1:8" x14ac:dyDescent="0.35">
      <c r="A20" s="77"/>
      <c r="B20" s="4">
        <v>17</v>
      </c>
      <c r="C20" s="4">
        <v>1.3149999999999999</v>
      </c>
      <c r="D20" s="4">
        <f t="shared" si="0"/>
        <v>0.98624999999999996</v>
      </c>
      <c r="E20" s="4">
        <f t="shared" si="1"/>
        <v>-1.3845406822053095E-2</v>
      </c>
      <c r="F20" s="4"/>
      <c r="G20" s="4"/>
      <c r="H20" s="4"/>
    </row>
    <row r="21" spans="1:8" x14ac:dyDescent="0.35">
      <c r="A21" s="78"/>
      <c r="B21" s="4">
        <v>18</v>
      </c>
      <c r="C21" s="4">
        <v>1.4950000000000001</v>
      </c>
      <c r="D21" s="4">
        <f t="shared" si="0"/>
        <v>1.1212500000000001</v>
      </c>
      <c r="E21" s="4">
        <f t="shared" si="1"/>
        <v>0.1144441343908689</v>
      </c>
      <c r="F21" s="4">
        <v>24.486556095828064</v>
      </c>
      <c r="G21" s="4">
        <v>29.873445825932507</v>
      </c>
      <c r="H21" s="4">
        <v>4.6126690201825085</v>
      </c>
    </row>
  </sheetData>
  <mergeCells count="3">
    <mergeCell ref="A1:H1"/>
    <mergeCell ref="J1:P1"/>
    <mergeCell ref="A3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Validation</vt:lpstr>
      <vt:lpstr>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Þórdís Kristjánsdóttir</dc:creator>
  <cp:lastModifiedBy>Þórdís Kristjánsdóttir</cp:lastModifiedBy>
  <dcterms:created xsi:type="dcterms:W3CDTF">2020-05-31T13:21:49Z</dcterms:created>
  <dcterms:modified xsi:type="dcterms:W3CDTF">2021-04-15T14:47:20Z</dcterms:modified>
</cp:coreProperties>
</file>